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filterPrivacy="1" defaultThemeVersion="124226"/>
  <xr:revisionPtr revIDLastSave="0" documentId="13_ncr:1_{44423B40-6FB2-5A47-A857-28D3ABC5B547}" xr6:coauthVersionLast="47" xr6:coauthVersionMax="47" xr10:uidLastSave="{00000000-0000-0000-0000-000000000000}"/>
  <bookViews>
    <workbookView xWindow="3400" yWindow="2220" windowWidth="27380" windowHeight="17500" activeTab="11" xr2:uid="{00000000-000D-0000-FFFF-FFFF00000000}"/>
  </bookViews>
  <sheets>
    <sheet name="README" sheetId="19" r:id="rId1"/>
    <sheet name="Input_EU" sheetId="20" r:id="rId2"/>
    <sheet name="TransferCoefficients" sheetId="21" r:id="rId3"/>
    <sheet name="Input_CH" sheetId="6" r:id="rId4"/>
    <sheet name="Module1" sheetId="8" r:id="rId5"/>
    <sheet name="PCCP" sheetId="9" r:id="rId6"/>
    <sheet name="Module2" sheetId="11" r:id="rId7"/>
    <sheet name="Textiles" sheetId="12" r:id="rId8"/>
    <sheet name="Flushing" sheetId="13" r:id="rId9"/>
    <sheet name="Automotive" sheetId="14" r:id="rId10"/>
    <sheet name="Compost" sheetId="15" r:id="rId11"/>
    <sheet name="Rank" sheetId="16" r:id="rId12"/>
  </sheets>
  <definedNames>
    <definedName name="_xlnm._FilterDatabase" localSheetId="11" hidden="1">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70" i="21" l="1"/>
  <c r="N470" i="21"/>
  <c r="O469" i="21"/>
  <c r="N469" i="21"/>
  <c r="O468" i="21"/>
  <c r="N468" i="21"/>
  <c r="O467" i="21"/>
  <c r="N467" i="21"/>
  <c r="O466" i="21"/>
  <c r="N466" i="21"/>
  <c r="O465" i="21"/>
  <c r="N465" i="21"/>
  <c r="O464" i="21"/>
  <c r="N464" i="21"/>
  <c r="O463" i="21"/>
  <c r="N463" i="21"/>
  <c r="O462" i="21"/>
  <c r="N462" i="21"/>
  <c r="O461" i="21"/>
  <c r="N461" i="21"/>
  <c r="O460" i="21"/>
  <c r="N460" i="21"/>
  <c r="O459" i="21"/>
  <c r="N459" i="21"/>
  <c r="O458" i="21"/>
  <c r="N458" i="21"/>
  <c r="O457" i="21"/>
  <c r="N457" i="21"/>
  <c r="O456" i="21"/>
  <c r="N456" i="21"/>
  <c r="O455" i="21"/>
  <c r="N455" i="21"/>
  <c r="O454" i="21"/>
  <c r="N454" i="21"/>
  <c r="O453" i="21"/>
  <c r="N453" i="21"/>
  <c r="O452" i="21"/>
  <c r="N452" i="21"/>
  <c r="O451" i="21"/>
  <c r="N451" i="21"/>
  <c r="O450" i="21"/>
  <c r="N450" i="21"/>
  <c r="O449" i="21"/>
  <c r="N449" i="21"/>
  <c r="E449" i="21"/>
  <c r="O448" i="21"/>
  <c r="N448" i="21"/>
  <c r="E448" i="21"/>
  <c r="O447" i="21"/>
  <c r="N447" i="21"/>
  <c r="O446" i="21"/>
  <c r="N446" i="21"/>
  <c r="O445" i="21"/>
  <c r="N445" i="21"/>
  <c r="O444" i="21"/>
  <c r="N444" i="21"/>
  <c r="O443" i="21"/>
  <c r="N443" i="21"/>
  <c r="O442" i="21"/>
  <c r="N442" i="21"/>
  <c r="O441" i="21"/>
  <c r="N441" i="21"/>
  <c r="O440" i="21"/>
  <c r="N440" i="21"/>
  <c r="O439" i="21"/>
  <c r="N439" i="21"/>
  <c r="O438" i="21"/>
  <c r="N438" i="21"/>
  <c r="O437" i="21"/>
  <c r="N437" i="21"/>
  <c r="O436" i="21"/>
  <c r="N436" i="21"/>
  <c r="O435" i="21"/>
  <c r="N435" i="21"/>
  <c r="O434" i="21"/>
  <c r="N434" i="21"/>
  <c r="O433" i="21"/>
  <c r="N433" i="21"/>
  <c r="O432" i="21"/>
  <c r="N432" i="21"/>
  <c r="O431" i="21"/>
  <c r="N431" i="21"/>
  <c r="O430" i="21"/>
  <c r="N430" i="21"/>
  <c r="O429" i="21"/>
  <c r="N429" i="21"/>
  <c r="O428" i="21"/>
  <c r="N428" i="21"/>
  <c r="O427" i="21"/>
  <c r="N427" i="21"/>
  <c r="O426" i="21"/>
  <c r="N426" i="21"/>
  <c r="O425" i="21"/>
  <c r="N425" i="21"/>
  <c r="O424" i="21"/>
  <c r="N424" i="21"/>
  <c r="O423" i="21"/>
  <c r="N423" i="21"/>
  <c r="O422" i="21"/>
  <c r="N422" i="21"/>
  <c r="O421" i="21"/>
  <c r="N421" i="21"/>
  <c r="E421" i="21"/>
  <c r="O420" i="21"/>
  <c r="N420" i="21"/>
  <c r="E420" i="21"/>
  <c r="E424" i="21" s="1"/>
  <c r="O419" i="21"/>
  <c r="N419" i="21"/>
  <c r="E419" i="21"/>
  <c r="E422" i="21" s="1"/>
  <c r="O418" i="21"/>
  <c r="N418" i="21"/>
  <c r="O417" i="21"/>
  <c r="N417" i="21"/>
  <c r="O416" i="21"/>
  <c r="N416" i="21"/>
  <c r="O415" i="21"/>
  <c r="N415" i="21"/>
  <c r="E415" i="21"/>
  <c r="O414" i="21"/>
  <c r="N414" i="21"/>
  <c r="O413" i="21"/>
  <c r="N413" i="21"/>
  <c r="E413" i="21"/>
  <c r="O412" i="21"/>
  <c r="N412" i="21"/>
  <c r="E412" i="21"/>
  <c r="O411" i="21"/>
  <c r="N411" i="21"/>
  <c r="E411" i="21"/>
  <c r="O410" i="21"/>
  <c r="N410" i="21"/>
  <c r="E410" i="21"/>
  <c r="O409" i="21"/>
  <c r="N409" i="21"/>
  <c r="O408" i="21"/>
  <c r="N408" i="21"/>
  <c r="O407" i="21"/>
  <c r="N407" i="21"/>
  <c r="O406" i="21"/>
  <c r="N406" i="21"/>
  <c r="O405" i="21"/>
  <c r="N405" i="21"/>
  <c r="O404" i="21"/>
  <c r="N404" i="21"/>
  <c r="O403" i="21"/>
  <c r="N403" i="21"/>
  <c r="O402" i="21"/>
  <c r="N402" i="21"/>
  <c r="O401" i="21"/>
  <c r="N401" i="21"/>
  <c r="O400" i="21"/>
  <c r="N400" i="21"/>
  <c r="O399" i="21"/>
  <c r="N399" i="21"/>
  <c r="O398" i="21"/>
  <c r="N398" i="21"/>
  <c r="O397" i="21"/>
  <c r="N397" i="21"/>
  <c r="O396" i="21"/>
  <c r="N396" i="21"/>
  <c r="O395" i="21"/>
  <c r="N395" i="21"/>
  <c r="O394" i="21"/>
  <c r="N394" i="21"/>
  <c r="O393" i="21"/>
  <c r="N393" i="21"/>
  <c r="O392" i="21"/>
  <c r="N392" i="21"/>
  <c r="O391" i="21"/>
  <c r="N391" i="21"/>
  <c r="O390" i="21"/>
  <c r="N390" i="21"/>
  <c r="E390" i="21"/>
  <c r="O389" i="21"/>
  <c r="N389" i="21"/>
  <c r="O388" i="21"/>
  <c r="N388" i="21"/>
  <c r="O387" i="21"/>
  <c r="N387" i="21"/>
  <c r="O386" i="21"/>
  <c r="N386" i="21"/>
  <c r="O385" i="21"/>
  <c r="N385" i="21"/>
  <c r="O384" i="21"/>
  <c r="N384" i="21"/>
  <c r="O383" i="21"/>
  <c r="N383" i="21"/>
  <c r="O382" i="21"/>
  <c r="N382" i="21"/>
  <c r="O381" i="21"/>
  <c r="N381" i="21"/>
  <c r="O380" i="21"/>
  <c r="N380" i="21"/>
  <c r="O379" i="21"/>
  <c r="N379" i="21"/>
  <c r="O378" i="21"/>
  <c r="N378" i="21"/>
  <c r="O377" i="21"/>
  <c r="N377" i="21"/>
  <c r="O376" i="21"/>
  <c r="N376" i="21"/>
  <c r="O375" i="21"/>
  <c r="N375" i="21"/>
  <c r="E375" i="21"/>
  <c r="O374" i="21"/>
  <c r="N374" i="21"/>
  <c r="O373" i="21"/>
  <c r="N373" i="21"/>
  <c r="O372" i="21"/>
  <c r="N372" i="21"/>
  <c r="O371" i="21"/>
  <c r="N371" i="21"/>
  <c r="O370" i="21"/>
  <c r="N370" i="21"/>
  <c r="O369" i="21"/>
  <c r="N369" i="21"/>
  <c r="O368" i="21"/>
  <c r="N368" i="21"/>
  <c r="O367" i="21"/>
  <c r="N367" i="21"/>
  <c r="O366" i="21"/>
  <c r="N366" i="21"/>
  <c r="O365" i="21"/>
  <c r="N365" i="21"/>
  <c r="O364" i="21"/>
  <c r="N364" i="21"/>
  <c r="O363" i="21"/>
  <c r="N363" i="21"/>
  <c r="O362" i="21"/>
  <c r="N362" i="21"/>
  <c r="O361" i="21"/>
  <c r="N361" i="21"/>
  <c r="O360" i="21"/>
  <c r="N360" i="21"/>
  <c r="O359" i="21"/>
  <c r="N359" i="21"/>
  <c r="K358" i="21"/>
  <c r="O358" i="21" s="1"/>
  <c r="O357" i="21"/>
  <c r="K357" i="21"/>
  <c r="N357" i="21" s="1"/>
  <c r="O356" i="21"/>
  <c r="N356" i="21"/>
  <c r="O355" i="21"/>
  <c r="N355" i="21"/>
  <c r="O354" i="21"/>
  <c r="N354" i="21"/>
  <c r="O353" i="21"/>
  <c r="N353" i="21"/>
  <c r="O352" i="21"/>
  <c r="N352" i="21"/>
  <c r="O351" i="21"/>
  <c r="N351" i="21"/>
  <c r="O350" i="21"/>
  <c r="N350" i="21"/>
  <c r="O349" i="21"/>
  <c r="N349" i="21"/>
  <c r="O348" i="21"/>
  <c r="N348" i="21"/>
  <c r="O347" i="21"/>
  <c r="N347" i="21"/>
  <c r="O346" i="21"/>
  <c r="N346" i="21"/>
  <c r="O345" i="21"/>
  <c r="N345" i="21"/>
  <c r="O344" i="21"/>
  <c r="N344" i="21"/>
  <c r="O343" i="21"/>
  <c r="N343" i="21"/>
  <c r="O342" i="21"/>
  <c r="N342" i="21"/>
  <c r="O341" i="21"/>
  <c r="N341" i="21"/>
  <c r="O340" i="21"/>
  <c r="N340" i="21"/>
  <c r="O339" i="21"/>
  <c r="N339" i="21"/>
  <c r="O338" i="21"/>
  <c r="N338" i="21"/>
  <c r="O337" i="21"/>
  <c r="N337" i="21"/>
  <c r="O336" i="21"/>
  <c r="N336" i="21"/>
  <c r="O335" i="21"/>
  <c r="N335" i="21"/>
  <c r="O334" i="21"/>
  <c r="N334" i="21"/>
  <c r="O333" i="21"/>
  <c r="N333" i="21"/>
  <c r="O332" i="21"/>
  <c r="N332" i="21"/>
  <c r="O331" i="21"/>
  <c r="N331" i="21"/>
  <c r="O330" i="21"/>
  <c r="N330" i="21"/>
  <c r="O329" i="21"/>
  <c r="N329" i="21"/>
  <c r="M328" i="21"/>
  <c r="L328" i="21"/>
  <c r="K328" i="21"/>
  <c r="J328" i="21"/>
  <c r="O328" i="21" s="1"/>
  <c r="I328" i="21"/>
  <c r="G328" i="21"/>
  <c r="F328" i="21"/>
  <c r="M327" i="21"/>
  <c r="L327" i="21"/>
  <c r="K327" i="21"/>
  <c r="J327" i="21"/>
  <c r="O327" i="21" s="1"/>
  <c r="H327" i="21"/>
  <c r="N327" i="21" s="1"/>
  <c r="G327" i="21"/>
  <c r="F327" i="21"/>
  <c r="O326" i="21"/>
  <c r="N326" i="21"/>
  <c r="O325" i="21"/>
  <c r="N325" i="21"/>
  <c r="O324" i="21"/>
  <c r="N324" i="21"/>
  <c r="O323" i="21"/>
  <c r="N323" i="21"/>
  <c r="O322" i="21"/>
  <c r="N322" i="21"/>
  <c r="O321" i="21"/>
  <c r="N321" i="21"/>
  <c r="O320" i="21"/>
  <c r="N320" i="21"/>
  <c r="E320" i="21"/>
  <c r="O319" i="21"/>
  <c r="N319" i="21"/>
  <c r="M318" i="21"/>
  <c r="L318" i="21"/>
  <c r="K318" i="21"/>
  <c r="J318" i="21"/>
  <c r="O318" i="21" s="1"/>
  <c r="H318" i="21"/>
  <c r="N318" i="21" s="1"/>
  <c r="E318" i="21"/>
  <c r="M317" i="21"/>
  <c r="L317" i="21"/>
  <c r="K317" i="21"/>
  <c r="J317" i="21"/>
  <c r="O317" i="21" s="1"/>
  <c r="H317" i="21"/>
  <c r="N317" i="21" s="1"/>
  <c r="E317" i="21"/>
  <c r="O316" i="21"/>
  <c r="N316" i="21"/>
  <c r="O315" i="21"/>
  <c r="N315" i="21"/>
  <c r="O314" i="21"/>
  <c r="N314" i="21"/>
  <c r="O313" i="21"/>
  <c r="N313" i="21"/>
  <c r="O312" i="21"/>
  <c r="N312" i="21"/>
  <c r="O311" i="21"/>
  <c r="N311" i="21"/>
  <c r="E311" i="21"/>
  <c r="O310" i="21"/>
  <c r="N310" i="21"/>
  <c r="E310" i="21"/>
  <c r="E322" i="21" s="1"/>
  <c r="O309" i="21"/>
  <c r="N309" i="21"/>
  <c r="O308" i="21"/>
  <c r="N308" i="21"/>
  <c r="O307" i="21"/>
  <c r="N307" i="21"/>
  <c r="E307" i="21"/>
  <c r="E315" i="21" s="1"/>
  <c r="O306" i="21"/>
  <c r="N306" i="21"/>
  <c r="E306" i="21"/>
  <c r="E314" i="21" s="1"/>
  <c r="O305" i="21"/>
  <c r="N305" i="21"/>
  <c r="O304" i="21"/>
  <c r="N304" i="21"/>
  <c r="O303" i="21"/>
  <c r="N303" i="21"/>
  <c r="O302" i="21"/>
  <c r="N302" i="21"/>
  <c r="O301" i="21"/>
  <c r="N301" i="21"/>
  <c r="O300" i="21"/>
  <c r="N300" i="21"/>
  <c r="O299" i="21"/>
  <c r="N299" i="21"/>
  <c r="O298" i="21"/>
  <c r="N298" i="21"/>
  <c r="O297" i="21"/>
  <c r="N297" i="21"/>
  <c r="O296" i="21"/>
  <c r="N296" i="21"/>
  <c r="O295" i="21"/>
  <c r="N295" i="21"/>
  <c r="E295" i="21"/>
  <c r="O294" i="21"/>
  <c r="N294" i="21"/>
  <c r="O293" i="21"/>
  <c r="N293" i="21"/>
  <c r="O292" i="21"/>
  <c r="N292" i="21"/>
  <c r="O291" i="21"/>
  <c r="N291" i="21"/>
  <c r="O290" i="21"/>
  <c r="N290" i="21"/>
  <c r="O289" i="21"/>
  <c r="N289" i="21"/>
  <c r="O288" i="21"/>
  <c r="N288" i="21"/>
  <c r="O287" i="21"/>
  <c r="N287" i="21"/>
  <c r="E287" i="21"/>
  <c r="E328" i="21" s="1"/>
  <c r="O286" i="21"/>
  <c r="N286" i="21"/>
  <c r="O285" i="21"/>
  <c r="N285" i="21"/>
  <c r="E285" i="21"/>
  <c r="E327" i="21" s="1"/>
  <c r="O284" i="21"/>
  <c r="N284" i="21"/>
  <c r="O283" i="21"/>
  <c r="N283" i="21"/>
  <c r="O282" i="21"/>
  <c r="N282" i="21"/>
  <c r="O281" i="21"/>
  <c r="N281" i="21"/>
  <c r="O280" i="21"/>
  <c r="N280" i="21"/>
  <c r="O279" i="21"/>
  <c r="N279" i="21"/>
  <c r="O278" i="21"/>
  <c r="N278" i="21"/>
  <c r="O277" i="21"/>
  <c r="N277" i="21"/>
  <c r="O276" i="21"/>
  <c r="N276" i="21"/>
  <c r="O275" i="21"/>
  <c r="N275" i="21"/>
  <c r="O274" i="21"/>
  <c r="N274" i="21"/>
  <c r="O273" i="21"/>
  <c r="N273" i="21"/>
  <c r="O272" i="21"/>
  <c r="N272" i="21"/>
  <c r="O271" i="21"/>
  <c r="N271" i="21"/>
  <c r="O270" i="21"/>
  <c r="N270" i="21"/>
  <c r="L269" i="21"/>
  <c r="O269" i="21" s="1"/>
  <c r="K269" i="21"/>
  <c r="O268" i="21"/>
  <c r="N268" i="21"/>
  <c r="O267" i="21"/>
  <c r="L267" i="21"/>
  <c r="K267" i="21"/>
  <c r="N267" i="21" s="1"/>
  <c r="O266" i="21"/>
  <c r="N266" i="21"/>
  <c r="E266" i="21"/>
  <c r="O265" i="21"/>
  <c r="N265" i="21"/>
  <c r="L265" i="21"/>
  <c r="K265" i="21"/>
  <c r="O264" i="21"/>
  <c r="N264" i="21"/>
  <c r="O263" i="21"/>
  <c r="N263" i="21"/>
  <c r="O262" i="21"/>
  <c r="N262" i="21"/>
  <c r="O261" i="21"/>
  <c r="N261" i="21"/>
  <c r="O260" i="21"/>
  <c r="N260" i="21"/>
  <c r="O259" i="21"/>
  <c r="N259" i="21"/>
  <c r="O258" i="21"/>
  <c r="N258" i="21"/>
  <c r="O257" i="21"/>
  <c r="N257" i="21"/>
  <c r="O256" i="21"/>
  <c r="N256" i="21"/>
  <c r="O255" i="21"/>
  <c r="N255" i="21"/>
  <c r="O254" i="21"/>
  <c r="N254" i="21"/>
  <c r="O253" i="21"/>
  <c r="N253" i="21"/>
  <c r="O252" i="21"/>
  <c r="N252" i="21"/>
  <c r="O251" i="21"/>
  <c r="N251" i="21"/>
  <c r="O250" i="21"/>
  <c r="N250" i="21"/>
  <c r="L249" i="21"/>
  <c r="K249" i="21"/>
  <c r="N249" i="21" s="1"/>
  <c r="O248" i="21"/>
  <c r="N248" i="21"/>
  <c r="O247" i="21"/>
  <c r="N247" i="21"/>
  <c r="L246" i="21"/>
  <c r="K246" i="21"/>
  <c r="N246" i="21" s="1"/>
  <c r="O245" i="21"/>
  <c r="N245" i="21"/>
  <c r="O244" i="21"/>
  <c r="N244" i="21"/>
  <c r="L244" i="21"/>
  <c r="K244" i="21"/>
  <c r="O243" i="21"/>
  <c r="N243" i="21"/>
  <c r="O242" i="21"/>
  <c r="N242" i="21"/>
  <c r="O241" i="21"/>
  <c r="N241" i="21"/>
  <c r="O240" i="21"/>
  <c r="N240" i="21"/>
  <c r="O239" i="21"/>
  <c r="N239" i="21"/>
  <c r="O238" i="21"/>
  <c r="N238" i="21"/>
  <c r="O237" i="21"/>
  <c r="N237" i="21"/>
  <c r="E237" i="21"/>
  <c r="O236" i="21"/>
  <c r="N236" i="21"/>
  <c r="O235" i="21"/>
  <c r="N235" i="21"/>
  <c r="E235" i="21"/>
  <c r="O234" i="21"/>
  <c r="N234" i="21"/>
  <c r="O233" i="21"/>
  <c r="N233" i="21"/>
  <c r="O232" i="21"/>
  <c r="N232" i="21"/>
  <c r="O231" i="21"/>
  <c r="N231" i="21"/>
  <c r="O230" i="21"/>
  <c r="N230" i="21"/>
  <c r="O229" i="21"/>
  <c r="N229" i="21"/>
  <c r="O228" i="21"/>
  <c r="N228" i="21"/>
  <c r="O227" i="21"/>
  <c r="N227" i="21"/>
  <c r="O226" i="21"/>
  <c r="N226" i="21"/>
  <c r="O225" i="21"/>
  <c r="N225" i="21"/>
  <c r="O224" i="21"/>
  <c r="N224" i="21"/>
  <c r="O223" i="21"/>
  <c r="N223" i="21"/>
  <c r="O222" i="21"/>
  <c r="N222" i="21"/>
  <c r="O221" i="21"/>
  <c r="N221" i="21"/>
  <c r="O220" i="21"/>
  <c r="N220" i="21"/>
  <c r="O219" i="21"/>
  <c r="N219" i="21"/>
  <c r="O218" i="21"/>
  <c r="N218" i="21"/>
  <c r="O217" i="21"/>
  <c r="N217" i="21"/>
  <c r="O216" i="21"/>
  <c r="N216" i="21"/>
  <c r="O215" i="21"/>
  <c r="N215" i="21"/>
  <c r="O214" i="21"/>
  <c r="N214" i="21"/>
  <c r="O213" i="21"/>
  <c r="N213" i="21"/>
  <c r="O212" i="21"/>
  <c r="N212" i="21"/>
  <c r="O211" i="21"/>
  <c r="N211" i="21"/>
  <c r="O210" i="21"/>
  <c r="N210" i="21"/>
  <c r="O209" i="21"/>
  <c r="N209" i="21"/>
  <c r="O208" i="21"/>
  <c r="N208" i="21"/>
  <c r="O207" i="21"/>
  <c r="N207" i="21"/>
  <c r="O206" i="21"/>
  <c r="N206" i="21"/>
  <c r="O205" i="21"/>
  <c r="N205" i="21"/>
  <c r="O204" i="21"/>
  <c r="N204" i="21"/>
  <c r="O203" i="21"/>
  <c r="N203" i="21"/>
  <c r="O202" i="21"/>
  <c r="N202" i="21"/>
  <c r="O201" i="21"/>
  <c r="N201" i="21"/>
  <c r="O200" i="21"/>
  <c r="N200" i="21"/>
  <c r="O199" i="21"/>
  <c r="N199" i="21"/>
  <c r="O198" i="21"/>
  <c r="N198" i="21"/>
  <c r="O197" i="21"/>
  <c r="N197" i="21"/>
  <c r="O196" i="21"/>
  <c r="N196" i="21"/>
  <c r="O195" i="21"/>
  <c r="N195" i="21"/>
  <c r="O194" i="21"/>
  <c r="N194" i="21"/>
  <c r="O193" i="21"/>
  <c r="N193" i="21"/>
  <c r="O192" i="21"/>
  <c r="N192" i="21"/>
  <c r="O191" i="21"/>
  <c r="N191" i="21"/>
  <c r="O190" i="21"/>
  <c r="N190" i="21"/>
  <c r="O189" i="21"/>
  <c r="N189" i="21"/>
  <c r="O188" i="21"/>
  <c r="N188" i="21"/>
  <c r="O187" i="21"/>
  <c r="N187" i="21"/>
  <c r="O186" i="21"/>
  <c r="N186" i="21"/>
  <c r="O185" i="21"/>
  <c r="N185" i="21"/>
  <c r="O184" i="21"/>
  <c r="N184" i="21"/>
  <c r="O183" i="21"/>
  <c r="N183" i="21"/>
  <c r="O182" i="21"/>
  <c r="N182" i="21"/>
  <c r="O181" i="21"/>
  <c r="N181" i="21"/>
  <c r="O180" i="21"/>
  <c r="N180" i="21"/>
  <c r="O179" i="21"/>
  <c r="N179" i="21"/>
  <c r="O178" i="21"/>
  <c r="N178" i="21"/>
  <c r="O177" i="21"/>
  <c r="N177" i="21"/>
  <c r="O176" i="21"/>
  <c r="N176" i="21"/>
  <c r="O175" i="21"/>
  <c r="N175" i="21"/>
  <c r="O174" i="21"/>
  <c r="N174" i="21"/>
  <c r="O173" i="21"/>
  <c r="N173" i="21"/>
  <c r="O172" i="21"/>
  <c r="N172" i="21"/>
  <c r="O171" i="21"/>
  <c r="N171" i="21"/>
  <c r="O170" i="21"/>
  <c r="N170" i="21"/>
  <c r="O169" i="21"/>
  <c r="N169" i="21"/>
  <c r="O168" i="21"/>
  <c r="N168" i="21"/>
  <c r="O167" i="21"/>
  <c r="N167" i="21"/>
  <c r="O166" i="21"/>
  <c r="N166" i="21"/>
  <c r="O165" i="21"/>
  <c r="N165" i="21"/>
  <c r="O164" i="21"/>
  <c r="N164" i="21"/>
  <c r="O163" i="21"/>
  <c r="N163" i="21"/>
  <c r="O162" i="21"/>
  <c r="N162" i="21"/>
  <c r="O161" i="21"/>
  <c r="N161" i="21"/>
  <c r="O160" i="21"/>
  <c r="N160" i="21"/>
  <c r="O159" i="21"/>
  <c r="N159" i="21"/>
  <c r="O158" i="21"/>
  <c r="N158" i="21"/>
  <c r="O157" i="21"/>
  <c r="N157" i="21"/>
  <c r="O156" i="21"/>
  <c r="N156" i="21"/>
  <c r="O155" i="21"/>
  <c r="N155" i="21"/>
  <c r="O154" i="21"/>
  <c r="N154" i="21"/>
  <c r="O153" i="21"/>
  <c r="N153" i="21"/>
  <c r="O152" i="21"/>
  <c r="N152" i="21"/>
  <c r="O151" i="21"/>
  <c r="N151" i="21"/>
  <c r="O150" i="21"/>
  <c r="N150" i="21"/>
  <c r="O149" i="21"/>
  <c r="N149" i="21"/>
  <c r="O148" i="21"/>
  <c r="N148" i="21"/>
  <c r="O147" i="21"/>
  <c r="N147" i="21"/>
  <c r="O146" i="21"/>
  <c r="N146" i="21"/>
  <c r="O145" i="21"/>
  <c r="N145" i="21"/>
  <c r="O144" i="21"/>
  <c r="N144" i="21"/>
  <c r="O143" i="21"/>
  <c r="N143" i="21"/>
  <c r="O142" i="21"/>
  <c r="N142" i="21"/>
  <c r="O141" i="21"/>
  <c r="N141" i="21"/>
  <c r="O140" i="21"/>
  <c r="N140" i="21"/>
  <c r="O139" i="21"/>
  <c r="N139" i="21"/>
  <c r="O138" i="21"/>
  <c r="N138" i="21"/>
  <c r="O137" i="21"/>
  <c r="N137" i="21"/>
  <c r="O136" i="21"/>
  <c r="N136" i="21"/>
  <c r="O135" i="21"/>
  <c r="N135" i="21"/>
  <c r="O134" i="21"/>
  <c r="N134" i="21"/>
  <c r="O133" i="21"/>
  <c r="N133" i="21"/>
  <c r="O132" i="21"/>
  <c r="N132" i="21"/>
  <c r="O131" i="21"/>
  <c r="N131" i="21"/>
  <c r="O130" i="21"/>
  <c r="N130" i="21"/>
  <c r="O129" i="21"/>
  <c r="N129" i="21"/>
  <c r="O128" i="21"/>
  <c r="N128" i="21"/>
  <c r="O127" i="21"/>
  <c r="N127" i="21"/>
  <c r="O126" i="21"/>
  <c r="N126" i="21"/>
  <c r="O125" i="21"/>
  <c r="N125" i="21"/>
  <c r="O124" i="21"/>
  <c r="N124" i="21"/>
  <c r="O123" i="21"/>
  <c r="N123" i="21"/>
  <c r="O122" i="21"/>
  <c r="N122" i="21"/>
  <c r="O121" i="21"/>
  <c r="N121" i="21"/>
  <c r="O120" i="21"/>
  <c r="N120" i="21"/>
  <c r="O119" i="21"/>
  <c r="N119" i="21"/>
  <c r="O118" i="21"/>
  <c r="N118" i="21"/>
  <c r="O117" i="21"/>
  <c r="N117" i="21"/>
  <c r="O116" i="21"/>
  <c r="N116" i="21"/>
  <c r="O115" i="21"/>
  <c r="N115" i="21"/>
  <c r="O114" i="21"/>
  <c r="N114" i="21"/>
  <c r="O113" i="21"/>
  <c r="N113" i="21"/>
  <c r="O112" i="21"/>
  <c r="N112" i="21"/>
  <c r="O111" i="21"/>
  <c r="N111" i="21"/>
  <c r="O110" i="21"/>
  <c r="N110" i="21"/>
  <c r="O109" i="21"/>
  <c r="N109" i="21"/>
  <c r="O108" i="21"/>
  <c r="N108" i="21"/>
  <c r="O107" i="21"/>
  <c r="N107" i="21"/>
  <c r="O106" i="21"/>
  <c r="N106" i="21"/>
  <c r="O105" i="21"/>
  <c r="N105" i="21"/>
  <c r="O104" i="21"/>
  <c r="N104" i="21"/>
  <c r="O103" i="21"/>
  <c r="N103" i="21"/>
  <c r="O102" i="21"/>
  <c r="N102" i="21"/>
  <c r="O101" i="21"/>
  <c r="N101" i="21"/>
  <c r="O100" i="21"/>
  <c r="N100" i="21"/>
  <c r="O99" i="21"/>
  <c r="N99" i="21"/>
  <c r="O98" i="21"/>
  <c r="N98" i="21"/>
  <c r="O97" i="21"/>
  <c r="N97" i="21"/>
  <c r="O96" i="21"/>
  <c r="N96" i="21"/>
  <c r="O95" i="21"/>
  <c r="N95" i="21"/>
  <c r="O94" i="21"/>
  <c r="N94" i="21"/>
  <c r="O93" i="21"/>
  <c r="N93" i="21"/>
  <c r="O92" i="21"/>
  <c r="N92" i="21"/>
  <c r="O91" i="21"/>
  <c r="N91" i="21"/>
  <c r="O90" i="21"/>
  <c r="N90" i="21"/>
  <c r="M89" i="21"/>
  <c r="N89" i="21" s="1"/>
  <c r="O88" i="21"/>
  <c r="N88" i="21"/>
  <c r="M88" i="21"/>
  <c r="O87" i="21"/>
  <c r="N87" i="21"/>
  <c r="M87" i="21"/>
  <c r="M86" i="21"/>
  <c r="O86" i="21" s="1"/>
  <c r="M85" i="21"/>
  <c r="N85" i="21" s="1"/>
  <c r="O84" i="21"/>
  <c r="N84" i="21"/>
  <c r="M84" i="21"/>
  <c r="O83" i="21"/>
  <c r="N83" i="21"/>
  <c r="M83" i="21"/>
  <c r="M82" i="21"/>
  <c r="O82" i="21" s="1"/>
  <c r="M81" i="21"/>
  <c r="N81" i="21" s="1"/>
  <c r="O80" i="21"/>
  <c r="N80" i="21"/>
  <c r="M80" i="21"/>
  <c r="O79" i="21"/>
  <c r="N79" i="21"/>
  <c r="M79" i="21"/>
  <c r="M78" i="21"/>
  <c r="O78" i="21" s="1"/>
  <c r="M77" i="21"/>
  <c r="N77" i="21" s="1"/>
  <c r="O76" i="21"/>
  <c r="N76" i="21"/>
  <c r="M76" i="21"/>
  <c r="O75" i="21"/>
  <c r="N75" i="21"/>
  <c r="M75" i="21"/>
  <c r="O74" i="21"/>
  <c r="N74" i="21"/>
  <c r="O73" i="21"/>
  <c r="N73" i="21"/>
  <c r="O72" i="21"/>
  <c r="N72" i="21"/>
  <c r="O71" i="21"/>
  <c r="N71" i="21"/>
  <c r="O70" i="21"/>
  <c r="N70" i="21"/>
  <c r="O69" i="21"/>
  <c r="N69" i="21"/>
  <c r="O68" i="21"/>
  <c r="N68" i="21"/>
  <c r="O67" i="21"/>
  <c r="N67" i="21"/>
  <c r="O66" i="21"/>
  <c r="N66" i="21"/>
  <c r="O65" i="21"/>
  <c r="N65" i="21"/>
  <c r="O64" i="21"/>
  <c r="N64" i="21"/>
  <c r="O63" i="21"/>
  <c r="N63" i="21"/>
  <c r="O62" i="21"/>
  <c r="N62" i="21"/>
  <c r="O61" i="21"/>
  <c r="N61" i="21"/>
  <c r="O60" i="21"/>
  <c r="N60" i="21"/>
  <c r="O59" i="21"/>
  <c r="N59" i="21"/>
  <c r="O58" i="21"/>
  <c r="N58" i="21"/>
  <c r="O57" i="21"/>
  <c r="N57" i="21"/>
  <c r="O56" i="21"/>
  <c r="N56" i="21"/>
  <c r="O55" i="21"/>
  <c r="N55" i="21"/>
  <c r="O54" i="21"/>
  <c r="N54" i="21"/>
  <c r="O53" i="21"/>
  <c r="N53" i="21"/>
  <c r="O52" i="21"/>
  <c r="N52" i="21"/>
  <c r="O51" i="21"/>
  <c r="N51" i="21"/>
  <c r="O50" i="21"/>
  <c r="N50" i="21"/>
  <c r="O49" i="21"/>
  <c r="N49" i="21"/>
  <c r="O48" i="21"/>
  <c r="N48" i="21"/>
  <c r="O47" i="21"/>
  <c r="N47" i="21"/>
  <c r="O46" i="21"/>
  <c r="N46" i="21"/>
  <c r="O45" i="21"/>
  <c r="N45" i="21"/>
  <c r="O44" i="21"/>
  <c r="N44" i="21"/>
  <c r="O43" i="21"/>
  <c r="N43" i="21"/>
  <c r="O42" i="21"/>
  <c r="N42" i="21"/>
  <c r="O41" i="21"/>
  <c r="N41" i="21"/>
  <c r="O40" i="21"/>
  <c r="N40" i="21"/>
  <c r="O39" i="21"/>
  <c r="N39" i="21"/>
  <c r="O38" i="21"/>
  <c r="N38" i="21"/>
  <c r="O37" i="21"/>
  <c r="N37" i="21"/>
  <c r="O36" i="21"/>
  <c r="N36" i="21"/>
  <c r="O35" i="21"/>
  <c r="N35" i="21"/>
  <c r="O34" i="21"/>
  <c r="N34" i="21"/>
  <c r="O33" i="21"/>
  <c r="N33" i="21"/>
  <c r="O32" i="21"/>
  <c r="N32" i="21"/>
  <c r="O31" i="21"/>
  <c r="N31" i="21"/>
  <c r="O30" i="21"/>
  <c r="N30" i="21"/>
  <c r="O29" i="21"/>
  <c r="N29" i="21"/>
  <c r="O28" i="21"/>
  <c r="N28" i="21"/>
  <c r="O27" i="21"/>
  <c r="N27" i="21"/>
  <c r="O26" i="21"/>
  <c r="N26" i="21"/>
  <c r="O25" i="21"/>
  <c r="N25" i="21"/>
  <c r="O24" i="21"/>
  <c r="N24" i="21"/>
  <c r="O23" i="21"/>
  <c r="N23" i="21"/>
  <c r="O22" i="21"/>
  <c r="N22" i="21"/>
  <c r="O21" i="21"/>
  <c r="N21" i="21"/>
  <c r="O20" i="21"/>
  <c r="N20" i="21"/>
  <c r="O19" i="21"/>
  <c r="N19" i="21"/>
  <c r="O18" i="21"/>
  <c r="N18" i="21"/>
  <c r="O17" i="21"/>
  <c r="N17" i="21"/>
  <c r="O16" i="21"/>
  <c r="N16" i="21"/>
  <c r="O15" i="21"/>
  <c r="N15" i="21"/>
  <c r="O14" i="21"/>
  <c r="N14" i="21"/>
  <c r="O13" i="21"/>
  <c r="N13" i="21"/>
  <c r="O12" i="21"/>
  <c r="N12" i="21"/>
  <c r="O11" i="21"/>
  <c r="N11" i="21"/>
  <c r="O10" i="21"/>
  <c r="N10" i="21"/>
  <c r="O9" i="21"/>
  <c r="N9" i="21"/>
  <c r="O8" i="21"/>
  <c r="N8" i="21"/>
  <c r="O7" i="21"/>
  <c r="N7" i="21"/>
  <c r="O6" i="21"/>
  <c r="N6" i="21"/>
  <c r="O5" i="21"/>
  <c r="N5" i="21"/>
  <c r="E5" i="21"/>
  <c r="O4" i="21"/>
  <c r="N4" i="21"/>
  <c r="O3" i="21"/>
  <c r="N3" i="21"/>
  <c r="E3" i="21"/>
  <c r="O2" i="21"/>
  <c r="N2" i="21"/>
  <c r="J86" i="20"/>
  <c r="J85" i="20"/>
  <c r="J84" i="20"/>
  <c r="J83" i="20"/>
  <c r="J82" i="20"/>
  <c r="J81" i="20"/>
  <c r="J80" i="20"/>
  <c r="J79" i="20"/>
  <c r="J78" i="20"/>
  <c r="J77" i="20"/>
  <c r="J76" i="20"/>
  <c r="J75" i="20"/>
  <c r="J74" i="20"/>
  <c r="J73" i="20"/>
  <c r="J72" i="20"/>
  <c r="J71" i="20"/>
  <c r="J70" i="20"/>
  <c r="J69" i="20"/>
  <c r="J68" i="20"/>
  <c r="J67" i="20"/>
  <c r="J66" i="20"/>
  <c r="J65" i="20"/>
  <c r="J64" i="20"/>
  <c r="J63" i="20"/>
  <c r="J62" i="20"/>
  <c r="J61" i="20"/>
  <c r="J60" i="20"/>
  <c r="J59" i="20"/>
  <c r="J58" i="20"/>
  <c r="J57" i="20"/>
  <c r="J56" i="20"/>
  <c r="J55" i="20"/>
  <c r="J54" i="20"/>
  <c r="J53" i="20"/>
  <c r="J52" i="20"/>
  <c r="J51" i="20"/>
  <c r="J50" i="20"/>
  <c r="J49" i="20"/>
  <c r="J48" i="20"/>
  <c r="J47" i="20"/>
  <c r="J46" i="20"/>
  <c r="J44" i="20"/>
  <c r="J43" i="20"/>
  <c r="J42" i="20"/>
  <c r="J41" i="20"/>
  <c r="J40" i="20"/>
  <c r="J39" i="20"/>
  <c r="J38" i="20"/>
  <c r="J37" i="20"/>
  <c r="J36" i="20"/>
  <c r="J35" i="20"/>
  <c r="J34" i="20"/>
  <c r="J33" i="20"/>
  <c r="J32" i="20"/>
  <c r="J31" i="20"/>
  <c r="J30" i="20"/>
  <c r="J29" i="20"/>
  <c r="J28" i="20"/>
  <c r="J27" i="20"/>
  <c r="J26" i="20"/>
  <c r="J25" i="20"/>
  <c r="J24" i="20"/>
  <c r="J23" i="20"/>
  <c r="J22" i="20"/>
  <c r="J21" i="20"/>
  <c r="J20" i="20"/>
  <c r="J19" i="20"/>
  <c r="J18" i="20"/>
  <c r="J17" i="20"/>
  <c r="J16" i="20"/>
  <c r="J15" i="20"/>
  <c r="J14" i="20"/>
  <c r="J13" i="20"/>
  <c r="J12" i="20"/>
  <c r="C12" i="20"/>
  <c r="J11" i="20"/>
  <c r="J10" i="20"/>
  <c r="J9" i="20"/>
  <c r="J8" i="20"/>
  <c r="J7" i="20"/>
  <c r="J6" i="20"/>
  <c r="J5" i="20"/>
  <c r="J4" i="20"/>
  <c r="J3" i="20"/>
  <c r="J2" i="20"/>
  <c r="E199" i="11"/>
  <c r="L260" i="8"/>
  <c r="L259" i="8"/>
  <c r="O77" i="21" l="1"/>
  <c r="O81" i="21"/>
  <c r="O85" i="21"/>
  <c r="O89" i="21"/>
  <c r="O246" i="21"/>
  <c r="O249" i="21"/>
  <c r="E324" i="21"/>
  <c r="N358" i="21"/>
  <c r="N86" i="21"/>
  <c r="N269" i="21"/>
  <c r="N328" i="21"/>
  <c r="N78" i="21"/>
  <c r="N82" i="21"/>
  <c r="E312" i="21"/>
  <c r="E326" i="21" s="1"/>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14" i="8"/>
  <c r="L215" i="8"/>
  <c r="L216" i="8"/>
  <c r="L217" i="8"/>
  <c r="L218" i="8"/>
  <c r="L219" i="8"/>
  <c r="L220" i="8"/>
  <c r="L221" i="8"/>
  <c r="L222" i="8"/>
  <c r="L223" i="8"/>
  <c r="L225" i="8"/>
  <c r="L227" i="8"/>
  <c r="L228" i="8"/>
  <c r="L229" i="8"/>
  <c r="L230" i="8"/>
  <c r="L231" i="8"/>
  <c r="L232"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61" i="8"/>
  <c r="L262" i="8"/>
  <c r="L263" i="8"/>
  <c r="L264" i="8"/>
  <c r="L265" i="8"/>
  <c r="L266" i="8"/>
  <c r="L267" i="8"/>
  <c r="L268" i="8"/>
  <c r="L269" i="8"/>
  <c r="L270" i="8"/>
  <c r="L271" i="8"/>
  <c r="L272" i="8"/>
  <c r="L274" i="8"/>
  <c r="L275" i="8"/>
  <c r="L276" i="8"/>
  <c r="L277" i="8"/>
  <c r="L278" i="8"/>
  <c r="L279" i="8"/>
  <c r="L280" i="8"/>
  <c r="L281" i="8"/>
  <c r="L282" i="8"/>
  <c r="L283" i="8"/>
  <c r="L284" i="8"/>
  <c r="L285" i="8"/>
  <c r="L286" i="8"/>
  <c r="L287" i="8"/>
  <c r="L288" i="8"/>
  <c r="L289" i="8"/>
  <c r="L290" i="8"/>
  <c r="L291" i="8"/>
  <c r="L294" i="8"/>
  <c r="L295" i="8"/>
  <c r="L296" i="8"/>
  <c r="L297" i="8"/>
  <c r="L298" i="8"/>
  <c r="L299" i="8"/>
  <c r="L300" i="8"/>
  <c r="L301" i="8"/>
  <c r="L302" i="8"/>
  <c r="L303" i="8"/>
  <c r="L304" i="8"/>
  <c r="L305" i="8"/>
  <c r="L306" i="8"/>
  <c r="L307" i="8"/>
  <c r="L308" i="8"/>
  <c r="L309" i="8"/>
  <c r="L310" i="8"/>
  <c r="L311" i="8"/>
  <c r="L312" i="8"/>
  <c r="L313" i="8"/>
  <c r="L314" i="8"/>
  <c r="L315" i="8"/>
  <c r="L316" i="8"/>
  <c r="L317" i="8"/>
  <c r="L318" i="8"/>
  <c r="L319" i="8"/>
  <c r="L320" i="8"/>
  <c r="L321" i="8"/>
  <c r="L322" i="8"/>
  <c r="L323" i="8"/>
  <c r="L324" i="8"/>
  <c r="L325" i="8"/>
  <c r="L326" i="8"/>
  <c r="L327" i="8"/>
  <c r="L328" i="8"/>
  <c r="L329" i="8"/>
  <c r="L330" i="8"/>
  <c r="L331" i="8"/>
  <c r="L332" i="8"/>
  <c r="L333" i="8"/>
  <c r="L334" i="8"/>
  <c r="L335" i="8"/>
  <c r="L336" i="8"/>
  <c r="L337" i="8"/>
  <c r="L338" i="8"/>
  <c r="L339" i="8"/>
  <c r="L340" i="8"/>
  <c r="L341" i="8"/>
  <c r="L342" i="8"/>
  <c r="L343" i="8"/>
  <c r="L344" i="8"/>
  <c r="L345" i="8"/>
  <c r="L346" i="8"/>
  <c r="L347" i="8"/>
  <c r="L348" i="8"/>
  <c r="L349" i="8"/>
  <c r="L350" i="8"/>
  <c r="L351" i="8"/>
  <c r="L352" i="8"/>
  <c r="L353" i="8"/>
  <c r="L354" i="8"/>
  <c r="L355" i="8"/>
  <c r="L3" i="8"/>
  <c r="L4" i="8"/>
  <c r="L5" i="8"/>
  <c r="L6" i="8"/>
  <c r="L7" i="8"/>
  <c r="L8" i="8"/>
  <c r="L9" i="8"/>
  <c r="L10" i="8"/>
  <c r="L11" i="8"/>
  <c r="L12" i="8"/>
  <c r="L13" i="8"/>
  <c r="L14" i="8"/>
  <c r="L15" i="8"/>
  <c r="L16" i="8"/>
  <c r="L17" i="8"/>
  <c r="L18" i="8"/>
  <c r="L19" i="8"/>
  <c r="J40" i="6"/>
  <c r="J41" i="6"/>
  <c r="J46" i="6"/>
  <c r="J45" i="6"/>
  <c r="J44" i="6"/>
  <c r="J43" i="6"/>
  <c r="J42" i="6"/>
  <c r="J57" i="6"/>
  <c r="J58" i="6"/>
  <c r="J59" i="6"/>
  <c r="J60" i="6"/>
  <c r="J61" i="6"/>
  <c r="J81" i="6"/>
  <c r="J75" i="6"/>
  <c r="J76"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7" i="6"/>
  <c r="J48" i="6"/>
  <c r="J49" i="6"/>
  <c r="J50" i="6"/>
  <c r="J51" i="6"/>
  <c r="J52" i="6"/>
  <c r="J53" i="6"/>
  <c r="J54" i="6"/>
  <c r="J55" i="6"/>
  <c r="J56" i="6"/>
  <c r="J62" i="6"/>
  <c r="J63" i="6"/>
  <c r="J64" i="6"/>
  <c r="J65" i="6"/>
  <c r="J66" i="6"/>
  <c r="J67" i="6"/>
  <c r="J68" i="6"/>
  <c r="J69" i="6"/>
  <c r="J70" i="6"/>
  <c r="J71" i="6"/>
  <c r="J72" i="6"/>
  <c r="J73" i="6"/>
  <c r="J74" i="6"/>
  <c r="J77" i="6"/>
  <c r="J78" i="6"/>
  <c r="J79" i="6"/>
  <c r="J80" i="6"/>
  <c r="J2" i="6"/>
  <c r="D217" i="8" l="1"/>
  <c r="D215" i="8"/>
  <c r="L121" i="11" l="1"/>
  <c r="L120" i="11"/>
  <c r="L119" i="11"/>
  <c r="L118" i="11"/>
  <c r="L117" i="11"/>
  <c r="D117" i="11"/>
  <c r="L4" i="9" l="1"/>
  <c r="L2" i="9"/>
  <c r="L65" i="11" l="1"/>
  <c r="L64" i="11"/>
  <c r="L62" i="11"/>
  <c r="L61" i="11"/>
  <c r="L85" i="11"/>
  <c r="L89" i="11"/>
  <c r="L88" i="11"/>
  <c r="L86" i="11"/>
  <c r="L81" i="11"/>
  <c r="L80" i="11"/>
  <c r="L78" i="11"/>
  <c r="L77" i="11"/>
  <c r="L73" i="11"/>
  <c r="L72" i="11"/>
  <c r="L70" i="11"/>
  <c r="L69" i="11"/>
  <c r="D317" i="8" l="1"/>
  <c r="I293" i="8"/>
  <c r="L293" i="8" s="1"/>
  <c r="I292" i="8"/>
  <c r="L292" i="8" s="1"/>
  <c r="K273" i="8"/>
  <c r="J273" i="8"/>
  <c r="I273" i="8"/>
  <c r="H273" i="8"/>
  <c r="G273" i="8"/>
  <c r="L273" i="8" s="1"/>
  <c r="F273" i="8"/>
  <c r="E273" i="8"/>
  <c r="D265" i="8"/>
  <c r="D264" i="8"/>
  <c r="D270" i="8" s="1"/>
  <c r="D253" i="8"/>
  <c r="D249" i="8"/>
  <c r="D273" i="8" s="1"/>
  <c r="J233" i="8"/>
  <c r="I233" i="8"/>
  <c r="L233" i="8" s="1"/>
  <c r="J226" i="8"/>
  <c r="I226" i="8"/>
  <c r="L226" i="8" s="1"/>
  <c r="D225" i="8"/>
  <c r="J224" i="8"/>
  <c r="I224" i="8"/>
  <c r="D5" i="8"/>
  <c r="D3" i="8" s="1"/>
  <c r="L2" i="8"/>
  <c r="L224" i="8" l="1"/>
  <c r="D266" i="8"/>
  <c r="D272" i="8" s="1"/>
  <c r="D268" i="8"/>
  <c r="L188" i="11" l="1"/>
  <c r="L189" i="11"/>
  <c r="L190" i="11"/>
  <c r="L191" i="11"/>
  <c r="L192" i="11"/>
  <c r="L193" i="11"/>
  <c r="L194" i="11"/>
  <c r="L195" i="11"/>
  <c r="L196" i="11"/>
  <c r="L197" i="11"/>
  <c r="L198" i="11"/>
  <c r="L199" i="11"/>
  <c r="L200" i="11"/>
  <c r="D139" i="11"/>
  <c r="D138" i="11"/>
  <c r="D134" i="11"/>
  <c r="D133" i="11"/>
  <c r="D131" i="11"/>
  <c r="D130" i="11"/>
  <c r="D128" i="11"/>
  <c r="D127" i="11"/>
  <c r="D125" i="11"/>
  <c r="D124" i="11"/>
  <c r="D102" i="11"/>
  <c r="D101" i="11"/>
  <c r="D99" i="11"/>
  <c r="D98" i="11"/>
  <c r="D105" i="11"/>
  <c r="D104" i="11"/>
  <c r="D108" i="11"/>
  <c r="D107" i="11"/>
  <c r="D116" i="11"/>
  <c r="D115" i="11"/>
  <c r="D111" i="11"/>
  <c r="D110" i="11"/>
  <c r="D38" i="11"/>
  <c r="D37" i="11"/>
  <c r="D36" i="11"/>
  <c r="D35" i="11"/>
  <c r="D30" i="11" l="1"/>
  <c r="L30" i="11"/>
  <c r="L266" i="11" l="1"/>
  <c r="L267" i="11"/>
  <c r="L268" i="11" l="1"/>
  <c r="D33" i="11" l="1"/>
  <c r="D34" i="11"/>
  <c r="D31" i="11"/>
  <c r="D32" i="11"/>
  <c r="D29" i="11"/>
  <c r="D13" i="11"/>
  <c r="D12" i="11"/>
  <c r="D11" i="11"/>
  <c r="D10" i="11"/>
  <c r="D5" i="11"/>
  <c r="D3" i="11"/>
  <c r="D4" i="11"/>
  <c r="D2" i="11"/>
  <c r="D316" i="11" l="1"/>
  <c r="D3" i="15" l="1"/>
  <c r="L142" i="11" l="1"/>
  <c r="L143" i="11"/>
  <c r="L144" i="11"/>
  <c r="L145" i="11"/>
  <c r="L146" i="11"/>
  <c r="L147" i="11"/>
  <c r="L148" i="11"/>
  <c r="L149" i="11"/>
  <c r="L150" i="11"/>
  <c r="L151" i="11"/>
  <c r="L152" i="11"/>
  <c r="L153" i="11"/>
  <c r="L154" i="11"/>
  <c r="L155" i="11"/>
  <c r="L156" i="11"/>
  <c r="L157" i="11"/>
  <c r="L158" i="11"/>
  <c r="L159" i="11"/>
  <c r="L160" i="11"/>
  <c r="L161" i="11"/>
  <c r="L162" i="11"/>
  <c r="L163" i="11"/>
  <c r="L164" i="11"/>
  <c r="L165" i="11"/>
  <c r="L166" i="11"/>
  <c r="L167" i="11"/>
  <c r="L168" i="11"/>
  <c r="L169" i="11"/>
  <c r="L170" i="11"/>
  <c r="L171" i="11"/>
  <c r="L172" i="11"/>
  <c r="L173" i="11"/>
  <c r="L174" i="11"/>
  <c r="L175" i="11"/>
  <c r="L179" i="11" l="1"/>
  <c r="L180" i="11"/>
  <c r="L3" i="11" l="1"/>
  <c r="L22" i="11"/>
  <c r="L23" i="11"/>
  <c r="L24" i="11"/>
  <c r="L29" i="11"/>
  <c r="L31" i="11"/>
  <c r="L32" i="11"/>
  <c r="L33" i="11"/>
  <c r="L34" i="11"/>
  <c r="L55" i="11"/>
  <c r="L56" i="11"/>
  <c r="L57" i="11"/>
  <c r="L58" i="11"/>
  <c r="L59" i="11"/>
  <c r="L60" i="11"/>
  <c r="L63" i="11"/>
  <c r="L66" i="11"/>
  <c r="L67" i="11"/>
  <c r="L68" i="11"/>
  <c r="L71" i="11"/>
  <c r="L74" i="11"/>
  <c r="L75" i="11"/>
  <c r="L76" i="11"/>
  <c r="L79" i="11"/>
  <c r="L82" i="11"/>
  <c r="L83" i="11"/>
  <c r="L84" i="11"/>
  <c r="L87" i="11"/>
  <c r="L90" i="11"/>
  <c r="L91" i="11"/>
  <c r="L92" i="11"/>
  <c r="L93" i="11"/>
  <c r="L94" i="11"/>
  <c r="L95" i="11"/>
  <c r="L96" i="11"/>
  <c r="L97" i="11"/>
  <c r="L98" i="11"/>
  <c r="L99" i="11"/>
  <c r="L100" i="11"/>
  <c r="L101" i="11"/>
  <c r="L102" i="11"/>
  <c r="L103" i="11"/>
  <c r="L104" i="11"/>
  <c r="L105" i="11"/>
  <c r="L106" i="11"/>
  <c r="L107" i="11"/>
  <c r="L108" i="11"/>
  <c r="L109" i="11"/>
  <c r="L110" i="11"/>
  <c r="L111" i="11"/>
  <c r="L112" i="11"/>
  <c r="L113" i="11"/>
  <c r="L114" i="11"/>
  <c r="L115" i="11"/>
  <c r="L116" i="11"/>
  <c r="L122" i="11"/>
  <c r="L123" i="11"/>
  <c r="L124" i="11"/>
  <c r="L125" i="11"/>
  <c r="L126" i="11"/>
  <c r="L127" i="11"/>
  <c r="L128" i="11"/>
  <c r="L129" i="11"/>
  <c r="L130" i="11"/>
  <c r="L131" i="11"/>
  <c r="L132" i="11"/>
  <c r="L133" i="11"/>
  <c r="L134" i="11"/>
  <c r="L135" i="11"/>
  <c r="L137" i="11"/>
  <c r="L138" i="11"/>
  <c r="L139" i="11"/>
  <c r="L140" i="11"/>
  <c r="L141" i="11"/>
  <c r="L176" i="11"/>
  <c r="L177" i="11"/>
  <c r="L178" i="11"/>
  <c r="L181" i="11"/>
  <c r="L209" i="11"/>
  <c r="L210" i="11"/>
  <c r="L211" i="11"/>
  <c r="L212" i="11"/>
  <c r="L213" i="11"/>
  <c r="L214" i="11"/>
  <c r="L182" i="11"/>
  <c r="L183" i="11"/>
  <c r="L184" i="11"/>
  <c r="L185" i="11"/>
  <c r="L186" i="11"/>
  <c r="L187" i="11"/>
  <c r="L225" i="11"/>
  <c r="L201" i="11"/>
  <c r="L202" i="11"/>
  <c r="L203" i="11"/>
  <c r="L204" i="11"/>
  <c r="L205" i="11"/>
  <c r="L206" i="11"/>
  <c r="L207" i="11"/>
  <c r="L208" i="11"/>
  <c r="L215" i="11"/>
  <c r="L216" i="11"/>
  <c r="L217" i="11"/>
  <c r="L218" i="11"/>
  <c r="L219" i="11"/>
  <c r="L220" i="11"/>
  <c r="L221" i="11"/>
  <c r="L222" i="11"/>
  <c r="L223" i="11"/>
  <c r="L224" i="11"/>
  <c r="L226" i="11"/>
  <c r="L227" i="11"/>
  <c r="L228" i="11"/>
  <c r="L229" i="11"/>
  <c r="L230" i="11"/>
  <c r="L231" i="11"/>
  <c r="L232" i="11"/>
  <c r="L233" i="11"/>
  <c r="L234" i="11"/>
  <c r="L235" i="11"/>
  <c r="L236" i="11"/>
  <c r="L237" i="11"/>
  <c r="L238" i="11"/>
  <c r="L239" i="11"/>
  <c r="L240" i="11"/>
  <c r="L241" i="11"/>
  <c r="L242" i="11"/>
  <c r="L243" i="11"/>
  <c r="L244" i="11"/>
  <c r="L245" i="11"/>
  <c r="L246" i="11"/>
  <c r="L247" i="11"/>
  <c r="L248" i="11"/>
  <c r="L250" i="11"/>
  <c r="L251" i="11"/>
  <c r="L252" i="11"/>
  <c r="L253" i="11"/>
  <c r="L254" i="11"/>
  <c r="L255" i="11"/>
  <c r="L256" i="11"/>
  <c r="L257" i="11"/>
  <c r="L258" i="11"/>
  <c r="L259" i="11"/>
  <c r="L260" i="11"/>
  <c r="L261" i="11"/>
  <c r="L262" i="11"/>
  <c r="L263" i="11"/>
  <c r="L264" i="11"/>
  <c r="L265" i="11"/>
  <c r="L269" i="11"/>
  <c r="L270" i="11"/>
  <c r="L271" i="11"/>
  <c r="L272" i="11"/>
  <c r="L273" i="11"/>
  <c r="L274" i="11"/>
  <c r="L275" i="11"/>
  <c r="L276" i="11"/>
  <c r="L277" i="11"/>
  <c r="L278" i="11"/>
  <c r="L279" i="11"/>
  <c r="L280" i="11"/>
  <c r="L281" i="11"/>
  <c r="L282" i="11"/>
  <c r="L283" i="11"/>
  <c r="L284" i="11"/>
  <c r="L285" i="11"/>
  <c r="L286" i="11"/>
  <c r="L293" i="11"/>
  <c r="L294" i="11"/>
  <c r="L295" i="11"/>
  <c r="L296" i="11"/>
  <c r="L297" i="11"/>
  <c r="L298" i="11"/>
  <c r="L299" i="11"/>
  <c r="L300" i="11"/>
  <c r="L301" i="11"/>
  <c r="L302" i="11"/>
  <c r="L303" i="11"/>
  <c r="L304" i="11"/>
  <c r="L305" i="11"/>
  <c r="L306" i="11"/>
  <c r="L307" i="11"/>
  <c r="L308" i="11"/>
  <c r="L309" i="11"/>
  <c r="L310" i="11"/>
  <c r="L311" i="11"/>
  <c r="L312" i="11"/>
  <c r="L313" i="11"/>
  <c r="L314" i="11"/>
  <c r="L315" i="11"/>
  <c r="L316" i="11"/>
  <c r="L317" i="11"/>
  <c r="L318" i="11"/>
  <c r="L319" i="11"/>
  <c r="L320" i="11"/>
  <c r="L321" i="11"/>
  <c r="L322" i="11"/>
  <c r="L323" i="11"/>
  <c r="L324" i="11"/>
  <c r="L326" i="11"/>
  <c r="L327" i="11"/>
  <c r="L328" i="11"/>
  <c r="L329" i="11"/>
  <c r="L330" i="11"/>
  <c r="L331" i="11"/>
  <c r="L332" i="11"/>
  <c r="L333" i="11"/>
  <c r="L334" i="11"/>
  <c r="L335" i="11"/>
  <c r="L336" i="11"/>
  <c r="L337" i="11"/>
  <c r="L338" i="11"/>
  <c r="L339" i="11"/>
  <c r="L340" i="11"/>
  <c r="L341" i="11"/>
  <c r="L342" i="11"/>
  <c r="L343" i="11"/>
  <c r="L344" i="11"/>
  <c r="L345" i="11"/>
  <c r="L346" i="11"/>
  <c r="L347" i="11"/>
  <c r="L348" i="11"/>
  <c r="L349" i="11"/>
  <c r="L350" i="11"/>
  <c r="L351" i="11"/>
  <c r="L352" i="11"/>
  <c r="L353" i="11"/>
  <c r="L354" i="11"/>
  <c r="L355" i="11"/>
  <c r="L356" i="11"/>
  <c r="L357" i="11"/>
  <c r="L358" i="11"/>
  <c r="L359" i="11"/>
  <c r="L360" i="11"/>
  <c r="D24" i="11" l="1"/>
  <c r="D23" i="11"/>
  <c r="D22" i="11"/>
  <c r="C12" i="12"/>
  <c r="D185" i="11" l="1"/>
  <c r="D186" i="11"/>
  <c r="D187" i="11"/>
  <c r="D184" i="11"/>
  <c r="L3" i="15" l="1"/>
  <c r="D331" i="11" l="1"/>
  <c r="D190" i="11" l="1"/>
  <c r="D189" i="11"/>
  <c r="D353" i="11" l="1"/>
  <c r="D352" i="11"/>
  <c r="D351" i="11"/>
  <c r="D350" i="11"/>
  <c r="J15" i="12"/>
  <c r="D94" i="11" l="1"/>
  <c r="L2" i="11" l="1"/>
  <c r="L2" i="15" l="1"/>
  <c r="L2" i="14"/>
  <c r="L3" i="14"/>
  <c r="L4" i="14"/>
  <c r="L5" i="14"/>
  <c r="L6" i="14"/>
  <c r="L7" i="14"/>
  <c r="L8" i="14"/>
  <c r="L9" i="14"/>
  <c r="L10" i="14"/>
  <c r="L11" i="14"/>
  <c r="D2" i="13"/>
  <c r="L2" i="13"/>
  <c r="L3" i="13"/>
  <c r="D4" i="13"/>
  <c r="L4" i="13"/>
  <c r="L5" i="13"/>
  <c r="L6" i="13"/>
  <c r="L7" i="13"/>
  <c r="D8" i="13"/>
  <c r="L8" i="13"/>
  <c r="L9" i="13"/>
  <c r="L10" i="13"/>
  <c r="L11" i="13"/>
  <c r="L12" i="13"/>
  <c r="L13" i="13"/>
  <c r="L14" i="13"/>
  <c r="D15" i="13"/>
  <c r="L15" i="13"/>
  <c r="L16" i="13"/>
  <c r="J2" i="12"/>
  <c r="J3" i="12"/>
  <c r="E4" i="12"/>
  <c r="F4" i="12"/>
  <c r="G4" i="12"/>
  <c r="H4" i="12"/>
  <c r="C5" i="12"/>
  <c r="J5" i="12"/>
  <c r="C6" i="12"/>
  <c r="J6" i="12"/>
  <c r="C7" i="12"/>
  <c r="J7" i="12"/>
  <c r="C8" i="12"/>
  <c r="J8" i="12"/>
  <c r="C9" i="12"/>
  <c r="J9" i="12"/>
  <c r="C10" i="12"/>
  <c r="C13" i="12" s="1"/>
  <c r="J10" i="12"/>
  <c r="C11" i="12"/>
  <c r="J11" i="12"/>
  <c r="J12" i="12"/>
  <c r="E13" i="12"/>
  <c r="F13" i="12"/>
  <c r="G13" i="12"/>
  <c r="H13" i="12"/>
  <c r="J14" i="12"/>
  <c r="J16" i="12"/>
  <c r="J17" i="12"/>
  <c r="J18" i="12"/>
  <c r="C19" i="12"/>
  <c r="J19" i="12"/>
  <c r="C21"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D7" i="11"/>
  <c r="E4" i="11"/>
  <c r="G4" i="11"/>
  <c r="G20" i="11" s="1"/>
  <c r="H4" i="11"/>
  <c r="H20" i="11" s="1"/>
  <c r="I4" i="11"/>
  <c r="J4" i="11"/>
  <c r="K4" i="11"/>
  <c r="E5" i="11"/>
  <c r="E17" i="11" s="1"/>
  <c r="G5" i="11"/>
  <c r="H5" i="11"/>
  <c r="H17" i="11" s="1"/>
  <c r="I5" i="11"/>
  <c r="I46" i="11" s="1"/>
  <c r="J5" i="11"/>
  <c r="J46" i="11" s="1"/>
  <c r="K5" i="11"/>
  <c r="K46" i="11" s="1"/>
  <c r="E6" i="11"/>
  <c r="G6" i="11"/>
  <c r="H6" i="11"/>
  <c r="I6" i="11"/>
  <c r="J6" i="11"/>
  <c r="K6" i="11"/>
  <c r="E7" i="11"/>
  <c r="G7" i="11"/>
  <c r="H7" i="11"/>
  <c r="I7" i="11"/>
  <c r="J7" i="11"/>
  <c r="K7" i="11"/>
  <c r="E10" i="11"/>
  <c r="G10" i="11"/>
  <c r="H10" i="11"/>
  <c r="I10" i="11"/>
  <c r="J10" i="11"/>
  <c r="K10" i="11"/>
  <c r="E11" i="11"/>
  <c r="G11" i="11"/>
  <c r="H11" i="11"/>
  <c r="I11" i="11"/>
  <c r="J11" i="11"/>
  <c r="K11" i="11"/>
  <c r="E14" i="11"/>
  <c r="G14" i="11"/>
  <c r="H14" i="11"/>
  <c r="I14" i="11"/>
  <c r="J14" i="11"/>
  <c r="K14" i="11"/>
  <c r="E15" i="11"/>
  <c r="G15" i="11"/>
  <c r="H15" i="11"/>
  <c r="I15" i="11"/>
  <c r="J15" i="11"/>
  <c r="K15" i="11"/>
  <c r="E18" i="11"/>
  <c r="G18" i="11"/>
  <c r="H18" i="11"/>
  <c r="I18" i="11"/>
  <c r="J18" i="11"/>
  <c r="K18" i="11"/>
  <c r="E19" i="11"/>
  <c r="G19" i="11"/>
  <c r="H19" i="11"/>
  <c r="I19" i="11"/>
  <c r="J19" i="11"/>
  <c r="K19" i="11"/>
  <c r="E25" i="11"/>
  <c r="G25" i="11"/>
  <c r="H25" i="11"/>
  <c r="I25" i="11"/>
  <c r="J25" i="11"/>
  <c r="K25" i="11"/>
  <c r="E26" i="11"/>
  <c r="G26" i="11"/>
  <c r="H26" i="11"/>
  <c r="I26" i="11"/>
  <c r="J26" i="11"/>
  <c r="K26" i="11"/>
  <c r="G35" i="11"/>
  <c r="H35" i="11"/>
  <c r="H37" i="11" s="1"/>
  <c r="I35" i="11"/>
  <c r="I37" i="11" s="1"/>
  <c r="J35" i="11"/>
  <c r="J37" i="11" s="1"/>
  <c r="K35" i="11"/>
  <c r="K37" i="11" s="1"/>
  <c r="G36" i="11"/>
  <c r="H36" i="11"/>
  <c r="H38" i="11" s="1"/>
  <c r="I36" i="11"/>
  <c r="I38" i="11" s="1"/>
  <c r="J36" i="11"/>
  <c r="J38" i="11" s="1"/>
  <c r="K36" i="11"/>
  <c r="K38" i="11" s="1"/>
  <c r="E39" i="11"/>
  <c r="G39" i="11"/>
  <c r="H39" i="11"/>
  <c r="I39" i="11"/>
  <c r="J39" i="11"/>
  <c r="K39" i="11"/>
  <c r="E40" i="11"/>
  <c r="G40" i="11"/>
  <c r="H40" i="11"/>
  <c r="I40" i="11"/>
  <c r="J40" i="11"/>
  <c r="K40" i="11"/>
  <c r="E43" i="11"/>
  <c r="G43" i="11"/>
  <c r="H43" i="11"/>
  <c r="I43" i="11"/>
  <c r="J43" i="11"/>
  <c r="K43" i="11"/>
  <c r="E44" i="11"/>
  <c r="G44" i="11"/>
  <c r="H44" i="11"/>
  <c r="I44" i="11"/>
  <c r="J44" i="11"/>
  <c r="K44" i="11"/>
  <c r="E47" i="11"/>
  <c r="G47" i="11"/>
  <c r="H47" i="11"/>
  <c r="I47" i="11"/>
  <c r="J47" i="11"/>
  <c r="K47" i="11"/>
  <c r="E48" i="11"/>
  <c r="G48" i="11"/>
  <c r="H48" i="11"/>
  <c r="I48" i="11"/>
  <c r="J48" i="11"/>
  <c r="K48" i="11"/>
  <c r="E51" i="11"/>
  <c r="G51" i="11"/>
  <c r="H51" i="11"/>
  <c r="I51" i="11"/>
  <c r="J51" i="11"/>
  <c r="K51" i="11"/>
  <c r="E52" i="11"/>
  <c r="G52" i="11"/>
  <c r="H52" i="11"/>
  <c r="I52" i="11"/>
  <c r="J52" i="11"/>
  <c r="K52" i="11"/>
  <c r="D66" i="11"/>
  <c r="D74" i="11"/>
  <c r="D82" i="11"/>
  <c r="D90" i="11"/>
  <c r="D97" i="11"/>
  <c r="D100" i="11"/>
  <c r="D103" i="11"/>
  <c r="D106" i="11"/>
  <c r="D109" i="11"/>
  <c r="D114" i="11"/>
  <c r="D122" i="11"/>
  <c r="D126" i="11"/>
  <c r="D129" i="11"/>
  <c r="D132" i="11"/>
  <c r="D136" i="11"/>
  <c r="D137" i="11"/>
  <c r="D142" i="11"/>
  <c r="D178" i="11"/>
  <c r="D209" i="11"/>
  <c r="D212" i="11"/>
  <c r="D182" i="11"/>
  <c r="D183" i="11"/>
  <c r="D225" i="11"/>
  <c r="D191" i="11"/>
  <c r="D195" i="11"/>
  <c r="E197" i="11"/>
  <c r="E198" i="11"/>
  <c r="D199" i="11"/>
  <c r="D203" i="11"/>
  <c r="E205" i="11"/>
  <c r="E206" i="11"/>
  <c r="D207" i="11"/>
  <c r="D215" i="11"/>
  <c r="D218" i="11"/>
  <c r="D220" i="11"/>
  <c r="D223" i="11"/>
  <c r="D226" i="11"/>
  <c r="D228" i="11"/>
  <c r="D229" i="11" s="1"/>
  <c r="D232" i="11"/>
  <c r="D233" i="11"/>
  <c r="D238" i="11"/>
  <c r="D240" i="11"/>
  <c r="D241" i="11"/>
  <c r="D243" i="11"/>
  <c r="D249" i="11"/>
  <c r="E249" i="11"/>
  <c r="G249" i="11"/>
  <c r="H249" i="11"/>
  <c r="I249" i="11"/>
  <c r="J249" i="11"/>
  <c r="K249" i="11"/>
  <c r="E287" i="11"/>
  <c r="G287" i="11"/>
  <c r="H287" i="11"/>
  <c r="I287" i="11"/>
  <c r="J287" i="11"/>
  <c r="K287" i="11"/>
  <c r="E288" i="11"/>
  <c r="G288" i="11"/>
  <c r="H288" i="11"/>
  <c r="I288" i="11"/>
  <c r="J288" i="11"/>
  <c r="K288" i="11"/>
  <c r="E289" i="11"/>
  <c r="G289" i="11"/>
  <c r="H289" i="11"/>
  <c r="I289" i="11"/>
  <c r="J289" i="11"/>
  <c r="K289" i="11"/>
  <c r="D290" i="11"/>
  <c r="E290" i="11"/>
  <c r="G290" i="11"/>
  <c r="H290" i="11"/>
  <c r="I290" i="11"/>
  <c r="J290" i="11"/>
  <c r="K290" i="11"/>
  <c r="D291" i="11"/>
  <c r="E291" i="11"/>
  <c r="G291" i="11"/>
  <c r="H291" i="11"/>
  <c r="I291" i="11"/>
  <c r="J291" i="11"/>
  <c r="K291" i="11"/>
  <c r="E292" i="11"/>
  <c r="G292" i="11"/>
  <c r="H292" i="11"/>
  <c r="I292" i="11"/>
  <c r="J292" i="11"/>
  <c r="K292" i="11"/>
  <c r="D313" i="11"/>
  <c r="D287" i="11"/>
  <c r="D320" i="11"/>
  <c r="D288" i="11" s="1"/>
  <c r="D321" i="11"/>
  <c r="D289" i="11" s="1"/>
  <c r="D324" i="11"/>
  <c r="D292" i="11" s="1"/>
  <c r="G325" i="11"/>
  <c r="H325" i="11"/>
  <c r="I325" i="11"/>
  <c r="J325" i="11"/>
  <c r="K325" i="11"/>
  <c r="D333" i="11"/>
  <c r="D336" i="11"/>
  <c r="D341" i="11"/>
  <c r="D345" i="11"/>
  <c r="J41" i="11" l="1"/>
  <c r="J20" i="11"/>
  <c r="K45" i="11"/>
  <c r="K20" i="11"/>
  <c r="E16" i="11"/>
  <c r="E20" i="11"/>
  <c r="I49" i="11"/>
  <c r="I20" i="11"/>
  <c r="L292" i="11"/>
  <c r="L289" i="11"/>
  <c r="L287" i="11"/>
  <c r="L290" i="11"/>
  <c r="L136" i="11"/>
  <c r="L325" i="11"/>
  <c r="L291" i="11"/>
  <c r="L288" i="11"/>
  <c r="L249" i="11"/>
  <c r="L51" i="11"/>
  <c r="L48" i="11"/>
  <c r="L43" i="11"/>
  <c r="L40" i="11"/>
  <c r="L36" i="11"/>
  <c r="L26" i="11"/>
  <c r="L18" i="11"/>
  <c r="L15" i="11"/>
  <c r="L10" i="11"/>
  <c r="L7" i="11"/>
  <c r="G53" i="11"/>
  <c r="L4" i="11"/>
  <c r="L35" i="11"/>
  <c r="L52" i="11"/>
  <c r="L47" i="11"/>
  <c r="L44" i="11"/>
  <c r="L39" i="11"/>
  <c r="L25" i="11"/>
  <c r="L19" i="11"/>
  <c r="L14" i="11"/>
  <c r="L11" i="11"/>
  <c r="L6" i="11"/>
  <c r="G46" i="11"/>
  <c r="L5" i="11"/>
  <c r="D317" i="11"/>
  <c r="J21" i="11"/>
  <c r="K9" i="11"/>
  <c r="J50" i="11"/>
  <c r="J9" i="11"/>
  <c r="G42" i="11"/>
  <c r="K54" i="11"/>
  <c r="I41" i="11"/>
  <c r="I53" i="11"/>
  <c r="K42" i="11"/>
  <c r="H16" i="11"/>
  <c r="G54" i="11"/>
  <c r="D43" i="11"/>
  <c r="J17" i="11"/>
  <c r="D14" i="11"/>
  <c r="I8" i="11"/>
  <c r="E54" i="11"/>
  <c r="E28" i="11"/>
  <c r="E9" i="11"/>
  <c r="H54" i="11"/>
  <c r="H53" i="11"/>
  <c r="H8" i="11"/>
  <c r="E50" i="11"/>
  <c r="E46" i="11"/>
  <c r="J42" i="11"/>
  <c r="H41" i="11"/>
  <c r="J28" i="11"/>
  <c r="E21" i="11"/>
  <c r="J49" i="11"/>
  <c r="J45" i="11"/>
  <c r="D44" i="11"/>
  <c r="J54" i="11"/>
  <c r="H49" i="11"/>
  <c r="H45" i="11"/>
  <c r="E42" i="11"/>
  <c r="H27" i="11"/>
  <c r="D25" i="11"/>
  <c r="G9" i="11"/>
  <c r="H46" i="11"/>
  <c r="D20" i="11"/>
  <c r="E53" i="11"/>
  <c r="J16" i="11"/>
  <c r="J53" i="11"/>
  <c r="E45" i="11"/>
  <c r="J27" i="11"/>
  <c r="I9" i="11"/>
  <c r="K8" i="11"/>
  <c r="G8" i="11"/>
  <c r="G45" i="11"/>
  <c r="I42" i="11"/>
  <c r="K41" i="11"/>
  <c r="G41" i="11"/>
  <c r="H28" i="11"/>
  <c r="E27" i="11"/>
  <c r="H21" i="11"/>
  <c r="H9" i="11"/>
  <c r="J8" i="11"/>
  <c r="E8" i="11"/>
  <c r="I54" i="11"/>
  <c r="K53" i="11"/>
  <c r="H50" i="11"/>
  <c r="E49" i="11"/>
  <c r="H42" i="11"/>
  <c r="E41" i="11"/>
  <c r="I50" i="11"/>
  <c r="D48" i="11"/>
  <c r="K50" i="11"/>
  <c r="G37" i="11"/>
  <c r="L37" i="11" s="1"/>
  <c r="J13" i="12"/>
  <c r="J4" i="12"/>
  <c r="J20" i="12"/>
  <c r="D3" i="13"/>
  <c r="I45" i="11"/>
  <c r="I16" i="11"/>
  <c r="I27" i="11"/>
  <c r="D40" i="11"/>
  <c r="D19" i="11"/>
  <c r="D52" i="11"/>
  <c r="D51" i="11"/>
  <c r="D26" i="11"/>
  <c r="I17" i="11"/>
  <c r="I21" i="11"/>
  <c r="I28" i="11"/>
  <c r="G38" i="11"/>
  <c r="L38" i="11" s="1"/>
  <c r="K16" i="11"/>
  <c r="K27" i="11"/>
  <c r="K49" i="11"/>
  <c r="G16" i="11"/>
  <c r="G27" i="11"/>
  <c r="G49" i="11"/>
  <c r="D39" i="11"/>
  <c r="D18" i="11"/>
  <c r="D47" i="11"/>
  <c r="D15" i="11"/>
  <c r="D6" i="11"/>
  <c r="K17" i="11"/>
  <c r="K21" i="11"/>
  <c r="K28" i="11"/>
  <c r="G17" i="11"/>
  <c r="G21" i="11"/>
  <c r="G28" i="11"/>
  <c r="G50" i="11"/>
  <c r="L20" i="11" l="1"/>
  <c r="L17" i="11"/>
  <c r="L16" i="11"/>
  <c r="L41" i="11"/>
  <c r="L28" i="11"/>
  <c r="L27" i="11"/>
  <c r="L8" i="11"/>
  <c r="L45" i="11"/>
  <c r="L42" i="11"/>
  <c r="L46" i="11"/>
  <c r="L53" i="11"/>
  <c r="L50" i="11"/>
  <c r="L49" i="11"/>
  <c r="L21" i="11"/>
  <c r="L9" i="11"/>
  <c r="L54" i="11"/>
  <c r="D49" i="11"/>
  <c r="D16" i="11"/>
  <c r="D45" i="11"/>
  <c r="D27" i="11"/>
  <c r="D53" i="11"/>
  <c r="D8" i="11"/>
  <c r="D41" i="11"/>
  <c r="D46" i="11"/>
  <c r="D17" i="11"/>
  <c r="D21" i="11"/>
  <c r="D28" i="11"/>
  <c r="D9" i="11"/>
  <c r="D42" i="11"/>
  <c r="D50" i="11"/>
  <c r="D54" i="11"/>
</calcChain>
</file>

<file path=xl/sharedStrings.xml><?xml version="1.0" encoding="utf-8"?>
<sst xmlns="http://schemas.openxmlformats.org/spreadsheetml/2006/main" count="7977" uniqueCount="905">
  <si>
    <t>From</t>
  </si>
  <si>
    <t>To</t>
  </si>
  <si>
    <t>PrimaryProduction</t>
  </si>
  <si>
    <t>Transport</t>
  </si>
  <si>
    <t>FibreProduction</t>
  </si>
  <si>
    <t>TextileManufacturing</t>
  </si>
  <si>
    <t>NonTextileManufacturing</t>
  </si>
  <si>
    <t>Packaging</t>
  </si>
  <si>
    <t>BuildingConstruction</t>
  </si>
  <si>
    <t>Automotive</t>
  </si>
  <si>
    <t>EEE</t>
  </si>
  <si>
    <t>Agriculture</t>
  </si>
  <si>
    <t>Other</t>
  </si>
  <si>
    <t>ConsumerFilms</t>
  </si>
  <si>
    <t>ConsumerBags</t>
  </si>
  <si>
    <t>ConsumerBottles</t>
  </si>
  <si>
    <t>ConsumerOther</t>
  </si>
  <si>
    <t>AgriculturalPackagingFilms</t>
  </si>
  <si>
    <t>AgriculturalPackagingBottles</t>
  </si>
  <si>
    <t>BuildingPackagingFilms</t>
  </si>
  <si>
    <t>OtherNonConsumerFilms</t>
  </si>
  <si>
    <t>NonConsumerBags</t>
  </si>
  <si>
    <t>NonConsumerOther</t>
  </si>
  <si>
    <t>PipesDucts</t>
  </si>
  <si>
    <t>Insulation</t>
  </si>
  <si>
    <t>WallFloorCoverings</t>
  </si>
  <si>
    <t>WindowsProfilesFittedFurniture</t>
  </si>
  <si>
    <t>Lining</t>
  </si>
  <si>
    <t>ELVCollection</t>
  </si>
  <si>
    <t>MixedCollection</t>
  </si>
  <si>
    <t>WEEECollection</t>
  </si>
  <si>
    <t>AgriculturalFilms</t>
  </si>
  <si>
    <t>AgriculturalPipes</t>
  </si>
  <si>
    <t>AgriculturalOther</t>
  </si>
  <si>
    <t>Household</t>
  </si>
  <si>
    <t>Furniture</t>
  </si>
  <si>
    <t>FabricCoatings</t>
  </si>
  <si>
    <t>Cosmetics</t>
  </si>
  <si>
    <t>OtherOther</t>
  </si>
  <si>
    <t>HouseholdTextiles</t>
  </si>
  <si>
    <t>TechnicalTextiles</t>
  </si>
  <si>
    <t>PackagingCollection</t>
  </si>
  <si>
    <t>AgricultureCollection</t>
  </si>
  <si>
    <t>CDCollection</t>
  </si>
  <si>
    <t>TextileCollection</t>
  </si>
  <si>
    <t>PackagingRecycling</t>
  </si>
  <si>
    <t>Landfill</t>
  </si>
  <si>
    <t>Incineration</t>
  </si>
  <si>
    <t>CDRecycling</t>
  </si>
  <si>
    <t>LargePartRecycling</t>
  </si>
  <si>
    <t>ASRRecycling</t>
  </si>
  <si>
    <t>WEEPRecycling</t>
  </si>
  <si>
    <t>AgricultureRecycling</t>
  </si>
  <si>
    <t>MaterialReuse</t>
  </si>
  <si>
    <t>Elimination</t>
  </si>
  <si>
    <t>PartReuse</t>
  </si>
  <si>
    <t>rest</t>
  </si>
  <si>
    <t>Source</t>
  </si>
  <si>
    <t>Material</t>
  </si>
  <si>
    <t>Compartment</t>
  </si>
  <si>
    <t>Temp</t>
  </si>
  <si>
    <t>Mat</t>
  </si>
  <si>
    <t>Tech</t>
  </si>
  <si>
    <t>Rel</t>
  </si>
  <si>
    <t>Geo</t>
  </si>
  <si>
    <t>any</t>
  </si>
  <si>
    <t>Data</t>
  </si>
  <si>
    <t>Export</t>
  </si>
  <si>
    <t>Comment</t>
  </si>
  <si>
    <t/>
  </si>
  <si>
    <t>Estimations based on different sources, see description in SI</t>
  </si>
  <si>
    <t>Assumption</t>
  </si>
  <si>
    <t>Müller Andreas, 2016</t>
  </si>
  <si>
    <t>Eurostat, aggregated</t>
  </si>
  <si>
    <t>Swiss-Impex</t>
  </si>
  <si>
    <t>Codes and comments</t>
  </si>
  <si>
    <t>Müller, E. &amp; Widmer, R. Materialflüsse der elektrischen undelektronischen Geräte in der Schweiz. (2010).</t>
  </si>
  <si>
    <t>Restrepo, Eliette, Amund N. Løvik, Patrick Wäger, Rolf Widmer, Radek Lonka, and Daniel B. Müller, ‘Stocks, Flows, and Distribution of Critical Metals in Embedded Electronics in Passenger Vehicles’, Environmental Science &amp; Technology, 51 (2017), 1129–39 &lt;http://dx.doi.org/10.1021/acs.est.6b05743&gt;</t>
  </si>
  <si>
    <t xml:space="preserve"> </t>
  </si>
  <si>
    <t>TextileReuse</t>
  </si>
  <si>
    <t>Swico, SENS, and SLRS, Technical Report 2017, 2017</t>
  </si>
  <si>
    <t>Burkhardt, Michael, Alexander Englert, Rico Iten, and Sandro Schärer, Entsorgung Nanosilberhaltiger Abfälle in Der Textilindustrie - Massenflüsse Und Behandlungsverfahren, 2011</t>
  </si>
  <si>
    <t>Astrup et al., ‘Recycling of Plastic : Accounting of Greenhouse Gases and Global Warming Contributions’, Waste Management &amp; Research, 2009</t>
  </si>
  <si>
    <t>Astrup et al., ‘Recycling of Plastic : Accounting of Greenhouse Gases and Global Warming Contributions’, Waste Management &amp; Research, 2012</t>
  </si>
  <si>
    <t>Swiss-Impex and assumptions</t>
  </si>
  <si>
    <t>Data (kt)</t>
  </si>
  <si>
    <t>Apparel</t>
  </si>
  <si>
    <t>HygieneMedicalTextiles</t>
  </si>
  <si>
    <t>Agrotextiles</t>
  </si>
  <si>
    <t>MobilityTextiles</t>
  </si>
  <si>
    <t>Geotextiles</t>
  </si>
  <si>
    <t>BuildingTextiles</t>
  </si>
  <si>
    <t>TechnicalClothing</t>
  </si>
  <si>
    <t>OtherTechnicalTextiles</t>
  </si>
  <si>
    <t>Grebe, Jürgen, Technical Textiles - Prospects and Challenges, 2015</t>
  </si>
  <si>
    <t>TechnicalHouseholdTextiles</t>
  </si>
  <si>
    <t>Dettli, Reto, Raphael Fasko, Urban Frei, and Fabienne Habermacher, Transformation Der Abfallverwertung in Der Schweiz Für Eine Hohe Und Zeitlich Optimierte Energieausnutzung, 2015</t>
  </si>
  <si>
    <t>WRAP, Report: Plastic Packaging Composition 2011, 2013</t>
  </si>
  <si>
    <t>APME, Plastics: A Material of Choice in Building and Construction - Plastics Consumption and Recovery in Western Europe 1995, 1995</t>
  </si>
  <si>
    <t>Applied Market Information Ltd., AMI’s 2015 EUROPEAN PLASTICS INDUSTRY REPORT, 2015</t>
  </si>
  <si>
    <t>ELVTextilesCollection</t>
  </si>
  <si>
    <t>CDIncinerableCollection</t>
  </si>
  <si>
    <t>Consultic Marketing &amp; Industrieberatung GmbH, Produktion, Verarbeitung Und Verwertung von Kunststoffen in Deutschland 2015 - Kurzfassung, 2016</t>
  </si>
  <si>
    <t>Haupt, Melanie, Carl Vadenbo, and Stefanie Hellweg, ‘Do We Have the Right Performance Indicators for the Circular Economy? – Insight into the Swiss Waste Management System’, Journal of Industrial Ecology, 2016, 1–13 &lt;http://dx.doi.org/10.1111/jiec.12506&gt;</t>
  </si>
  <si>
    <t>RecyclateRepelletizing</t>
  </si>
  <si>
    <t>Astrup et al., ‘Recycling of Plastic : Accounting of Greenhouse Gases and Global Warming Contributions’, Waste Management &amp; Research, 2005</t>
  </si>
  <si>
    <t>Astrup et al., ‘Recycling of Plastic : Accounting of Greenhouse Gases and Global Warming Contributions’, Waste Management &amp; Research, 2006</t>
  </si>
  <si>
    <t>Astrup et al., ‘Recycling of Plastic : Accounting of Greenhouse Gases and Global Warming Contributions’, Waste Management &amp; Research, 2007</t>
  </si>
  <si>
    <t>Schelker, Raymond, and Patrik Geisselhardt, Projekt „ Kunststoff-Verwertung Schweiz “: Bericht Module 1 Und 2, 2011</t>
  </si>
  <si>
    <t>Schelker, Raymond, and Patrik Geisselhardt, Welche Fraktionen - Hauptkunststoffe, 2011</t>
  </si>
  <si>
    <t>Foundation Auto Recycling Switzerland (SARS), Annual Report 2014, 2015</t>
  </si>
  <si>
    <t>Transparency Market Research, ‘Technical Textiles Market to Reach US$160.38 Billion Owing to Innovative Product Development’, 2015 &lt;http://www.transparencymarketresearch.com/pressrelease/technical-textiles-market.htm&gt; [accessed 22 February 2017]</t>
  </si>
  <si>
    <t>AutomotivePC</t>
  </si>
  <si>
    <t>EEEPC</t>
  </si>
  <si>
    <t>ApparelPC</t>
  </si>
  <si>
    <t>HouseholdTextilesPC</t>
  </si>
  <si>
    <t>Spread</t>
  </si>
  <si>
    <t>ShortLabel</t>
  </si>
  <si>
    <t>LongLabel</t>
  </si>
  <si>
    <t>Recycled Material Production</t>
  </si>
  <si>
    <t>Rmat</t>
  </si>
  <si>
    <t>Primary Production</t>
  </si>
  <si>
    <t>Fibre Production</t>
  </si>
  <si>
    <t>Non-Textile Manufacturing</t>
  </si>
  <si>
    <t>Textile Manufacturing</t>
  </si>
  <si>
    <t>Building and Construction</t>
  </si>
  <si>
    <t>Electrical and Electronic Equipment</t>
  </si>
  <si>
    <t>Other Plastic Products</t>
  </si>
  <si>
    <t>Household Textiles</t>
  </si>
  <si>
    <t>Technical Textiles</t>
  </si>
  <si>
    <t>Agricultural Packaging Films</t>
  </si>
  <si>
    <t>Agricultural Packaging Bottles</t>
  </si>
  <si>
    <t>Building Packaging Films</t>
  </si>
  <si>
    <t>Consumer Films</t>
  </si>
  <si>
    <t>Consumer Bags</t>
  </si>
  <si>
    <t>Consumer Bottles</t>
  </si>
  <si>
    <t>Consumer Other</t>
  </si>
  <si>
    <t>Other Non Consumer Films</t>
  </si>
  <si>
    <t>Non Consumer Bags</t>
  </si>
  <si>
    <t>Non Consumer Other</t>
  </si>
  <si>
    <t>Pipes and Ducts</t>
  </si>
  <si>
    <t>Wall and Floor coverings</t>
  </si>
  <si>
    <t>Windows, Profiles and Fitted Furniture</t>
  </si>
  <si>
    <t>Automotive (category)</t>
  </si>
  <si>
    <t>Electrical and Electronic Equipment (category)</t>
  </si>
  <si>
    <t>Agricultural Films</t>
  </si>
  <si>
    <t>Agricultural Pipes</t>
  </si>
  <si>
    <t>Agricultural Other</t>
  </si>
  <si>
    <t>Other Plastic Products (category)</t>
  </si>
  <si>
    <t>Hygiene and Medical Textiles</t>
  </si>
  <si>
    <t>Household Textiles (category)</t>
  </si>
  <si>
    <t>Fabric Coatings</t>
  </si>
  <si>
    <t>Technical Clothing</t>
  </si>
  <si>
    <t>Technical Household Textiles</t>
  </si>
  <si>
    <t>Mobility Textiles</t>
  </si>
  <si>
    <t>Building Textiles</t>
  </si>
  <si>
    <t>Other Technical Textiles</t>
  </si>
  <si>
    <t>Packaging Collection</t>
  </si>
  <si>
    <t>Mixed Waste Collection</t>
  </si>
  <si>
    <t>MSW</t>
  </si>
  <si>
    <t>Construction and Demolition Waste Collection</t>
  </si>
  <si>
    <t>C&amp;D</t>
  </si>
  <si>
    <t>Construction and Demolition Incinerable Waste Collection</t>
  </si>
  <si>
    <t>End-Of-Life Vehicle Collection</t>
  </si>
  <si>
    <t>End-Of-Life Vehicle Textiles Collection</t>
  </si>
  <si>
    <t>Electrical and Electronic Equiment Waste Collection</t>
  </si>
  <si>
    <t>Agriculture Waste Collection</t>
  </si>
  <si>
    <t>Textile Waste Collection</t>
  </si>
  <si>
    <t>Packaging Recycling</t>
  </si>
  <si>
    <t>Construction and Demolition Recycling</t>
  </si>
  <si>
    <t>Automotive Large Parts Recycling</t>
  </si>
  <si>
    <t>Automotive Shredder Residue Recycling</t>
  </si>
  <si>
    <t>Waste of Electrical and Electronic Plastic Recycling</t>
  </si>
  <si>
    <t>Agriculture Plastic Recycling</t>
  </si>
  <si>
    <t>Fprod</t>
  </si>
  <si>
    <t>Pprod</t>
  </si>
  <si>
    <t>NTMan</t>
  </si>
  <si>
    <t>Tman</t>
  </si>
  <si>
    <t>Pack</t>
  </si>
  <si>
    <t>BnC</t>
  </si>
  <si>
    <t>Auto</t>
  </si>
  <si>
    <t>Agri</t>
  </si>
  <si>
    <t>HHText</t>
  </si>
  <si>
    <t>Ttext</t>
  </si>
  <si>
    <t>AgriPackFilms</t>
  </si>
  <si>
    <t>AgriPackBottles</t>
  </si>
  <si>
    <t>BPackFilms</t>
  </si>
  <si>
    <t>CBottles</t>
  </si>
  <si>
    <t>CBags</t>
  </si>
  <si>
    <t>CFilms</t>
  </si>
  <si>
    <t>COther</t>
  </si>
  <si>
    <t>NCFilms</t>
  </si>
  <si>
    <t>NCBags</t>
  </si>
  <si>
    <t>NCOther</t>
  </si>
  <si>
    <t>Pipes</t>
  </si>
  <si>
    <t>Coverings</t>
  </si>
  <si>
    <t>Profiles</t>
  </si>
  <si>
    <t>AutoPC</t>
  </si>
  <si>
    <t>AgriFilms</t>
  </si>
  <si>
    <t>AgriOther</t>
  </si>
  <si>
    <t>HHPlast</t>
  </si>
  <si>
    <t>OtherPC</t>
  </si>
  <si>
    <t>HHTextPC</t>
  </si>
  <si>
    <t>TechClothing</t>
  </si>
  <si>
    <t>THHText</t>
  </si>
  <si>
    <t>AutoText</t>
  </si>
  <si>
    <t>AgroText</t>
  </si>
  <si>
    <t>GeoText</t>
  </si>
  <si>
    <t>BCText</t>
  </si>
  <si>
    <t>OtherTText</t>
  </si>
  <si>
    <t>PackColl</t>
  </si>
  <si>
    <t>CDIColl</t>
  </si>
  <si>
    <t>ELVColl</t>
  </si>
  <si>
    <t>ELVTColl</t>
  </si>
  <si>
    <t>WEEEColl</t>
  </si>
  <si>
    <t>AgriColl</t>
  </si>
  <si>
    <t>TextColl</t>
  </si>
  <si>
    <t>PCColl</t>
  </si>
  <si>
    <t>PackRec</t>
  </si>
  <si>
    <t>CDRec</t>
  </si>
  <si>
    <t>ALPRec</t>
  </si>
  <si>
    <t>ASRRec</t>
  </si>
  <si>
    <t>WEEPRec</t>
  </si>
  <si>
    <t>AgriRec</t>
  </si>
  <si>
    <t>Inc</t>
  </si>
  <si>
    <t>LF</t>
  </si>
  <si>
    <t>Exp</t>
  </si>
  <si>
    <t>Material Reuse</t>
  </si>
  <si>
    <t>Mreu</t>
  </si>
  <si>
    <t>Treu</t>
  </si>
  <si>
    <t>Preu</t>
  </si>
  <si>
    <t>Part Reuse</t>
  </si>
  <si>
    <t>Textile Reuse</t>
  </si>
  <si>
    <t>Trans</t>
  </si>
  <si>
    <t>Construction</t>
  </si>
  <si>
    <t>Other plastic products</t>
  </si>
  <si>
    <t>Household textiles</t>
  </si>
  <si>
    <t>ELV collection</t>
  </si>
  <si>
    <t>EEE collection</t>
  </si>
  <si>
    <t>Agri. waste collection</t>
  </si>
  <si>
    <t>Text. waste collection</t>
  </si>
  <si>
    <t>WEEP recycling</t>
  </si>
  <si>
    <t>ASR recycling</t>
  </si>
  <si>
    <t>Packaging recycling</t>
  </si>
  <si>
    <t>Elim</t>
  </si>
  <si>
    <t>Agricultural pack. films</t>
  </si>
  <si>
    <t>Agricultural pack. bottles</t>
  </si>
  <si>
    <t>Construction pack. films</t>
  </si>
  <si>
    <t>Consumer films</t>
  </si>
  <si>
    <t>Consumer bags</t>
  </si>
  <si>
    <t>Consumer bottles</t>
  </si>
  <si>
    <t>Non-consumer films</t>
  </si>
  <si>
    <t>Agricultural films</t>
  </si>
  <si>
    <t>Agricultural pipes</t>
  </si>
  <si>
    <t>Agricultural other</t>
  </si>
  <si>
    <t>Hygiene and medical text.</t>
  </si>
  <si>
    <t>Building textiles</t>
  </si>
  <si>
    <t>Other technical textiles</t>
  </si>
  <si>
    <t>Packaging collection</t>
  </si>
  <si>
    <t>Mixed waste collection</t>
  </si>
  <si>
    <t>ELV textiles collection</t>
  </si>
  <si>
    <t>Auto. large parts recycling</t>
  </si>
  <si>
    <t>Agri. plastic recycling</t>
  </si>
  <si>
    <t>European Association for Textile Polyolefins (EATP). INDUSTRY DATA European Union (EU28) and Turkey - 2013 http://www.eatp.org/industry-data/ (accessed Jul 25, 2017).</t>
  </si>
  <si>
    <t>Based on Haupt, Melanie, Carl Vadenbo, and Stefanie Hellweg, ‘Do We Have the Right Performance Indicators for the Circular Economy? – Insight into the Swiss Waste Management System’, Journal of Industrial Ecology, 2016, 1–13 &lt;http://dx.doi.org/10.1111/jiec.12506&gt;</t>
  </si>
  <si>
    <t>Based on Waste Watch, Plastics in the UK economy: A guide to polymer use and the opportunities for recycling, Appendix, 2003 and Applied Market Information Ltd., AMI’s 2015 EUROPEAN PLASTICS INDUSTRY REPORT, 2015</t>
  </si>
  <si>
    <t>Based on Dettli, Reto, Raphael Fasko, Urban Frei, and Fabienne Habermacher, Transformation Der Abfallverwertung in Der Schweiz Für Eine Hohe Und Zeitlich Optimierte Energieausnutzung, 2015</t>
  </si>
  <si>
    <t>Based on Private communication PET Recycling Schweiz</t>
  </si>
  <si>
    <t>Non-consumer bags</t>
  </si>
  <si>
    <t>PCCP</t>
  </si>
  <si>
    <t>Fibre production</t>
  </si>
  <si>
    <t>Primary production</t>
  </si>
  <si>
    <t>Technical textiles</t>
  </si>
  <si>
    <t>Fabric coatings</t>
  </si>
  <si>
    <t>Technical clothing</t>
  </si>
  <si>
    <t>Technical household text.</t>
  </si>
  <si>
    <t>Household plastics</t>
  </si>
  <si>
    <t>Second. mat. production</t>
  </si>
  <si>
    <t>Non-text. manufacturing</t>
  </si>
  <si>
    <t>Text. manufacturing</t>
  </si>
  <si>
    <t>C&amp;D waste collection</t>
  </si>
  <si>
    <t>Inc. C&amp;D waste collection</t>
  </si>
  <si>
    <t>C&amp;D recycling</t>
  </si>
  <si>
    <t>Other consumer pack.</t>
  </si>
  <si>
    <t>Other non-consumer pack.</t>
  </si>
  <si>
    <t>Clothing</t>
  </si>
  <si>
    <t>Clothing (category)</t>
  </si>
  <si>
    <t>Mobility textiles</t>
  </si>
  <si>
    <t>Second. Material</t>
  </si>
  <si>
    <t>Construction pipes</t>
  </si>
  <si>
    <t>Coverings (construction)</t>
  </si>
  <si>
    <t>Lining (construction)</t>
  </si>
  <si>
    <t>Insulation (construction)</t>
  </si>
  <si>
    <t>Other non-text. products</t>
  </si>
  <si>
    <t>PCFibreCollection</t>
  </si>
  <si>
    <t>PCPlasticCollection</t>
  </si>
  <si>
    <t>SanitaryNapkins</t>
  </si>
  <si>
    <t>PantyLiners</t>
  </si>
  <si>
    <t>Tampons</t>
  </si>
  <si>
    <t>WetWipes</t>
  </si>
  <si>
    <t>DisposableCleaningCloths</t>
  </si>
  <si>
    <t>WasteWaterMicro</t>
  </si>
  <si>
    <t>TamponApplicators</t>
  </si>
  <si>
    <t>CottonBudSticks</t>
  </si>
  <si>
    <t>Value (kt)</t>
  </si>
  <si>
    <t>Pre-cons. fibre collection</t>
  </si>
  <si>
    <t>PCFibColl</t>
  </si>
  <si>
    <t>Pre-consumer Textile and Fibre Waste Collection</t>
  </si>
  <si>
    <t>Pre-cons. plastic collection</t>
  </si>
  <si>
    <t>Pre-consumer Plastic Waste Collection</t>
  </si>
  <si>
    <t>Sanitary Napkins</t>
  </si>
  <si>
    <t>Panty Liners</t>
  </si>
  <si>
    <t>Wet Wipes</t>
  </si>
  <si>
    <t>Disposable Cleaning Cloths</t>
  </si>
  <si>
    <t>Tampon Applicators</t>
  </si>
  <si>
    <t>Applicators</t>
  </si>
  <si>
    <t>Cotton Bud Sticks</t>
  </si>
  <si>
    <t>CottonSwabs</t>
  </si>
  <si>
    <t>Including standing water and flowing water bodies</t>
  </si>
  <si>
    <t>Schubarth, C.; Weibel, F. Die Bodennutzung in der Schweiz. Resultate der Arealstatistik; 2013; Vol. 002–0904</t>
  </si>
  <si>
    <t>SurfaceWaterMicro</t>
  </si>
  <si>
    <t>OutdoorAirMicro</t>
  </si>
  <si>
    <t>Schubarth, C.; Weibel, F. Die Bodennutzung in der Schweiz. Resultate der Arealstatistik; 2013; Vol. 002–0903</t>
  </si>
  <si>
    <t>AgriculturalSoilMicro</t>
  </si>
  <si>
    <t>Including unproductive vegetation areas, bare areas, tree-covered areas and glaciers</t>
  </si>
  <si>
    <t>Schubarth, C.; Weibel, F. Die Bodennutzung in der Schweiz. Resultate der Arealstatistik; 2013; Vol. 002–0902</t>
  </si>
  <si>
    <t>RuralSoilMicro</t>
  </si>
  <si>
    <t>Schubarth, C.; Weibel, F. Die Bodennutzung in der Schweiz. Resultate der Arealstatistik; 2013; Vol. 002–0901</t>
  </si>
  <si>
    <t>UrbanSoilMicro</t>
  </si>
  <si>
    <t>FloorCleaning</t>
  </si>
  <si>
    <t>Comparing frequency of [dry-mop+sweep+vacuum] and [wet-mop] all populations combined (parents with young children, older adults, women and men)</t>
  </si>
  <si>
    <t>Based on Moran, R. E.; Bennett, D. H.; Tancredi, D. J.; Wu, X. M.; Ritz, B.; Hertz-Picciotto, I. Frequency and longitudinal trends of household care product use. Atmos. Environ. 2012, 55, 417–424.</t>
  </si>
  <si>
    <t>IndoorAirMicro</t>
  </si>
  <si>
    <t>No resuspension, furnished experimental house, 4um aerosol</t>
  </si>
  <si>
    <t>Schneider, T. Dust and fibers as a cause of indoor environment problems. Scand. J. Work. Environ. Health 10–17 (2008)</t>
  </si>
  <si>
    <t>No resuspension, occupied house, house dust</t>
  </si>
  <si>
    <t>No resuspension, office building, salts &gt;2.5um</t>
  </si>
  <si>
    <t>Including resuspension by activities, home, not standard size, PM10</t>
  </si>
  <si>
    <t>CompostMicro</t>
  </si>
  <si>
    <t>SludgeMicro</t>
  </si>
  <si>
    <t>Laube, André, and Armin Vonplon, ‘Élimination Des Boues D’épuration En Suisse - Recensement Des Quantités’, Documents Environnement Office Fédéral de L’environnement, Des Forêts et Du Paysage, 181 (2004), 47</t>
  </si>
  <si>
    <t>CompostMacro</t>
  </si>
  <si>
    <t>SludgeMacro</t>
  </si>
  <si>
    <t>AgriculturalSoilMacro</t>
  </si>
  <si>
    <t>WWTTertiaryMicro</t>
  </si>
  <si>
    <t>Based on number concentration in tertiary treatment and reverse osmosis</t>
  </si>
  <si>
    <t>Ziajahromi, S.; Neale, P. A.; Rintoul, L.; Leusch, F. D. L. Wastewater Treatment Plants as a Pathway for Microplastics: Development of a New Approach to Sample Wastewater-Based Microplastics. Water Res. 2017, 112, 93–99.</t>
  </si>
  <si>
    <t>Cabernard, L.; Durisch-Kaiser, E.; Vogel, J.-C.; Rensch, D.; Niederhauser, P.; AWEL Gewässerschutz. Mikroplastik in Abwasser Und Gewässern. Aqua Gas 2016, 7 (8), 78–85.</t>
  </si>
  <si>
    <t>Talvitie, J.; Mikola, A.; Setälä, O.; Heinonen, M.; Koistinen, A. How Well Is Microlitter Purified from Wastewater? A Detailed Study on the Stepwise Removal of Microlitter in a Tertiary Level Wastewater Treatment Plant. Water Res. 2017, 109, 164–172.</t>
  </si>
  <si>
    <t>Measured at WWTP of Oldenburg before and after post-filtration</t>
  </si>
  <si>
    <t>Mintenig, S. M.; Int-Veen, I.; Löder, M. G. J.; Primpke, S.; Gerdts, G. Identification of Microplastic in Effluents of Waste Water Treatment Plants Using Focal Plane Array-Based Micro-Fourier-Transform Infrared Imaging. Water Res. 2017, 108, 365–372.</t>
  </si>
  <si>
    <t>Tertiary treatment retention rate, particle and fibre numbers combined</t>
  </si>
  <si>
    <t>Talvitie, J.; Heinonen, M.; Pääkkönen, J.-P.; Vahtera, E.; Mikola, A.; Setälä, O.; Vahala, R. Do Wastewater Treatment Plants Act as a Potential Point Source of Microplastics? Preliminary Study in the Coastal Gulf of Finland , Baltic Sea. Water Sci. Techno</t>
  </si>
  <si>
    <t>SurfaceWaterMacro</t>
  </si>
  <si>
    <t>WWTTertiaryMacro</t>
  </si>
  <si>
    <t>Tertiary treatment retention rate</t>
  </si>
  <si>
    <t>Private communication with Frederic Guhl from FOEN</t>
  </si>
  <si>
    <t>WWTSecondaryMicro</t>
  </si>
  <si>
    <t>Based on number concentration in secondary treatment and tertiary treatment</t>
  </si>
  <si>
    <t>Secondary treatment retention rate, particle and fibre numbers combined</t>
  </si>
  <si>
    <t>WWTSecondaryMacro</t>
  </si>
  <si>
    <t>Secondary treatment retention rate</t>
  </si>
  <si>
    <t>Fraction going to secondary treatment</t>
  </si>
  <si>
    <t>WWTPrimaryMicro</t>
  </si>
  <si>
    <t>Based on the number concentration in primary treatment and secondary treatment</t>
  </si>
  <si>
    <t>Based on number concentration before and after "mechanical purification"</t>
  </si>
  <si>
    <t>Talvitie, J.; Heinonen, M. Preliminary Study on Synthetic Microfibers and Particles at a Municipal Waste Water Treatment Plant; 2014.</t>
  </si>
  <si>
    <t>Murphy, F.; Ewins, C.; Carbonnier, F.; Quinn, B. Wastewater Treatment Works (WwTW) as a Source of Microplastics in the Aquatic Environment. Environ. Sci. Technol. 2016, acs.est.5b05416.</t>
  </si>
  <si>
    <t>Primary treatment retention rate, particle and fibre numbers combined (includes fraction retained by the screens)</t>
  </si>
  <si>
    <t>Fraction going to secondary treatment (0% only treated in primary)</t>
  </si>
  <si>
    <t>WWTPrimaryMacro</t>
  </si>
  <si>
    <t>Primary treatment retention rate (90% retained after primary and screens)</t>
  </si>
  <si>
    <t>Based on private communication with ARA St Gallen</t>
  </si>
  <si>
    <t>CSOMicro</t>
  </si>
  <si>
    <t>CSOMacro</t>
  </si>
  <si>
    <t>To Primary Treatment</t>
  </si>
  <si>
    <t>WWTPMicro</t>
  </si>
  <si>
    <t>Calculated based on the duration the CSOs are active per municipality, and the waste water treated annually per year (data obtained from L. Mutzner by private communication on 09.05.2018)</t>
  </si>
  <si>
    <t>Mutzner, L.; Staufer, P.; Ort, C. Model-Based Screening for Critical Wet-Weather Discharges Related to Micropollutants from Urban Areas. Water Res. 2016, 104, 547–557.</t>
  </si>
  <si>
    <t>Combined Sewer Overflow</t>
  </si>
  <si>
    <t>Sun, T. Y.; Gottschalk, F.; Hungerbühler, K.; Nowack, B. Comprehensive Probabilistic Modelling of Environmental Emissions of Engineered Nanomaterials. Environ. Pollut. 2014, 185, 69–76.</t>
  </si>
  <si>
    <t>Fraction collected on screens with remaining waste (set to zero, because included in later stage)</t>
  </si>
  <si>
    <t>WWTPMacro</t>
  </si>
  <si>
    <t>Fraction collected on screens</t>
  </si>
  <si>
    <t>DeepUrbanSoilMicro</t>
  </si>
  <si>
    <t>OSSFMicro</t>
  </si>
  <si>
    <t>OSSFMacro</t>
  </si>
  <si>
    <t>Fraction of the waste water leaking from pipes during dry weather flow</t>
  </si>
  <si>
    <t>Rutsch, Mandy, J. Rieckermann, and P. Krebs, ‘Quantification of Sewer Leakage: A Review’, Water Science and Technology, 54 (2006), 135–44 &lt;http://dx.doi.org/10.2166/wst.2006.616&gt;</t>
  </si>
  <si>
    <t>Fraction not connected to WWTP, based on the number of inhabitants</t>
  </si>
  <si>
    <t>Dominguez, D.; Diggelmann, V.; Binggeli, S. Élimination Des Composés Traces Organiques Dans Les Stations D’Épuration; 2016; https://www.bafu.admin.ch/dam/bafu/fr/dokumente/wasser/uv-umwelt-vollzug/elimination_von_organischenspurenstoffenbeiabwasseranlagen.pdf.download.pdf/elimination_des_composestracesorganiquesdanslesstationsdepuratio.pdf.</t>
  </si>
  <si>
    <t>WasteWaterMacro</t>
  </si>
  <si>
    <t>StormWaterMicro</t>
  </si>
  <si>
    <t>RoadSideMicro</t>
  </si>
  <si>
    <t>StormWaterMacro</t>
  </si>
  <si>
    <t>RoadSideMacro</t>
  </si>
  <si>
    <t>European Communities. European Union Risk Assessment Report: Hexabromocyclododecane CAS-No.: 25637-99-4, EINECS- No.: 247-148-4. Final Report; 2008; https://echa.europa.eu/documents/10162/661bff17-dc0a-4475-9758-40bdd6198f82.</t>
  </si>
  <si>
    <t>IndustryWaterMicro</t>
  </si>
  <si>
    <t>UrbanSoilMacro</t>
  </si>
  <si>
    <t>RuralLitter</t>
  </si>
  <si>
    <t>Statistic on waterways in Table 7 of the report</t>
  </si>
  <si>
    <t>RuralSoilMacro</t>
  </si>
  <si>
    <t>See description in SI</t>
  </si>
  <si>
    <t>RoadSideLitter</t>
  </si>
  <si>
    <t>UrbanLitter</t>
  </si>
  <si>
    <t>P. Wesley Schultz; Brown Large, L.; Tabanico, J.; Bruni, C.; Bator, R. Littering Behavior in America: Results of a National Study; 2009</t>
  </si>
  <si>
    <t>Assumption of worst case scenario, based on private communication with Entsorgung + Recycling Stadt Bern 10.08.2018</t>
  </si>
  <si>
    <t>Statistic on "wedging" in Table 8 of the report</t>
  </si>
  <si>
    <t>Department for Environment Food &amp; Rural Affairs. Fly-Tipping Statistics for England, 2016/17; 2017.</t>
  </si>
  <si>
    <t>Dumping</t>
  </si>
  <si>
    <t>OnTheGoUrban</t>
  </si>
  <si>
    <t>Geneva</t>
  </si>
  <si>
    <t>Private communication City of Bern</t>
  </si>
  <si>
    <t>Bern</t>
  </si>
  <si>
    <t>Private communication City of Geneva</t>
  </si>
  <si>
    <t>OnTheGoTransport</t>
  </si>
  <si>
    <t>Proportionality factor from: Schultz, P. W.; Bator, R. J.; Large, L. B.; Bruni, C. M.; Tabanico, J. J. Littering in Context. Environ. Behav. 2013, 45 (1), 35–59.</t>
  </si>
  <si>
    <t>OnTheGoRural</t>
  </si>
  <si>
    <t>Schultz, P. W.; Bator, R. J.; Large, L. B.; Bruni, C. M.; Tabanico, J. J. Littering in Context. Environ. Behav. 2013, 45 (1), 35–59.</t>
  </si>
  <si>
    <t>Bundesamt für Statistik BFS. Das Kultur- Und Freizeitverhalten in Der Schweiz: Erste Ergebnisse Der Erhebung 2014; 2016.</t>
  </si>
  <si>
    <t>OnTheGo</t>
  </si>
  <si>
    <t>Based on the proportions of restaurants equipped with a drive-through</t>
  </si>
  <si>
    <t>Based on McDonald’s Suisse, Corporate Responsibility Report 2015 McDonald’s Suisse, 2015</t>
  </si>
  <si>
    <t>Based on Vigo, T. L.; Lamb, G. E. R.; Kepka, S.; Miller, B. Abrasion and Lint Loss Properties of Fabrics Containing Crosslinked Polyethylene Glycol. Text. Res. J. 1991, 61 (3), 169–176.</t>
  </si>
  <si>
    <t>Defined in tab Textiles</t>
  </si>
  <si>
    <t>Assume that for a film with 1m width, 1cm is lost on both sides when removing. This results in a total loss of 2% of plastic</t>
  </si>
  <si>
    <t>Actual TC defined with the mass contained in the compartment, TC definition occurs within the code</t>
  </si>
  <si>
    <t>Based on private communication with Canton of Geneva on 4/8/2020</t>
  </si>
  <si>
    <t>Based on private communication with Canton of Geneva on 4/8/2019</t>
  </si>
  <si>
    <t>Lassen, C.; Hansen, S. F.; Magnusson, K.; Norén, F.; Bloch Hartmann, N. I.; Jensen, P. R.; Nielsen, T. G.; Brinch, A. Microplastics: Occurrence, effects and sources of releases to the environment in Denmark; The Danish Environmental Protection Agency, 2015.</t>
  </si>
  <si>
    <t>Cole, G. &amp; Sherrington, C. Study to Quantify Pellet Emissions in the UK. (2016).</t>
  </si>
  <si>
    <t>Fraction of dust on filter that escapes to WW</t>
  </si>
  <si>
    <t>f_TD_filter_ww</t>
  </si>
  <si>
    <t>Fraction of dust on filter that escapes to air</t>
  </si>
  <si>
    <t>f_TD_filter_indoorair</t>
  </si>
  <si>
    <t>Klepeis, N. E. et al. The National Human Activity Pattern Survey ( NHAPS ): a resource for assessing exposure to environmental pollutants. J. Expo. Anal. Environ. Epidemiol. 11, 231–252 (2001).</t>
  </si>
  <si>
    <t>Fraction of time spent outdoors</t>
  </si>
  <si>
    <t>t_outdoor</t>
  </si>
  <si>
    <t>Giorgi, S. Non-clothing textiles : consumer purchasing, use and discard practices. (2015)</t>
  </si>
  <si>
    <t>Factor describing frequency of outdoor cloth-line drying out of all washes</t>
  </si>
  <si>
    <t>f_OCLD</t>
  </si>
  <si>
    <t>Factor describing frequency of indoor cloth-line drying out of all washes</t>
  </si>
  <si>
    <t>f_ICLD</t>
  </si>
  <si>
    <t>Beton, A. et al. Environmental Improvement Potential of Textiles (IMPRO Textiles). JRC Scientific and Technical Reports (2014)</t>
  </si>
  <si>
    <t>Factor describing frequency of tumble-drying out of all washes</t>
  </si>
  <si>
    <t>f_TD</t>
  </si>
  <si>
    <t>Fraction of the surface worn for household textiles</t>
  </si>
  <si>
    <t>f_surface_worn</t>
  </si>
  <si>
    <t>Fraction of clothing released by wear during the lifetime of the product</t>
  </si>
  <si>
    <t>F_wear_other</t>
  </si>
  <si>
    <t>Fraction of other textiles released by wear during the lifetime of the product</t>
  </si>
  <si>
    <t>F_wear_cl</t>
  </si>
  <si>
    <t>Different assumptions, see description for details</t>
  </si>
  <si>
    <t>Vigo, T. L.; Lamb, G. E. R.; Kepka, S.; Miller, B. Abrasion and Lint Loss Properties of Fabrics Containing Crosslinked Polyethylene Glycol. Text. Res. J. 1991, 61 (3), 169–176.</t>
  </si>
  <si>
    <t>Ratio of release from cloth-line drying versus washing</t>
  </si>
  <si>
    <t>F_onecycle_CLD_vs_washing</t>
  </si>
  <si>
    <t>Pirc, U., Vidmar, M., Mozer, A. &amp; Kržan, A. Emissions of microplastic fibers from microfiber fleece during domestic washing. Environ. Sci. Pollut. Res. (2016)</t>
  </si>
  <si>
    <t>Fraction of textiles released during one cycle of tumble-drying</t>
  </si>
  <si>
    <t>F_onecycle_TD</t>
  </si>
  <si>
    <t>Fraction of textiles released during one cycle of washing</t>
  </si>
  <si>
    <t>F_onecycle_washing</t>
  </si>
  <si>
    <t>Hartline, N. L. et al. Microfiber Masses Recovered From Conventional Machine Washing of New or Aged Garments. Environ. Sci. Technol. 50, 11532−11538 (2016)</t>
  </si>
  <si>
    <t>Sillanpää, M. &amp; Sainio, P. Release of polyester and cotton fibers from textiles in machine washings. Environ. Sci. Pollut. Res. (2017)</t>
  </si>
  <si>
    <t>Hernandez, E., Nowack, B. &amp; Mitrano, D. M. Synthetic Textiles as a Source of Microplastics from Households: A Mechanistic Study to Understand Microfiber Release During Washing. Environ. Sci. Technol. acs.est.7b01750 (2017)</t>
  </si>
  <si>
    <t>Based on Giorgi, S. Non-Clothing Textiles : Consumer Purchasing, Use and Discard Practices; 2015</t>
  </si>
  <si>
    <t>Number of washing cycles performed in the lifetime of a product (household textiles)</t>
  </si>
  <si>
    <t>N_washing_hh</t>
  </si>
  <si>
    <t>Number of washing cycles performed in the lifetime of a product (clothing)</t>
  </si>
  <si>
    <t>N_washing_cl</t>
  </si>
  <si>
    <t>Ellen Mac Arthur and Levi Strauss</t>
  </si>
  <si>
    <t>Truncation</t>
  </si>
  <si>
    <t>Value</t>
  </si>
  <si>
    <t>Description</t>
  </si>
  <si>
    <t>ParameterName</t>
  </si>
  <si>
    <t>Own measurements</t>
  </si>
  <si>
    <t>Composition (g)</t>
  </si>
  <si>
    <t>Mass_Wipes</t>
  </si>
  <si>
    <t>Mass_DisposableCleaningCloths</t>
  </si>
  <si>
    <t>Mass_PantyLiner</t>
  </si>
  <si>
    <t>Mass_SanitaryNapkin</t>
  </si>
  <si>
    <t>Mass_TamponApplicator</t>
  </si>
  <si>
    <t>Mass_CottonBudStick</t>
  </si>
  <si>
    <t>Mass_Tampon</t>
  </si>
  <si>
    <t>Engqvist, H. Consumer &amp; Healthcare Trends in European Wipes Markets World of Wipes 2013 A Tour to Europe – a Multi Facetted Region; 2013</t>
  </si>
  <si>
    <t>Number of wet wipes used per year</t>
  </si>
  <si>
    <t>Use_WetWipes_Year</t>
  </si>
  <si>
    <t>Number of disposable cleaning cloths per household per year</t>
  </si>
  <si>
    <t>Use_DisposableCleaningCloths_Year</t>
  </si>
  <si>
    <t>Veidere, L.; Arbidāne, A.; Grīnberga, I.; Borovika, A.; Skrule, J.; Karantajers, M.; Karganova, K.; Gusta, A.; Muižniece, I.; Mičule, D.; et al. The Impact of Cotton Swab Use On The External Auditory Canal https://www.slideshare.net/LindaVeidere/the-impact-of-cotton-swab-use-on-the-external-auditory-canal (accessed Apr 2, 2018).</t>
  </si>
  <si>
    <t>Number of cotton bud sticks used per person per year</t>
  </si>
  <si>
    <t>Use_CottonBudStick_Year</t>
  </si>
  <si>
    <t>Chalabi, M. How Many Women Don’t Use Tampons? https://fivethirtyeight.com/features/how-many-women-dont-use-tampons/ (accessed Apr 2, 2018)</t>
  </si>
  <si>
    <t>Number of panty liners used per woman per year</t>
  </si>
  <si>
    <t>Use_PantyLiners_Year</t>
  </si>
  <si>
    <t>Number of sanitary pads used per user per year</t>
  </si>
  <si>
    <t>Use_SanitaryNapkins_Year</t>
  </si>
  <si>
    <t>Number of tampons used per user per year</t>
  </si>
  <si>
    <t>Use_Tampons_Year</t>
  </si>
  <si>
    <t>Fraction of tampons sold with applicator</t>
  </si>
  <si>
    <t>Fraction_Tampons_w_App</t>
  </si>
  <si>
    <t>Based on Branch, F.; Woodruff, T. J.; Mitro, S. D.; Zota, A. R. Vaginal Douching and Racial/ethnic Disparities in Phthalates Exposures among Reproductive-Aged Women: National Health and Nutrition Examination Survey 2001-2004. Environ. Heal. A Glob. Access Sci. Source 2015, 14 (1), 1–8.</t>
  </si>
  <si>
    <t>Fraction of women using panty liners out of women using feminine hygiene products</t>
  </si>
  <si>
    <t>Fraction_UsingPantyLiners</t>
  </si>
  <si>
    <t>Branch, F.; Woodruff, T. J.; Mitro, S. D.; Zota, A. R. Vaginal Douching and Racial/ethnic Disparities in Phthalates Exposures among Reproductive-Aged Women: National Health and Nutrition Examination Survey 2001-2004. Environ. Heal. A Glob. Access Sci. Source 2015, 14 (1), 1–8.</t>
  </si>
  <si>
    <t>Fraction of women using sanitary napkins out of women using feminine hygiene products</t>
  </si>
  <si>
    <t>Fraction_UsingSanitaryNapkins</t>
  </si>
  <si>
    <t>Fraction of women using tampons out of women using feminine hygiene products</t>
  </si>
  <si>
    <t>Fraction_UsingTampons</t>
  </si>
  <si>
    <t>Eurostat. Population: Structure indicators [demo_pjanind] http://ec.europa.eu/eurostat/product?code=demo_pjanind&amp;language=en&amp;mode=view (accessed Apr 2, 2018)</t>
  </si>
  <si>
    <t>Fraction of women ages 12-54 out of all women</t>
  </si>
  <si>
    <t>Fraction_Female12_54</t>
  </si>
  <si>
    <t>United Nations. Household Size and Composition Around the World 2017. 2017</t>
  </si>
  <si>
    <t>Number of households</t>
  </si>
  <si>
    <t>Households</t>
  </si>
  <si>
    <t>Temp, Mat, Tech as 1 as not relevant</t>
  </si>
  <si>
    <t>Eurostat. Population change - Demographic balance and crude rates at national level [demo_gind] http://ec.europa.eu/eurostat/product?code=demo_gind&amp;language=en&amp;mode=view (accessed Apr 2, 2018)</t>
  </si>
  <si>
    <t>Total population</t>
  </si>
  <si>
    <t>Population</t>
  </si>
  <si>
    <t>Various sources, see text</t>
  </si>
  <si>
    <t>"From" compartment defined in the code</t>
  </si>
  <si>
    <t>Many</t>
  </si>
  <si>
    <t>Surface Water (MP)</t>
  </si>
  <si>
    <t>SWaterµ</t>
  </si>
  <si>
    <t>Surface Water (micro)</t>
  </si>
  <si>
    <t>Surface Water</t>
  </si>
  <si>
    <t>SWaterM</t>
  </si>
  <si>
    <t>Surface Water (macro)</t>
  </si>
  <si>
    <t>Road side (MP)</t>
  </si>
  <si>
    <t>Roadµ</t>
  </si>
  <si>
    <t>Road Side (micro)</t>
  </si>
  <si>
    <t>Road side</t>
  </si>
  <si>
    <t>RoadM</t>
  </si>
  <si>
    <t>Road Side (macro)</t>
  </si>
  <si>
    <t>Natural Soil (MP)</t>
  </si>
  <si>
    <t>NSoilµ</t>
  </si>
  <si>
    <t>Natural Soil (micro)</t>
  </si>
  <si>
    <t>Natural Soil</t>
  </si>
  <si>
    <t>NSoilM</t>
  </si>
  <si>
    <t>Natural Soil (macro)</t>
  </si>
  <si>
    <t>Subsurface (MP)</t>
  </si>
  <si>
    <t>SubSurfµ</t>
  </si>
  <si>
    <t>Sub-surface (micro)</t>
  </si>
  <si>
    <t>Agricultural Soil (MP)</t>
  </si>
  <si>
    <t>ASoilµ</t>
  </si>
  <si>
    <t>Agricultural Soil (micro)</t>
  </si>
  <si>
    <t>Agricultural Soil</t>
  </si>
  <si>
    <t>ASoilM</t>
  </si>
  <si>
    <t>Agricultural Soil (macro)</t>
  </si>
  <si>
    <t>Residential Soil (MP)</t>
  </si>
  <si>
    <t>RSoilµ</t>
  </si>
  <si>
    <t>Residential Soil (micro)</t>
  </si>
  <si>
    <t>Residential Soil</t>
  </si>
  <si>
    <t>RSoilM</t>
  </si>
  <si>
    <t>Residential Soil (macro)</t>
  </si>
  <si>
    <t>Outdoor air (MP)</t>
  </si>
  <si>
    <t>OutdoorAir</t>
  </si>
  <si>
    <t>Outdoor air (micro)</t>
  </si>
  <si>
    <t>Floors (MP)</t>
  </si>
  <si>
    <t>Floorsµ</t>
  </si>
  <si>
    <t>Indoor floors</t>
  </si>
  <si>
    <t>Indoor air (MP)</t>
  </si>
  <si>
    <t>IndoorAir</t>
  </si>
  <si>
    <t>Indoor air (micro)</t>
  </si>
  <si>
    <t>Sludge (MP)</t>
  </si>
  <si>
    <t>Sludgeµ</t>
  </si>
  <si>
    <t>Sludge (micro)</t>
  </si>
  <si>
    <t>Sludge</t>
  </si>
  <si>
    <t>SludgeM</t>
  </si>
  <si>
    <t>Sludge (macro)</t>
  </si>
  <si>
    <t>Tertiary WWT (MP)</t>
  </si>
  <si>
    <t>WWT3µ</t>
  </si>
  <si>
    <t>Tertiary Water Treatment (micro)</t>
  </si>
  <si>
    <t>Tertiary WWT</t>
  </si>
  <si>
    <t>WWT3M</t>
  </si>
  <si>
    <t>Tertiary Water Treatment (macro)</t>
  </si>
  <si>
    <t>Secondary WWT (MP)</t>
  </si>
  <si>
    <t>WWT2µ</t>
  </si>
  <si>
    <t>Secondary Water Treatment (micro)</t>
  </si>
  <si>
    <t>Secondary WWT</t>
  </si>
  <si>
    <t>WWT2M</t>
  </si>
  <si>
    <t>Secondary Water Treatment (macro)</t>
  </si>
  <si>
    <t>Primary WWT (MP)</t>
  </si>
  <si>
    <t>WWT1µ</t>
  </si>
  <si>
    <t>Primary Water Treatment (micro)</t>
  </si>
  <si>
    <t>Primary WWT</t>
  </si>
  <si>
    <t>WWT1M</t>
  </si>
  <si>
    <t>Primary Water Treatment (macro)</t>
  </si>
  <si>
    <t>CSO (MP)</t>
  </si>
  <si>
    <t>CSOµ</t>
  </si>
  <si>
    <t>Combined Sewer Overflow (micro)</t>
  </si>
  <si>
    <t>CSO</t>
  </si>
  <si>
    <t>CSOM</t>
  </si>
  <si>
    <t>Combined Sewer Overflow (macro)</t>
  </si>
  <si>
    <t>WWTP (MP)</t>
  </si>
  <si>
    <t>WWTPµ</t>
  </si>
  <si>
    <t>Waste Water Treatment Plant (micro)</t>
  </si>
  <si>
    <t>WWTP</t>
  </si>
  <si>
    <t>WWTPM</t>
  </si>
  <si>
    <t>Waste Water Treatment Plant (macro)</t>
  </si>
  <si>
    <t>OSSF (MP)</t>
  </si>
  <si>
    <t>OSSFµ</t>
  </si>
  <si>
    <t>On-Site Sewage Facility (micro)</t>
  </si>
  <si>
    <t>OSSF</t>
  </si>
  <si>
    <t>OSSFM</t>
  </si>
  <si>
    <t>On-Site Sewage Facility (macro)</t>
  </si>
  <si>
    <t>Waste Water (MP)</t>
  </si>
  <si>
    <t>WWµ</t>
  </si>
  <si>
    <t>Waste Water (micro)</t>
  </si>
  <si>
    <t>Waste Water</t>
  </si>
  <si>
    <t>WWM</t>
  </si>
  <si>
    <t>Waste Water (macro)</t>
  </si>
  <si>
    <t>Storm Water (MP)</t>
  </si>
  <si>
    <t>Storm Water (micro)</t>
  </si>
  <si>
    <t>Storm Water</t>
  </si>
  <si>
    <t>Storm Water (macro)</t>
  </si>
  <si>
    <t>Industry Water (MP)</t>
  </si>
  <si>
    <t>IndWaterµ</t>
  </si>
  <si>
    <t>Industrial Waste Water (micro)</t>
  </si>
  <si>
    <t>Compost (MP)</t>
  </si>
  <si>
    <t>Compostµ</t>
  </si>
  <si>
    <t>Compost (micro)</t>
  </si>
  <si>
    <t>Compost</t>
  </si>
  <si>
    <t>CompostM</t>
  </si>
  <si>
    <t>Compost (macro)</t>
  </si>
  <si>
    <t>Litter (nature)</t>
  </si>
  <si>
    <t>NatureLitter</t>
  </si>
  <si>
    <t>Litter in natural environments</t>
  </si>
  <si>
    <t>Litter (roads)</t>
  </si>
  <si>
    <t>RoadLitter</t>
  </si>
  <si>
    <t>Litter on road sides</t>
  </si>
  <si>
    <t>Litter (residential)</t>
  </si>
  <si>
    <t>ResidentialLitter</t>
  </si>
  <si>
    <t>Litter in residential environments</t>
  </si>
  <si>
    <t>On-the-go (residential)</t>
  </si>
  <si>
    <t>OTGResidential</t>
  </si>
  <si>
    <t>On-the-go consumption (residential)</t>
  </si>
  <si>
    <t>On-the-go (transport)</t>
  </si>
  <si>
    <t>OTGTrans</t>
  </si>
  <si>
    <t>On-the-go consumption (transport)</t>
  </si>
  <si>
    <t>On-the-go (nature)</t>
  </si>
  <si>
    <t>OTGNature</t>
  </si>
  <si>
    <t>On-the-go consumption (nature)</t>
  </si>
  <si>
    <t>On-the-go</t>
  </si>
  <si>
    <t>On-the-go consumption</t>
  </si>
  <si>
    <t>Landfill (macro)</t>
  </si>
  <si>
    <t>Sanitary pads</t>
  </si>
  <si>
    <t>SanPads</t>
  </si>
  <si>
    <t>Panty liners</t>
  </si>
  <si>
    <t>PantyLin</t>
  </si>
  <si>
    <t>Wet wipes</t>
  </si>
  <si>
    <t>WetWip</t>
  </si>
  <si>
    <t>Cleaning cloths</t>
  </si>
  <si>
    <t>ClCloths</t>
  </si>
  <si>
    <t>MedText</t>
  </si>
  <si>
    <t>AgriPipes</t>
  </si>
  <si>
    <t>Windows, prof. and furn.</t>
  </si>
  <si>
    <t>Input</t>
  </si>
  <si>
    <t>Model Input</t>
  </si>
  <si>
    <t>MediumLabel</t>
  </si>
  <si>
    <t>Name</t>
  </si>
  <si>
    <t>ShortNiceLabel</t>
  </si>
  <si>
    <t>Fibre prod.</t>
  </si>
  <si>
    <t>Sec. mat. prod.</t>
  </si>
  <si>
    <t>Prim. prod.</t>
  </si>
  <si>
    <t>Non-text. man.</t>
  </si>
  <si>
    <t>Text. man.</t>
  </si>
  <si>
    <t>Other plast. prod.</t>
  </si>
  <si>
    <t>Household text.</t>
  </si>
  <si>
    <t>Technical text.</t>
  </si>
  <si>
    <t>Cons. films</t>
  </si>
  <si>
    <t>Cons. bags</t>
  </si>
  <si>
    <t>Cons. bottles</t>
  </si>
  <si>
    <t>Other cons. pack.</t>
  </si>
  <si>
    <t>Agri. pack. films</t>
  </si>
  <si>
    <t>Agri. pack. bottles</t>
  </si>
  <si>
    <t>Constr. pack. films</t>
  </si>
  <si>
    <t>Non-cons. films</t>
  </si>
  <si>
    <t>Non-cons. bags</t>
  </si>
  <si>
    <t>Other non-cons. pack.</t>
  </si>
  <si>
    <t>Constr. pipes</t>
  </si>
  <si>
    <t>Insulation (constr.)</t>
  </si>
  <si>
    <t>Coverings (constr.)</t>
  </si>
  <si>
    <t>Windows etc</t>
  </si>
  <si>
    <t>Lining (constr.)</t>
  </si>
  <si>
    <t>Agri. films</t>
  </si>
  <si>
    <t>Agri. pipes</t>
  </si>
  <si>
    <t>Agri. other</t>
  </si>
  <si>
    <t>Other non-text. prod.</t>
  </si>
  <si>
    <t>Tampon applicators</t>
  </si>
  <si>
    <t>Cotton swabs</t>
  </si>
  <si>
    <t>Based on Friedler, E.; Brown, D. M.; Butler, D. A Study of WC Derived Sewer Solids. Water Sci. Technol. 1996, 33 (9), 17–24.</t>
  </si>
  <si>
    <t>Based on Spence, K. J.; Digman, C.; Balmforth, D.; Houldsworth, J.; Saul, A.; Meadowcroft, J. Gross Solids from Combined Sewers in Dry Weather and Storms, Elucidating Production, Storage and Social Factors. Urban Water J. 2016, 13 (8), 773–789.</t>
  </si>
  <si>
    <t>WasteWaterMacroSmall</t>
  </si>
  <si>
    <t>WWTPMacroSmall</t>
  </si>
  <si>
    <t>CSOMacroSmall</t>
  </si>
  <si>
    <t>WWTPrimaryMacroSmall</t>
  </si>
  <si>
    <t>Straws</t>
  </si>
  <si>
    <t>Cutlery</t>
  </si>
  <si>
    <t>Based on WRAP. Report: Plastic packaging Composition 2011. (2013).</t>
  </si>
  <si>
    <t>Waste Water (small macro)</t>
  </si>
  <si>
    <t>WWMs</t>
  </si>
  <si>
    <t>Waste Water (small)</t>
  </si>
  <si>
    <t>Waste Water Treatment Plant (small macro)</t>
  </si>
  <si>
    <t>WWTPMs</t>
  </si>
  <si>
    <t>WWTP (small)</t>
  </si>
  <si>
    <t>Combined Sewer Overflow (small macro)</t>
  </si>
  <si>
    <t>CSOMs</t>
  </si>
  <si>
    <t>CSO (small)</t>
  </si>
  <si>
    <t>Primary Water Treatment (small macro)</t>
  </si>
  <si>
    <t>WWT1Ms</t>
  </si>
  <si>
    <t>Primary WWT (small)</t>
  </si>
  <si>
    <t>Based on Schleiss, K. Bericht Zur Analyse von Fremdstoffen in Kompost Und Festem Gärgut Der Kompostier- Und Vergärungsanlagen in Der Schweiz Gemäss ChemRRV; 2017 AND Faure, F.; De Alencastro, L. F. Recherche de fragments de plastique dans les composts et digestats industriels; 2016.</t>
  </si>
  <si>
    <t>all</t>
  </si>
  <si>
    <t>ShotgunCartridges</t>
  </si>
  <si>
    <t>Shotgun Cartridges</t>
  </si>
  <si>
    <t>Cartridges</t>
  </si>
  <si>
    <t>Shotgun cartridges</t>
  </si>
  <si>
    <t>Second. material</t>
  </si>
  <si>
    <t>Textile reuse</t>
  </si>
  <si>
    <t>Part reuse</t>
  </si>
  <si>
    <t>Industry water (MP)</t>
  </si>
  <si>
    <t>Storm water</t>
  </si>
  <si>
    <t>Storm water (MP)</t>
  </si>
  <si>
    <t>Waste water</t>
  </si>
  <si>
    <t>Waste water (small)</t>
  </si>
  <si>
    <t>Waste water (MP)</t>
  </si>
  <si>
    <t>Residential soil</t>
  </si>
  <si>
    <t>Residential soil (MP)</t>
  </si>
  <si>
    <t>Agricultural soil</t>
  </si>
  <si>
    <t>Agricultural soil (MP)</t>
  </si>
  <si>
    <t>Natural soil</t>
  </si>
  <si>
    <t>Natural soil (MP)</t>
  </si>
  <si>
    <t>Surface water</t>
  </si>
  <si>
    <t>Surface water (MP)</t>
  </si>
  <si>
    <t>WWTSecondaryMacroSmall</t>
  </si>
  <si>
    <t>Fraction of the rest is going to tertiary treatment (3.22% only treated in secondary treatment)</t>
  </si>
  <si>
    <t>Assume all the large macroplastic is retained in the sludge</t>
  </si>
  <si>
    <t>Equald to the rest, but rest is 0</t>
  </si>
  <si>
    <t>Carr, S. A.; Liu, J.; Tesoro, A. G. Transport and Fate of Microplastic Particles in Wastewater Treatment Plants. Water Res. 2016, 91, 174–182.</t>
  </si>
  <si>
    <t>Based on Agreste. Chiffres-Clés : 61 Hectares En Moyenne Par Exploitation; 2017</t>
  </si>
  <si>
    <t>Secondary Water Treatment (small macro)</t>
  </si>
  <si>
    <t>WWT2Ms</t>
  </si>
  <si>
    <t>Secondary WWT (small)</t>
  </si>
  <si>
    <t>Goldberg, L. Plastic in Organic Waste in Switzerland : Material Flows and Consequences, University of Zurich, 2018.</t>
  </si>
  <si>
    <t>Faure, F.; De Alencastro, L. F. Recherche de fragments de plastique dans les composts et digestats industriels; 2016.</t>
  </si>
  <si>
    <t>CompostCollectionLarge</t>
  </si>
  <si>
    <t>CompostCollectionSmall</t>
  </si>
  <si>
    <t>Of all the plastic larger than 1 mm, fraction larger than 5 mm</t>
  </si>
  <si>
    <t>CompostingSizeSep</t>
  </si>
  <si>
    <t>No sorting of microplastics</t>
  </si>
  <si>
    <t>99% efficiency in sorting</t>
  </si>
  <si>
    <t>Compost collection (&gt; 1mm)</t>
  </si>
  <si>
    <t>Compost collection (&lt; 1mm)</t>
  </si>
  <si>
    <t>Compost size separation (fictional process)</t>
  </si>
  <si>
    <t>CompstCollLarge</t>
  </si>
  <si>
    <t>Compost collection (large)</t>
  </si>
  <si>
    <t>Compost collection (small)</t>
  </si>
  <si>
    <t>CompstSizeSep</t>
  </si>
  <si>
    <t>Compost size sep. (fic.)</t>
  </si>
  <si>
    <t>Tech. household text.</t>
  </si>
  <si>
    <t>Hyg. and med. text.</t>
  </si>
  <si>
    <t>Pre-cons. plastic coll.</t>
  </si>
  <si>
    <t>Pre-cons. fibre coll.</t>
  </si>
  <si>
    <t>Packaging coll.</t>
  </si>
  <si>
    <t>Mixed waste coll.</t>
  </si>
  <si>
    <t>C&amp;D waste coll.</t>
  </si>
  <si>
    <t>Inc. C&amp;D waste coll.</t>
  </si>
  <si>
    <t>ELV coll.</t>
  </si>
  <si>
    <t>ELV textiles coll.</t>
  </si>
  <si>
    <t>EEE coll.</t>
  </si>
  <si>
    <t>Agri. waste coll.</t>
  </si>
  <si>
    <t>Text. waste coll.</t>
  </si>
  <si>
    <t>Packaging rec.</t>
  </si>
  <si>
    <t>C&amp;D rec.</t>
  </si>
  <si>
    <t>Auto. parts rec.</t>
  </si>
  <si>
    <t>ASR rec.</t>
  </si>
  <si>
    <t>WEEP rec.</t>
  </si>
  <si>
    <t>Agri. plastic rec.</t>
  </si>
  <si>
    <t>Other tech. text.</t>
  </si>
  <si>
    <t>On-the-go (resid.)</t>
  </si>
  <si>
    <t>On-the-go (transp.)</t>
  </si>
  <si>
    <t>Compost coll. (large)</t>
  </si>
  <si>
    <t>Compost coll. (small)</t>
  </si>
  <si>
    <t>3% is used by hobby gardeners</t>
  </si>
  <si>
    <t>97% is used in horticulture and agriculture</t>
  </si>
  <si>
    <t>De Falco, F.; Gullo, M. P.; Gentile, G.; Di Pace, E.; Cocca, M.; Gelabert, L.; Brouta-Agnésa, M.; Rovira, A.; Escudero, R.; Villalba, R.; et al. Evaluation of Microplastic Release Caused by Textile Washing Processes of Synthetic Fabrics. Environ. Pollut. 2018, 236 (XXX), 916–925.</t>
  </si>
  <si>
    <t>Best case scenario</t>
  </si>
  <si>
    <t>Worst case scenario</t>
  </si>
  <si>
    <t>Assume between 10 and 90% of the rest</t>
  </si>
  <si>
    <t>Assume between 10 and 90% of the rest - defined in the code</t>
  </si>
  <si>
    <t>CompstCollSmall</t>
  </si>
  <si>
    <t>Same principle as for larger macroplastics, but assume that 50% overall are retained instead of  90%</t>
  </si>
  <si>
    <t>Sheet name</t>
  </si>
  <si>
    <t>Module1</t>
  </si>
  <si>
    <t>Module2</t>
  </si>
  <si>
    <t>Textiles</t>
  </si>
  <si>
    <t>Flushing</t>
  </si>
  <si>
    <t>Rank</t>
  </si>
  <si>
    <t>Mass for special transfer coefficients in the societal flows</t>
  </si>
  <si>
    <t>Parameters for the definition of textile emissions</t>
  </si>
  <si>
    <t>Mass for special transfer coefficients in the emission flows from automotive</t>
  </si>
  <si>
    <t>Parameters for the definition of emissions through flushing</t>
  </si>
  <si>
    <t>Mass emitted through compost</t>
  </si>
  <si>
    <t>Document description</t>
  </si>
  <si>
    <t>This document combines all of the input parameters in one place: (i) input values, transfer coefficients, and (ii) special parameters for individual flows.</t>
  </si>
  <si>
    <t>Translation of the compartment names used in the model to the names used for graphs (compartment names in R cannot have a space, thus the translation, and names of processes have changed over time, except in the code)</t>
  </si>
  <si>
    <t>Transfer coefficients for the definition of emission flows. For cells in orange containing a zero, the number used in the model is redefined using other information</t>
  </si>
  <si>
    <t>Transfer coefficients for the definition of societal flows. For cells in orange containing a zero, the number used in the model is redefined using other information</t>
  </si>
  <si>
    <t>Fraction of the rest goes to surface water (3.22%) --- Needs to be defined in the code by taking into account the complex TC distribution WWTP2 -&gt; sludge</t>
  </si>
  <si>
    <t>PUR</t>
  </si>
  <si>
    <t>ABS</t>
  </si>
  <si>
    <t>PA</t>
  </si>
  <si>
    <t>PC</t>
  </si>
  <si>
    <t>PMMA</t>
  </si>
  <si>
    <t>rest</t>
    <phoneticPr fontId="29" type="noConversion"/>
  </si>
  <si>
    <t>Das, A. and P. Mahanwar, A brief discussion on advances in polyurethane applications. Advanced Industrial and Engineering Polymer Research, 2020. 3(3): p. 93-101.</t>
  </si>
  <si>
    <t>Wesołowski J, Płachta K. The Polyamide Market.</t>
    <phoneticPr fontId="29" type="noConversion"/>
  </si>
  <si>
    <t>European Association for Textile Polyolefins (EATP). INDUSTRY DATA European Union (EU28) and Turkey - 2013 http://www.eatp.org/industry-data/ (accessed Jul 25, 2017).</t>
    <phoneticPr fontId="29" type="noConversion"/>
  </si>
  <si>
    <t>WRAP, Report: Plastic Packaging Composition 2011, 2013</t>
    <phoneticPr fontId="29" type="noConversion"/>
  </si>
  <si>
    <t>APME, Plastics: A Material of Choice in Building and Construction - Plastics Consumption and Recovery in Western Europe 1995, 1995</t>
    <phoneticPr fontId="29" type="noConversion"/>
  </si>
  <si>
    <t>Grebe, Jürgen, Technical Textiles - Prospects and Challenges, 2015</t>
    <phoneticPr fontId="29" type="noConversion"/>
  </si>
  <si>
    <r>
      <t>Astrup et al., ‘Recycling of Plastic</t>
    </r>
    <r>
      <rPr>
        <i/>
        <sz val="11"/>
        <color theme="0" tint="-0.499984740745262"/>
        <rFont val="SimSun"/>
        <family val="3"/>
        <charset val="134"/>
      </rPr>
      <t> : Accounting of Greenhouse Gases and Global Warming Contributions’, Waste Management &amp; Research, 2008</t>
    </r>
  </si>
  <si>
    <t>WRAP. PlasticFlow 2050, Plastic Packaging Flow Data Report. (2018)</t>
  </si>
  <si>
    <t>to be updated</t>
  </si>
  <si>
    <t>updated</t>
  </si>
  <si>
    <t>European Communities. European Union Risk Assessment Report: Hexabromocyclododecane CAS-No.: 25637-99-4, EINECS- No.: 247-148-4. Final Report; 2008; https://echa.europa.eu/documents/10162/661bff17-dc0a-4475-9758-40bdd6198f82. p85</t>
  </si>
  <si>
    <t>Release through sawing during construction + release during deconstruction (0.1% for deconstruction not aimed at recycling)</t>
  </si>
  <si>
    <t>Liu, Yuan et al. 2019</t>
  </si>
  <si>
    <t>Swiss-Impex, Plastic Europe 2019</t>
  </si>
  <si>
    <t>Eurostat, Applied Market Information Ltd., AMI’s 2015 EUROPEAN PLASTICS INDUSTRY REPORT, 2015</t>
  </si>
  <si>
    <t>assumption</t>
  </si>
  <si>
    <t>Wang, Y.; Kalinina, A.; Sun, T.; Nowack, B. Probabilistic Modeling of the Flows and Environmental Risks of Nano-Silica. Sci. Total Environ. 2016, 545–546, 67–76.</t>
  </si>
  <si>
    <t>Is based on an assumption in the original paper</t>
  </si>
  <si>
    <t>Material Flow Analysis</t>
  </si>
  <si>
    <t>Release</t>
  </si>
  <si>
    <t>Input_EU</t>
  </si>
  <si>
    <t>Input_CH</t>
  </si>
  <si>
    <t>TC</t>
  </si>
  <si>
    <t>Many sources, see description in SI text</t>
  </si>
  <si>
    <t>Uncertainty on export and polymer attribution</t>
  </si>
  <si>
    <t>Eurostat, ‘Eurostat PRODCOM Database’, European Union &lt;http://ec.europa.eu/eurostat/web/prodcom/data/database#&gt;</t>
  </si>
  <si>
    <t>Eurostat</t>
    <phoneticPr fontId="27" type="noConversion"/>
  </si>
  <si>
    <t>Eurostat, ‘Eurostat PRODCOM Database’, European Union &lt;http://ec.europa.eu/eurostat/web/prodcom/data/database#&gt;; Wesołowski J, Płachta K. The Polyamide Market. FIBRES &amp; TEXTILES in Eastern Europe 2016; 24, 6(120):12-18. DOI: 10.5604/12303666.1215537</t>
    <phoneticPr fontId="27" type="noConversion"/>
  </si>
  <si>
    <t>Eurostat</t>
  </si>
  <si>
    <t>Assumption</t>
    <phoneticPr fontId="27" type="noConversion"/>
  </si>
  <si>
    <t>Eurostat, ‘EU Trade since 1988 by HS2,4,6 and CN8’, European Union &lt;http://ec.europa.eu/eurostat/web/international-trade-in-goods/data/database#&gt;</t>
  </si>
  <si>
    <t>ACEA. The Automobile Industry Pocket Guide 2019-2020. (2020)</t>
  </si>
  <si>
    <t>Eurostat and assumptions</t>
  </si>
  <si>
    <t>Eurostat and assumptions</t>
    <phoneticPr fontId="27" type="noConversion"/>
  </si>
  <si>
    <t>System</t>
  </si>
  <si>
    <t>Geo (EU)</t>
  </si>
  <si>
    <t>Geo (CH)</t>
  </si>
  <si>
    <t>SpreadEU</t>
  </si>
  <si>
    <t>SpreadCH</t>
  </si>
  <si>
    <t>rest</t>
    <phoneticPr fontId="28" type="noConversion"/>
  </si>
  <si>
    <t>PCCollection</t>
  </si>
  <si>
    <t>Wesołowski J, Płachta K. The Polyamide Market. 2016</t>
  </si>
  <si>
    <t>Assume valid also for recycled fraction</t>
  </si>
  <si>
    <t>EU</t>
  </si>
  <si>
    <t>Das, A. and P. Mahanwar, A brief discussion on advances in polyurethane applications. Advanced Industrial and Engineering Polymer Research, 2020. 3(3): p. 93-101.</t>
    <phoneticPr fontId="28" type="noConversion"/>
  </si>
  <si>
    <t>After correction for textile share and manufacturing waste produced</t>
  </si>
  <si>
    <t>PlasticEurope, 2019</t>
  </si>
  <si>
    <t>Simon, Claus-jürgen, Carolina Hupfer, and PlasticsEurope, Business Data and Charts 2015/2016: Plastics Europe Market Research Group, 2016</t>
  </si>
  <si>
    <t>Simon, Claus-jürgen, Carolina Hupfer, and PlasticsEurope, Business Data and Charts 2015/2016: Plastics Europe Market Research Group, 2016</t>
    <phoneticPr fontId="28" type="noConversion"/>
  </si>
  <si>
    <t>CH</t>
  </si>
  <si>
    <t>European sectors recalibrated to Swiss data from AMI</t>
  </si>
  <si>
    <t>European sectors recalibrated to Swiss data from Swiss Plastics</t>
  </si>
  <si>
    <t>Adrien Beton and others, Environmental Improvement Potential of Textiles (IMPRO Textiles), JRC Scientific and Technical Reports, 2014 &lt;http://dx.doi.org/10.2791/52624&gt;.</t>
  </si>
  <si>
    <t>WRAP Report: PlasticFlow 2025, Plastic Packaging Flow Data Report, 2018</t>
  </si>
  <si>
    <t>Applied Market Information Ltd., AMI’s 2015 EUROPEAN PLASTICS INDUSTRY REPORT, 2016</t>
  </si>
  <si>
    <t>Based on Waste Watch, Plastics in the UK economy: A guide to polymer use and the opportunities for recycling, Appendix, 2003 and Applied Market Information Ltd., AMI’s 2015 EUROPEAN PLASTICS INDUSTRY REPORT, 2014</t>
  </si>
  <si>
    <t>Defined in the code. Increased uncertainty as unclear whether including only (scrubbing) microbeads or all possible applications</t>
  </si>
  <si>
    <t>Grebe, Jürgen, Technical Textiles - Prospects and Challenges, 2015</t>
    <phoneticPr fontId="28" type="noConversion"/>
  </si>
  <si>
    <t>Category available is agrotex/geotex. Separation according to global PC</t>
  </si>
  <si>
    <t>Category not available, renormalization of global PC for all fibres</t>
  </si>
  <si>
    <t>Delgado, Clara, Leire Barruetabeña, and Oscar Salas, Assessment of the Environmental Advantages and Drawbacks of Existing and Emerging Polymers Recovery Processes, ed. by Oliver Wolf, European Comission JRC (European Comission, 2007) &lt;http://dx.doi.org/10.2791/46661&gt;</t>
  </si>
  <si>
    <t>Estimate for 2015 made in 2005</t>
  </si>
  <si>
    <t>Estimate for 2015 made in 2005. Used for all EPS packaging applications, even if TC stays unused</t>
  </si>
  <si>
    <t>Based on Delgado, Clara, Leire Barruetabeña, and Oscar Salas, Assessment of the Environmental Advantages and Drawbacks of Existing and Emerging Polymers Recovery Processes, ed. by Oliver Wolf, European Comission JRC (European Comission, 2007) &lt;http://dx.doi.org/10.2791/46661&gt;</t>
  </si>
  <si>
    <t>Rate of 100% given in Delgado (2007) for HDPE boxes. Rate was lowered as it most likely contains other products</t>
  </si>
  <si>
    <t>Calculated from the given recycling rates, taking into account the assumed sorting losses as given below</t>
  </si>
  <si>
    <t>Oeko-Institut e.V. – Institute for Applied Ecology, Assessment of the Implementation of Directive 2000 / 53 / EC on End-of Life Vehicles ( the ELV Directive ) with Emphasis on the End-of Life Vehicles of Unknown Whereabouts. Assessment of Current Situation of ELVs of Unknown Whereabouts – Preliminary Resul, 2016</t>
  </si>
  <si>
    <t>Ignoring fraction with unknown whereabouts. Low reliability, as only preliminary results of study. Final results are expected for mid-2017 (not available on 03.08.2017, date of writing)</t>
  </si>
  <si>
    <t>Ignoring fraction with unknown whereabouts.</t>
  </si>
  <si>
    <t>Huisman, J. et al. Countering WEEE Illegal Trade Summary Report. Crime Analysis and Recommendations Roadmap (2015).</t>
  </si>
  <si>
    <t>Magalini, Federico, Feng Wang, Jaco Huisman, Ruediger Kuehr, Kees Baldé, Vincent van Straalen, and others, Study on Collection Rates of Waste Electrical and Electronic Equipment (WEEE), 2015 &lt;http://ec.europa.eu/environment/waste/weee/pdf/Final_Report_Art7_publication.pdf&gt;</t>
  </si>
  <si>
    <t>Beton, Adrien, Debora Dias, Laura Farrant, Thomas Gibon, Yannick Le Guern, Marie Desaxce, and others, Environmental Improvement Potential of Textiles (IMPRO Textiles), JRC Scientific and Technical Reports, 2014 &lt;http://dx.doi.org/10.2791/52624&gt;</t>
  </si>
  <si>
    <t>Based on Beton, Adrien, Debora Dias, Laura Farrant, Thomas Gibon, Yannick Le Guern, Marie Desaxce, and others, Environmental Improvement Potential of Textiles (IMPRO Textiles), JRC Scientific and Technical Reports, 2014 &lt;http://dx.doi.org/10.2791/52624&gt;</t>
  </si>
  <si>
    <t>Based on Petcore Europe, ‘Over 66 Billion PET Bottles Recycled in Europe in 2014’ &lt;https://petcore-europe.prezly.com/over-66-billion-pet-bottles-recycled-in-europe-in-2014&gt; [accessed 26 July 2017]</t>
  </si>
  <si>
    <t>Eurostat. Treatment of waste by waste category, hazardousness and waste operations (env_wastrt).</t>
  </si>
  <si>
    <t>no sensitivity to material, so put to 1 instead of 4</t>
  </si>
  <si>
    <t>PlasticsEurope, Overview Plastic Waste from Building &amp; Construction by Polymer and by Recycling, Energy Recovery and Disposal - Building and Construction Post Consumer Waste Generation 2014 (Europe EU28+2), 2016</t>
  </si>
  <si>
    <t>PlasticsEurope, Overview Plastic Waste from Building &amp; Construction by Polymer and by Recycling, Energy Recovery and Disposal - Building and Construction Post Consumer Waste Generation 2014 (Europe EU28+2), 2016</t>
    <phoneticPr fontId="28" type="noConversion"/>
  </si>
  <si>
    <t>Eurostat, estimations</t>
  </si>
  <si>
    <t>Seyring et al. Study on WEEE Recovery Targets, Preparation for Re-Use Targets and on the Method for Calculation of the Recovery Targets. Final Report</t>
  </si>
  <si>
    <t>For 2006 data, see Müller, E. &amp; Widmer, R. Materialflüsse der elektrischen undelektronischen Geräte in der Schweiz. (2010).</t>
  </si>
  <si>
    <t>European Association of Plastics Recycling and Recovery Organisations, Plastic Packaging Waste Statistics 2014, 2016 &lt;http://www.epro-plasticsrecycling.org/pages/75/epro_statistics&gt;</t>
  </si>
  <si>
    <t>Value for films</t>
  </si>
  <si>
    <t>Velis, Costas, Global Recycling Markets - Plastic Waste: A Story for One Player – China, International Solid Waste Association, 2014 &lt;https://www.iswa.org/fileadmin/galleries/Task_Forces/TFGWM_Report_GRM_Plastic_China_LR.pdf&gt;</t>
  </si>
  <si>
    <t>Value for all plastic scraps</t>
  </si>
  <si>
    <t>Value for inhomogeneous or contaminated streams</t>
  </si>
  <si>
    <t>Regulation</t>
  </si>
  <si>
    <t>Mass entering the CH system. Negative values represent net export flows and are translated into transfer coefficients in the code</t>
  </si>
  <si>
    <t>Mass entering the EU system. Negative values represent net export flows and are translated into transfer coefficients in the code</t>
  </si>
  <si>
    <t>Transfer coefficients for the definition of societal flows for both EU and CH system For cells in orange containing a zero, the number used in the model is redefined using other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</si>
</sst>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quot;Fr.&quot;\ * #,##0.00_ ;_ &quot;Fr.&quot;\ * \-#,##0.00_ ;_ &quot;Fr.&quot;\ * &quot;-&quot;??_ ;_ @_ "/>
    <numFmt numFmtId="165" formatCode="0.000"/>
    <numFmt numFmtId="166" formatCode="0.0000"/>
    <numFmt numFmtId="167" formatCode="0.0000000"/>
    <numFmt numFmtId="168" formatCode="0.0"/>
    <numFmt numFmtId="169" formatCode="0.00000"/>
    <numFmt numFmtId="170" formatCode="0.000000"/>
  </numFmts>
  <fonts count="42" x14ac:knownFonts="1">
    <font>
      <sz val="11"/>
      <color theme="1"/>
      <name val="Calibri"/>
      <family val="2"/>
      <scheme val="minor"/>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b/>
      <sz val="11"/>
      <color theme="1"/>
      <name val="Calibri"/>
      <family val="2"/>
      <scheme val="minor"/>
    </font>
    <font>
      <b/>
      <sz val="11"/>
      <color rgb="FFC00000"/>
      <name val="Calibri"/>
      <family val="2"/>
      <scheme val="minor"/>
    </font>
    <font>
      <b/>
      <sz val="11"/>
      <name val="Calibri"/>
      <family val="2"/>
      <scheme val="minor"/>
    </font>
    <font>
      <b/>
      <sz val="11"/>
      <color rgb="FF00B0F0"/>
      <name val="Calibri"/>
      <family val="2"/>
      <scheme val="minor"/>
    </font>
    <font>
      <b/>
      <sz val="11"/>
      <color rgb="FF0070C0"/>
      <name val="Calibri"/>
      <family val="2"/>
      <scheme val="minor"/>
    </font>
    <font>
      <b/>
      <sz val="11"/>
      <color rgb="FFFF6600"/>
      <name val="Calibri"/>
      <family val="2"/>
      <scheme val="minor"/>
    </font>
    <font>
      <b/>
      <sz val="11"/>
      <color rgb="FF7030A0"/>
      <name val="Calibri"/>
      <family val="2"/>
      <scheme val="minor"/>
    </font>
    <font>
      <sz val="11"/>
      <name val="Calibri"/>
      <family val="2"/>
      <scheme val="minor"/>
    </font>
    <font>
      <b/>
      <sz val="11"/>
      <color rgb="FF00FF99"/>
      <name val="Calibri"/>
      <family val="2"/>
      <scheme val="minor"/>
    </font>
    <font>
      <b/>
      <sz val="11"/>
      <color rgb="FFFF0000"/>
      <name val="Calibri"/>
      <family val="2"/>
      <scheme val="minor"/>
    </font>
    <font>
      <b/>
      <sz val="11"/>
      <color rgb="FFFFC000"/>
      <name val="Calibri"/>
      <family val="2"/>
      <scheme val="minor"/>
    </font>
    <font>
      <b/>
      <sz val="11"/>
      <color rgb="FF92D050"/>
      <name val="Calibri"/>
      <family val="2"/>
      <scheme val="minor"/>
    </font>
    <font>
      <b/>
      <sz val="11"/>
      <color rgb="FF00B050"/>
      <name val="Calibri"/>
      <family val="2"/>
      <scheme val="minor"/>
    </font>
    <font>
      <b/>
      <i/>
      <sz val="11"/>
      <color theme="0" tint="-0.499984740745262"/>
      <name val="Calibri"/>
      <family val="2"/>
      <scheme val="minor"/>
    </font>
    <font>
      <i/>
      <sz val="11"/>
      <color theme="0" tint="-0.499984740745262"/>
      <name val="Calibri"/>
      <family val="2"/>
      <scheme val="minor"/>
    </font>
    <font>
      <b/>
      <i/>
      <sz val="11"/>
      <color theme="1" tint="0.14999847407452621"/>
      <name val="Calibri"/>
      <family val="2"/>
      <scheme val="minor"/>
    </font>
    <font>
      <b/>
      <i/>
      <sz val="11"/>
      <color theme="1" tint="0.499984740745262"/>
      <name val="Calibri"/>
      <family val="2"/>
      <scheme val="minor"/>
    </font>
    <font>
      <i/>
      <sz val="11"/>
      <color theme="1" tint="0.499984740745262"/>
      <name val="Calibri"/>
      <family val="2"/>
      <scheme val="minor"/>
    </font>
    <font>
      <i/>
      <sz val="11"/>
      <color theme="1"/>
      <name val="Calibri"/>
      <family val="2"/>
      <scheme val="minor"/>
    </font>
    <font>
      <sz val="11"/>
      <name val="Arial"/>
      <family val="2"/>
    </font>
    <font>
      <sz val="11"/>
      <color indexed="8"/>
      <name val="Calibri"/>
      <family val="2"/>
      <scheme val="minor"/>
    </font>
    <font>
      <sz val="11"/>
      <color theme="0" tint="-0.499984740745262"/>
      <name val="Calibri"/>
      <family val="2"/>
      <scheme val="minor"/>
    </font>
    <font>
      <b/>
      <sz val="11"/>
      <color theme="9" tint="-0.499984740745262"/>
      <name val="Calibri"/>
      <family val="2"/>
      <scheme val="minor"/>
    </font>
    <font>
      <b/>
      <sz val="11"/>
      <color theme="0" tint="-0.499984740745262"/>
      <name val="Calibri"/>
      <family val="2"/>
      <scheme val="minor"/>
    </font>
    <font>
      <b/>
      <sz val="11"/>
      <color rgb="FF002060"/>
      <name val="Calibri"/>
      <family val="2"/>
      <scheme val="minor"/>
    </font>
    <font>
      <b/>
      <sz val="11"/>
      <color rgb="FF31A828"/>
      <name val="Calibri"/>
      <family val="2"/>
      <scheme val="minor"/>
    </font>
    <font>
      <b/>
      <sz val="11"/>
      <color theme="5" tint="-0.499984740745262"/>
      <name val="Calibri"/>
      <family val="2"/>
      <scheme val="minor"/>
    </font>
    <font>
      <b/>
      <sz val="11"/>
      <color theme="1" tint="0.499984740745262"/>
      <name val="Calibri"/>
      <family val="2"/>
      <scheme val="minor"/>
    </font>
    <font>
      <sz val="14"/>
      <color theme="1"/>
      <name val="Calibri"/>
      <family val="2"/>
      <scheme val="minor"/>
    </font>
    <font>
      <b/>
      <sz val="16"/>
      <color theme="1"/>
      <name val="Calibri"/>
      <family val="2"/>
      <scheme val="minor"/>
    </font>
    <font>
      <i/>
      <sz val="11"/>
      <color rgb="FF808080"/>
      <name val="Calibri"/>
      <family val="2"/>
      <scheme val="minor"/>
    </font>
    <font>
      <sz val="11"/>
      <color rgb="FF000000"/>
      <name val="Calibri"/>
      <family val="3"/>
      <charset val="134"/>
      <scheme val="minor"/>
    </font>
    <font>
      <i/>
      <sz val="11"/>
      <color theme="0" tint="-0.499984740745262"/>
      <name val="SimSun"/>
      <family val="3"/>
      <charset val="134"/>
    </font>
    <font>
      <sz val="11"/>
      <color rgb="FF000000"/>
      <name val="Calibri"/>
      <family val="2"/>
      <scheme val="minor"/>
    </font>
    <font>
      <sz val="11"/>
      <color rgb="FF000000"/>
      <name val="Calibri"/>
      <family val="2"/>
      <charset val="134"/>
      <scheme val="minor"/>
    </font>
    <font>
      <b/>
      <i/>
      <sz val="11"/>
      <color theme="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3FCDFF"/>
        <bgColor indexed="64"/>
      </patternFill>
    </fill>
    <fill>
      <patternFill patternType="solid">
        <fgColor theme="0" tint="-0.14999847407452621"/>
        <bgColor indexed="64"/>
      </patternFill>
    </fill>
    <fill>
      <patternFill patternType="solid">
        <fgColor rgb="FFFF0000"/>
        <bgColor indexed="64"/>
      </patternFill>
    </fill>
    <fill>
      <patternFill patternType="solid">
        <fgColor rgb="FF00B0F0"/>
        <bgColor indexed="64"/>
      </patternFill>
    </fill>
    <fill>
      <patternFill patternType="solid">
        <fgColor theme="0" tint="-0.34998626667073579"/>
        <bgColor indexed="64"/>
      </patternFill>
    </fill>
    <fill>
      <patternFill patternType="solid">
        <fgColor rgb="FFD9D9D9"/>
        <bgColor rgb="FF000000"/>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bgColor indexed="64"/>
      </patternFill>
    </fill>
    <fill>
      <patternFill patternType="solid">
        <fgColor theme="9" tint="0.59999389629810485"/>
        <bgColor indexed="64"/>
      </patternFill>
    </fill>
    <fill>
      <patternFill patternType="solid">
        <fgColor rgb="FFFFFFAB"/>
        <bgColor indexed="64"/>
      </patternFill>
    </fill>
    <fill>
      <patternFill patternType="solid">
        <fgColor theme="0" tint="-0.249977111117893"/>
        <bgColor indexed="64"/>
      </patternFill>
    </fill>
  </fills>
  <borders count="49">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s>
  <cellStyleXfs count="55">
    <xf numFmtId="0" fontId="0" fillId="0" borderId="0"/>
    <xf numFmtId="0" fontId="5" fillId="0" borderId="0"/>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4" fontId="5"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164" fontId="4" fillId="0" borderId="0" applyFont="0" applyFill="0" applyBorder="0" applyAlignment="0" applyProtection="0"/>
    <xf numFmtId="0" fontId="3" fillId="0" borderId="0"/>
    <xf numFmtId="0" fontId="3" fillId="0" borderId="0"/>
    <xf numFmtId="164"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164" fontId="3" fillId="0" borderId="0" applyFont="0" applyFill="0" applyBorder="0" applyAlignment="0" applyProtection="0"/>
    <xf numFmtId="0" fontId="2" fillId="0" borderId="0"/>
    <xf numFmtId="164" fontId="2" fillId="0" borderId="0" applyFont="0" applyFill="0" applyBorder="0" applyAlignment="0" applyProtection="0"/>
    <xf numFmtId="0" fontId="25" fillId="0" borderId="0"/>
    <xf numFmtId="0" fontId="26"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16">
    <xf numFmtId="0" fontId="0" fillId="0" borderId="0" xfId="0"/>
    <xf numFmtId="0" fontId="7" fillId="0" borderId="2" xfId="0" applyFont="1" applyBorder="1" applyAlignment="1">
      <alignment vertical="center"/>
    </xf>
    <xf numFmtId="0" fontId="14" fillId="0" borderId="0" xfId="0" applyFont="1" applyBorder="1" applyAlignment="1">
      <alignment vertical="center"/>
    </xf>
    <xf numFmtId="0" fontId="7" fillId="0" borderId="5" xfId="0" applyFont="1" applyBorder="1" applyAlignment="1">
      <alignment vertical="center"/>
    </xf>
    <xf numFmtId="0" fontId="7" fillId="0" borderId="7" xfId="0" applyFont="1" applyBorder="1" applyAlignment="1">
      <alignment vertical="center"/>
    </xf>
    <xf numFmtId="0" fontId="14" fillId="0" borderId="5" xfId="0" applyFont="1" applyBorder="1" applyAlignment="1">
      <alignment vertical="center"/>
    </xf>
    <xf numFmtId="0" fontId="14" fillId="0" borderId="7" xfId="0" applyFont="1" applyBorder="1" applyAlignment="1">
      <alignment vertical="center"/>
    </xf>
    <xf numFmtId="0" fontId="14" fillId="0" borderId="8" xfId="0" applyFont="1" applyBorder="1" applyAlignment="1">
      <alignment vertical="center"/>
    </xf>
    <xf numFmtId="0" fontId="13" fillId="0" borderId="0" xfId="0" applyNumberFormat="1" applyFont="1" applyBorder="1" applyAlignment="1">
      <alignment vertical="center"/>
    </xf>
    <xf numFmtId="0" fontId="13" fillId="5" borderId="0" xfId="0" applyNumberFormat="1" applyFont="1" applyFill="1" applyBorder="1" applyAlignment="1">
      <alignment vertical="center"/>
    </xf>
    <xf numFmtId="0" fontId="13" fillId="0" borderId="2" xfId="0" applyFont="1" applyFill="1" applyBorder="1" applyAlignment="1">
      <alignment vertical="center"/>
    </xf>
    <xf numFmtId="0" fontId="13" fillId="0" borderId="3" xfId="0" applyFont="1" applyFill="1" applyBorder="1" applyAlignment="1">
      <alignment vertical="center"/>
    </xf>
    <xf numFmtId="0" fontId="0" fillId="0" borderId="0" xfId="0" applyFont="1" applyFill="1" applyBorder="1" applyAlignment="1">
      <alignment vertical="center"/>
    </xf>
    <xf numFmtId="0" fontId="13" fillId="0" borderId="13" xfId="0" applyFont="1" applyFill="1" applyBorder="1" applyAlignment="1">
      <alignment vertical="center"/>
    </xf>
    <xf numFmtId="0" fontId="13" fillId="0" borderId="12" xfId="0" applyFont="1" applyFill="1" applyBorder="1" applyAlignment="1">
      <alignment vertical="center"/>
    </xf>
    <xf numFmtId="0" fontId="13" fillId="0" borderId="11" xfId="0" applyFont="1" applyFill="1" applyBorder="1" applyAlignment="1">
      <alignment vertical="center"/>
    </xf>
    <xf numFmtId="2" fontId="13" fillId="0" borderId="12" xfId="0" applyNumberFormat="1" applyFont="1" applyBorder="1" applyAlignment="1">
      <alignment vertical="center"/>
    </xf>
    <xf numFmtId="2" fontId="13" fillId="0" borderId="11" xfId="0" applyNumberFormat="1" applyFont="1" applyBorder="1" applyAlignment="1">
      <alignment vertical="center"/>
    </xf>
    <xf numFmtId="0" fontId="6" fillId="0" borderId="0" xfId="0" applyFont="1" applyBorder="1" applyAlignment="1">
      <alignment vertical="center"/>
    </xf>
    <xf numFmtId="0" fontId="10" fillId="0" borderId="0" xfId="0" applyFont="1" applyBorder="1" applyAlignment="1">
      <alignment vertical="center"/>
    </xf>
    <xf numFmtId="0" fontId="6" fillId="0" borderId="9" xfId="0" applyFont="1" applyBorder="1" applyAlignment="1">
      <alignment vertical="center"/>
    </xf>
    <xf numFmtId="0" fontId="11" fillId="0" borderId="0" xfId="0" applyFont="1" applyBorder="1" applyAlignment="1">
      <alignment vertical="center"/>
    </xf>
    <xf numFmtId="0" fontId="12" fillId="0" borderId="9" xfId="0" applyFont="1" applyBorder="1" applyAlignment="1">
      <alignment vertical="center"/>
    </xf>
    <xf numFmtId="0" fontId="14" fillId="0" borderId="6" xfId="0" applyFont="1" applyBorder="1" applyAlignment="1">
      <alignment vertical="center"/>
    </xf>
    <xf numFmtId="0" fontId="7" fillId="0" borderId="6" xfId="0" applyFont="1" applyBorder="1" applyAlignment="1">
      <alignment vertical="center"/>
    </xf>
    <xf numFmtId="0" fontId="11" fillId="0" borderId="6" xfId="0" applyFont="1" applyBorder="1" applyAlignment="1">
      <alignment vertical="center"/>
    </xf>
    <xf numFmtId="0" fontId="0" fillId="0" borderId="0" xfId="0"/>
    <xf numFmtId="0" fontId="0" fillId="0" borderId="0" xfId="0" applyBorder="1"/>
    <xf numFmtId="0" fontId="0" fillId="0" borderId="6" xfId="0" applyBorder="1"/>
    <xf numFmtId="0" fontId="13" fillId="5" borderId="11" xfId="0" applyFont="1" applyFill="1" applyBorder="1" applyAlignment="1">
      <alignment vertical="center"/>
    </xf>
    <xf numFmtId="0" fontId="13" fillId="5" borderId="12" xfId="0" applyFont="1" applyFill="1" applyBorder="1" applyAlignment="1">
      <alignment vertical="center"/>
    </xf>
    <xf numFmtId="0" fontId="14" fillId="0" borderId="9" xfId="0" applyFont="1" applyBorder="1" applyAlignment="1">
      <alignment vertical="center"/>
    </xf>
    <xf numFmtId="0" fontId="20" fillId="0" borderId="3" xfId="0" applyFont="1" applyFill="1" applyBorder="1" applyAlignment="1">
      <alignment vertical="center"/>
    </xf>
    <xf numFmtId="0" fontId="20" fillId="0" borderId="11" xfId="0" applyFont="1" applyFill="1" applyBorder="1" applyAlignment="1">
      <alignment vertical="center"/>
    </xf>
    <xf numFmtId="2" fontId="13" fillId="0" borderId="3" xfId="0" applyNumberFormat="1" applyFont="1" applyBorder="1" applyAlignment="1">
      <alignment vertical="center"/>
    </xf>
    <xf numFmtId="0" fontId="9" fillId="0" borderId="9" xfId="0" applyFont="1" applyBorder="1" applyAlignment="1">
      <alignment vertical="center"/>
    </xf>
    <xf numFmtId="0" fontId="9" fillId="0" borderId="5" xfId="0" applyFont="1" applyBorder="1" applyAlignment="1">
      <alignment vertical="center"/>
    </xf>
    <xf numFmtId="2" fontId="13" fillId="0" borderId="11" xfId="0" applyNumberFormat="1" applyFont="1" applyFill="1" applyBorder="1" applyAlignment="1">
      <alignment vertical="center"/>
    </xf>
    <xf numFmtId="0" fontId="13" fillId="0" borderId="13" xfId="0" applyFont="1" applyBorder="1" applyAlignment="1">
      <alignment horizontal="left" vertical="center"/>
    </xf>
    <xf numFmtId="0" fontId="13" fillId="5" borderId="6" xfId="0" applyNumberFormat="1" applyFont="1" applyFill="1" applyBorder="1" applyAlignment="1">
      <alignment vertical="center"/>
    </xf>
    <xf numFmtId="0" fontId="13" fillId="0" borderId="10" xfId="0" applyFont="1" applyFill="1" applyBorder="1" applyAlignment="1">
      <alignment vertical="center"/>
    </xf>
    <xf numFmtId="0" fontId="7" fillId="0" borderId="0" xfId="0" applyFont="1" applyBorder="1" applyAlignment="1">
      <alignment vertical="center"/>
    </xf>
    <xf numFmtId="0" fontId="13" fillId="0" borderId="2" xfId="0" applyFont="1" applyBorder="1" applyAlignment="1">
      <alignment horizontal="left" vertical="center"/>
    </xf>
    <xf numFmtId="0" fontId="13" fillId="0" borderId="9" xfId="0" applyNumberFormat="1" applyFont="1" applyFill="1" applyBorder="1" applyAlignment="1">
      <alignment vertical="center"/>
    </xf>
    <xf numFmtId="0" fontId="13" fillId="0" borderId="0" xfId="0" applyNumberFormat="1" applyFont="1" applyFill="1" applyBorder="1" applyAlignment="1">
      <alignment vertical="center"/>
    </xf>
    <xf numFmtId="0" fontId="13" fillId="0" borderId="6" xfId="0" applyNumberFormat="1" applyFont="1" applyFill="1" applyBorder="1" applyAlignment="1">
      <alignment vertical="center"/>
    </xf>
    <xf numFmtId="0" fontId="20" fillId="0" borderId="12" xfId="0" applyFont="1" applyFill="1" applyBorder="1" applyAlignment="1">
      <alignment vertical="center"/>
    </xf>
    <xf numFmtId="0" fontId="12" fillId="0" borderId="0" xfId="0" applyFont="1" applyBorder="1" applyAlignment="1">
      <alignment vertical="center"/>
    </xf>
    <xf numFmtId="0" fontId="12" fillId="0" borderId="6" xfId="0" applyFont="1" applyBorder="1" applyAlignment="1">
      <alignment vertical="center"/>
    </xf>
    <xf numFmtId="0" fontId="11" fillId="0" borderId="5" xfId="0" applyFont="1" applyBorder="1" applyAlignment="1">
      <alignment vertical="center"/>
    </xf>
    <xf numFmtId="0" fontId="11" fillId="0" borderId="7" xfId="0" applyFont="1" applyBorder="1" applyAlignment="1">
      <alignment vertical="center"/>
    </xf>
    <xf numFmtId="0" fontId="11" fillId="0" borderId="8" xfId="0" applyFont="1" applyBorder="1" applyAlignment="1">
      <alignment vertical="center"/>
    </xf>
    <xf numFmtId="0" fontId="8" fillId="0" borderId="0" xfId="0" applyFont="1" applyBorder="1" applyAlignment="1">
      <alignment vertical="center"/>
    </xf>
    <xf numFmtId="0" fontId="8" fillId="0" borderId="9" xfId="0" applyFont="1" applyBorder="1" applyAlignment="1">
      <alignment vertical="center"/>
    </xf>
    <xf numFmtId="0" fontId="12" fillId="0" borderId="5" xfId="0" applyFont="1" applyBorder="1" applyAlignment="1">
      <alignment vertical="center"/>
    </xf>
    <xf numFmtId="0" fontId="12" fillId="0" borderId="8" xfId="0" applyFont="1" applyBorder="1" applyAlignment="1">
      <alignment vertical="center"/>
    </xf>
    <xf numFmtId="0" fontId="12" fillId="0" borderId="7" xfId="0" applyFont="1" applyBorder="1" applyAlignment="1">
      <alignment vertical="center"/>
    </xf>
    <xf numFmtId="0" fontId="13" fillId="0" borderId="0" xfId="0" applyFont="1" applyFill="1" applyBorder="1" applyAlignment="1">
      <alignment vertical="center"/>
    </xf>
    <xf numFmtId="0" fontId="13" fillId="0" borderId="6" xfId="0" applyFont="1" applyFill="1" applyBorder="1" applyAlignment="1">
      <alignment vertical="center"/>
    </xf>
    <xf numFmtId="0" fontId="13" fillId="0" borderId="9" xfId="0" applyFont="1" applyFill="1" applyBorder="1" applyAlignment="1">
      <alignment vertical="center"/>
    </xf>
    <xf numFmtId="2" fontId="13" fillId="5" borderId="3" xfId="0" applyNumberFormat="1" applyFont="1" applyFill="1" applyBorder="1" applyAlignment="1">
      <alignment vertical="center"/>
    </xf>
    <xf numFmtId="0" fontId="13" fillId="5" borderId="6" xfId="0" applyFont="1" applyFill="1" applyBorder="1" applyAlignment="1">
      <alignment vertical="center"/>
    </xf>
    <xf numFmtId="2" fontId="13" fillId="5" borderId="12" xfId="0" applyNumberFormat="1" applyFont="1" applyFill="1" applyBorder="1" applyAlignment="1">
      <alignment vertical="center"/>
    </xf>
    <xf numFmtId="2" fontId="13" fillId="0" borderId="3" xfId="0" applyNumberFormat="1" applyFont="1" applyFill="1" applyBorder="1" applyAlignment="1">
      <alignment vertical="center"/>
    </xf>
    <xf numFmtId="0" fontId="13" fillId="0" borderId="2" xfId="0" applyFont="1" applyBorder="1" applyAlignment="1">
      <alignment vertical="center"/>
    </xf>
    <xf numFmtId="0" fontId="13" fillId="0" borderId="0" xfId="0" applyFont="1" applyBorder="1" applyAlignment="1">
      <alignment vertical="center"/>
    </xf>
    <xf numFmtId="0" fontId="13" fillId="0" borderId="3" xfId="0" applyFont="1" applyBorder="1" applyAlignment="1">
      <alignment vertical="center"/>
    </xf>
    <xf numFmtId="0" fontId="13" fillId="0" borderId="13" xfId="0" applyFont="1" applyBorder="1" applyAlignment="1">
      <alignment vertical="center"/>
    </xf>
    <xf numFmtId="0" fontId="13" fillId="0" borderId="6" xfId="0" applyFont="1" applyBorder="1" applyAlignment="1">
      <alignment vertical="center"/>
    </xf>
    <xf numFmtId="0" fontId="13" fillId="0" borderId="10" xfId="0" applyFont="1" applyBorder="1" applyAlignment="1">
      <alignment vertical="center"/>
    </xf>
    <xf numFmtId="0" fontId="13" fillId="0" borderId="9" xfId="0" applyFont="1" applyBorder="1" applyAlignment="1">
      <alignment vertical="center"/>
    </xf>
    <xf numFmtId="0" fontId="0" fillId="0" borderId="0" xfId="0" applyFont="1" applyBorder="1" applyAlignment="1">
      <alignment vertical="center"/>
    </xf>
    <xf numFmtId="0" fontId="0" fillId="0" borderId="6" xfId="0" applyFont="1" applyBorder="1" applyAlignment="1">
      <alignment vertical="center"/>
    </xf>
    <xf numFmtId="0" fontId="0" fillId="0" borderId="9" xfId="0" applyFont="1" applyBorder="1" applyAlignment="1">
      <alignment vertical="center"/>
    </xf>
    <xf numFmtId="0" fontId="13" fillId="5" borderId="0" xfId="0" applyFont="1" applyFill="1" applyBorder="1" applyAlignment="1">
      <alignment vertical="center"/>
    </xf>
    <xf numFmtId="0" fontId="13" fillId="5" borderId="9" xfId="0" applyFont="1" applyFill="1" applyBorder="1" applyAlignment="1">
      <alignment vertical="center"/>
    </xf>
    <xf numFmtId="2" fontId="13" fillId="5" borderId="11" xfId="0" applyNumberFormat="1" applyFont="1" applyFill="1" applyBorder="1" applyAlignment="1">
      <alignment vertical="center"/>
    </xf>
    <xf numFmtId="0" fontId="20" fillId="0" borderId="3" xfId="0" applyFont="1" applyBorder="1" applyAlignment="1">
      <alignment vertical="center"/>
    </xf>
    <xf numFmtId="0" fontId="20" fillId="0" borderId="11" xfId="0" applyFont="1" applyBorder="1" applyAlignment="1">
      <alignment vertical="center"/>
    </xf>
    <xf numFmtId="0" fontId="20" fillId="0" borderId="12" xfId="0" applyFont="1" applyBorder="1" applyAlignment="1">
      <alignment vertical="center"/>
    </xf>
    <xf numFmtId="0" fontId="20" fillId="0" borderId="0" xfId="0" applyFont="1" applyBorder="1" applyAlignment="1">
      <alignment vertical="center"/>
    </xf>
    <xf numFmtId="0" fontId="20" fillId="0" borderId="9" xfId="0" applyFont="1" applyBorder="1" applyAlignment="1">
      <alignment vertical="center"/>
    </xf>
    <xf numFmtId="0" fontId="20" fillId="0" borderId="6" xfId="0" applyFont="1" applyBorder="1" applyAlignment="1">
      <alignment vertical="center"/>
    </xf>
    <xf numFmtId="0" fontId="13" fillId="0" borderId="12" xfId="0" applyFont="1" applyBorder="1" applyAlignment="1">
      <alignment vertical="center"/>
    </xf>
    <xf numFmtId="0" fontId="13" fillId="0" borderId="11" xfId="0" applyFont="1" applyBorder="1" applyAlignment="1">
      <alignment vertical="center"/>
    </xf>
    <xf numFmtId="0" fontId="13" fillId="5" borderId="3" xfId="0" applyFont="1" applyFill="1" applyBorder="1" applyAlignment="1">
      <alignment vertical="center"/>
    </xf>
    <xf numFmtId="0" fontId="13" fillId="0" borderId="10" xfId="0" applyFont="1" applyBorder="1" applyAlignment="1">
      <alignment horizontal="left" vertical="center"/>
    </xf>
    <xf numFmtId="0" fontId="13" fillId="5" borderId="9" xfId="0" applyNumberFormat="1" applyFont="1" applyFill="1" applyBorder="1" applyAlignment="1">
      <alignment vertical="center"/>
    </xf>
    <xf numFmtId="0" fontId="10" fillId="0" borderId="7" xfId="0" applyFont="1" applyBorder="1" applyAlignment="1">
      <alignment vertical="center"/>
    </xf>
    <xf numFmtId="0" fontId="6" fillId="2" borderId="1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0" fillId="0" borderId="4" xfId="0" applyBorder="1"/>
    <xf numFmtId="0" fontId="0" fillId="0" borderId="14" xfId="0" applyBorder="1"/>
    <xf numFmtId="0" fontId="0" fillId="0" borderId="15" xfId="0" applyBorder="1"/>
    <xf numFmtId="0" fontId="20" fillId="0" borderId="9" xfId="0" applyFont="1" applyFill="1" applyBorder="1" applyAlignment="1">
      <alignment vertical="center"/>
    </xf>
    <xf numFmtId="2" fontId="13" fillId="0" borderId="12" xfId="0" applyNumberFormat="1" applyFont="1" applyFill="1" applyBorder="1" applyAlignment="1">
      <alignment vertical="center"/>
    </xf>
    <xf numFmtId="0" fontId="0" fillId="0" borderId="4" xfId="0" applyFill="1" applyBorder="1"/>
    <xf numFmtId="0" fontId="9" fillId="0" borderId="7" xfId="0" applyFont="1" applyBorder="1" applyAlignment="1">
      <alignment vertical="center"/>
    </xf>
    <xf numFmtId="0" fontId="0" fillId="0" borderId="14" xfId="0" applyFill="1" applyBorder="1"/>
    <xf numFmtId="0" fontId="0" fillId="0" borderId="15" xfId="0" applyFill="1" applyBorder="1"/>
    <xf numFmtId="0" fontId="20" fillId="0" borderId="0" xfId="0" applyFont="1" applyBorder="1"/>
    <xf numFmtId="0" fontId="13" fillId="0" borderId="22" xfId="0" applyFont="1" applyFill="1" applyBorder="1" applyAlignment="1">
      <alignment vertical="center"/>
    </xf>
    <xf numFmtId="0" fontId="13" fillId="0" borderId="22" xfId="0" applyFont="1" applyBorder="1" applyAlignment="1">
      <alignment vertical="center"/>
    </xf>
    <xf numFmtId="0" fontId="13" fillId="0" borderId="21" xfId="0" applyFont="1" applyBorder="1" applyAlignment="1">
      <alignment vertical="center"/>
    </xf>
    <xf numFmtId="2" fontId="13" fillId="0" borderId="21" xfId="0" applyNumberFormat="1" applyFont="1" applyFill="1" applyBorder="1" applyAlignment="1">
      <alignment vertical="center"/>
    </xf>
    <xf numFmtId="0" fontId="0" fillId="0" borderId="22" xfId="0" applyFont="1" applyBorder="1" applyAlignment="1">
      <alignment vertical="center"/>
    </xf>
    <xf numFmtId="0" fontId="20" fillId="0" borderId="22" xfId="0" applyFont="1" applyBorder="1" applyAlignment="1">
      <alignment vertical="center"/>
    </xf>
    <xf numFmtId="0" fontId="13" fillId="5" borderId="22" xfId="0" applyFont="1" applyFill="1" applyBorder="1" applyAlignment="1">
      <alignment vertical="center"/>
    </xf>
    <xf numFmtId="0" fontId="13" fillId="5" borderId="21" xfId="0" applyFont="1" applyFill="1" applyBorder="1" applyAlignment="1">
      <alignment vertical="center"/>
    </xf>
    <xf numFmtId="2" fontId="13" fillId="5" borderId="21" xfId="0" applyNumberFormat="1" applyFont="1" applyFill="1" applyBorder="1" applyAlignment="1">
      <alignment vertical="center"/>
    </xf>
    <xf numFmtId="0" fontId="8" fillId="0" borderId="6" xfId="0" applyFont="1" applyBorder="1" applyAlignment="1">
      <alignment vertical="center"/>
    </xf>
    <xf numFmtId="0" fontId="20" fillId="0" borderId="0" xfId="0" applyFont="1" applyFill="1" applyBorder="1" applyAlignment="1">
      <alignment vertical="center"/>
    </xf>
    <xf numFmtId="0" fontId="20" fillId="0" borderId="6" xfId="0" applyFont="1" applyFill="1" applyBorder="1" applyAlignment="1">
      <alignment vertical="center"/>
    </xf>
    <xf numFmtId="166" fontId="13" fillId="0" borderId="0" xfId="0" applyNumberFormat="1" applyFont="1" applyFill="1" applyBorder="1" applyAlignment="1">
      <alignment vertical="center"/>
    </xf>
    <xf numFmtId="166" fontId="13" fillId="5" borderId="6" xfId="0" applyNumberFormat="1" applyFont="1" applyFill="1" applyBorder="1" applyAlignment="1">
      <alignment vertical="center"/>
    </xf>
    <xf numFmtId="0" fontId="6" fillId="0" borderId="6" xfId="0" applyFont="1" applyBorder="1" applyAlignment="1">
      <alignment vertical="center"/>
    </xf>
    <xf numFmtId="0" fontId="12" fillId="0" borderId="9" xfId="0" applyFont="1" applyBorder="1" applyAlignment="1">
      <alignment horizontal="left" vertical="center"/>
    </xf>
    <xf numFmtId="0" fontId="8" fillId="0" borderId="6" xfId="0" applyFont="1" applyBorder="1" applyAlignment="1">
      <alignment horizontal="left" vertical="center"/>
    </xf>
    <xf numFmtId="49" fontId="23" fillId="0" borderId="0" xfId="0" applyNumberFormat="1" applyFont="1" applyBorder="1" applyAlignment="1">
      <alignment vertical="center"/>
    </xf>
    <xf numFmtId="166" fontId="13" fillId="0" borderId="6" xfId="0" applyNumberFormat="1" applyFont="1" applyFill="1" applyBorder="1" applyAlignment="1">
      <alignment vertical="center"/>
    </xf>
    <xf numFmtId="166" fontId="0" fillId="0" borderId="0" xfId="0" applyNumberFormat="1" applyFont="1" applyBorder="1" applyAlignment="1">
      <alignment vertical="center"/>
    </xf>
    <xf numFmtId="165" fontId="13" fillId="0" borderId="0" xfId="0" applyNumberFormat="1" applyFont="1" applyFill="1" applyBorder="1" applyAlignment="1">
      <alignment vertical="center"/>
    </xf>
    <xf numFmtId="165" fontId="13" fillId="0" borderId="9" xfId="0" applyNumberFormat="1" applyFont="1" applyFill="1" applyBorder="1" applyAlignment="1">
      <alignment vertical="center"/>
    </xf>
    <xf numFmtId="165" fontId="13" fillId="0" borderId="6" xfId="0" applyNumberFormat="1" applyFont="1" applyFill="1" applyBorder="1" applyAlignment="1">
      <alignment vertical="center"/>
    </xf>
    <xf numFmtId="165" fontId="0" fillId="0" borderId="0" xfId="0" applyNumberFormat="1" applyBorder="1"/>
    <xf numFmtId="165" fontId="0" fillId="0" borderId="9" xfId="0" applyNumberFormat="1" applyBorder="1"/>
    <xf numFmtId="1" fontId="13" fillId="5" borderId="6" xfId="0" applyNumberFormat="1" applyFont="1" applyFill="1" applyBorder="1" applyAlignment="1">
      <alignment vertical="center"/>
    </xf>
    <xf numFmtId="165" fontId="0" fillId="5" borderId="6" xfId="0" applyNumberFormat="1" applyFill="1" applyBorder="1"/>
    <xf numFmtId="0" fontId="11" fillId="0" borderId="22" xfId="0" applyFont="1" applyBorder="1" applyAlignment="1">
      <alignment horizontal="left" vertical="center"/>
    </xf>
    <xf numFmtId="0" fontId="10" fillId="0" borderId="5" xfId="0" applyFont="1" applyBorder="1" applyAlignment="1">
      <alignment vertical="center"/>
    </xf>
    <xf numFmtId="0" fontId="27" fillId="0" borderId="0" xfId="0" applyFont="1"/>
    <xf numFmtId="0" fontId="0" fillId="0" borderId="27" xfId="0" applyBorder="1"/>
    <xf numFmtId="0" fontId="0" fillId="0" borderId="7" xfId="0" applyBorder="1"/>
    <xf numFmtId="0" fontId="0" fillId="0" borderId="28" xfId="0" applyBorder="1"/>
    <xf numFmtId="0" fontId="0" fillId="0" borderId="9" xfId="0" applyBorder="1"/>
    <xf numFmtId="0" fontId="20" fillId="0" borderId="9" xfId="0" applyFont="1" applyBorder="1"/>
    <xf numFmtId="0" fontId="0" fillId="0" borderId="29" xfId="0" applyBorder="1"/>
    <xf numFmtId="0" fontId="0" fillId="0" borderId="30" xfId="0" applyBorder="1"/>
    <xf numFmtId="2" fontId="0" fillId="5" borderId="27" xfId="0" applyNumberFormat="1" applyFill="1" applyBorder="1"/>
    <xf numFmtId="0" fontId="0" fillId="5" borderId="0" xfId="0" applyFill="1" applyBorder="1"/>
    <xf numFmtId="0" fontId="0" fillId="5" borderId="27" xfId="0" applyFill="1" applyBorder="1"/>
    <xf numFmtId="0" fontId="20" fillId="0" borderId="0" xfId="0" applyFont="1" applyFill="1" applyBorder="1"/>
    <xf numFmtId="0" fontId="18" fillId="0" borderId="7" xfId="0" applyFont="1" applyBorder="1" applyAlignment="1">
      <alignment horizontal="left" vertical="center"/>
    </xf>
    <xf numFmtId="0" fontId="17" fillId="0" borderId="7" xfId="0" applyFont="1" applyBorder="1" applyAlignment="1">
      <alignment horizontal="left" vertical="center"/>
    </xf>
    <xf numFmtId="2" fontId="0" fillId="0" borderId="27" xfId="0" applyNumberFormat="1" applyBorder="1"/>
    <xf numFmtId="0" fontId="16" fillId="0" borderId="7" xfId="0" applyFont="1" applyBorder="1" applyAlignment="1">
      <alignment horizontal="left" vertical="center"/>
    </xf>
    <xf numFmtId="2" fontId="0" fillId="0" borderId="27" xfId="0" applyNumberFormat="1" applyFill="1" applyBorder="1"/>
    <xf numFmtId="0" fontId="13" fillId="0" borderId="27" xfId="0" applyFont="1" applyFill="1" applyBorder="1" applyAlignment="1">
      <alignment vertical="center"/>
    </xf>
    <xf numFmtId="0" fontId="15" fillId="0" borderId="7" xfId="0" applyFont="1" applyBorder="1" applyAlignment="1">
      <alignment horizontal="left" vertical="center"/>
    </xf>
    <xf numFmtId="0" fontId="20" fillId="0" borderId="6" xfId="0" applyFont="1" applyBorder="1"/>
    <xf numFmtId="2" fontId="0" fillId="5" borderId="31" xfId="0" applyNumberFormat="1" applyFill="1" applyBorder="1"/>
    <xf numFmtId="0" fontId="13" fillId="5" borderId="31" xfId="0" applyFont="1" applyFill="1" applyBorder="1" applyAlignment="1">
      <alignment vertical="center"/>
    </xf>
    <xf numFmtId="0" fontId="0" fillId="0" borderId="32" xfId="0" applyBorder="1"/>
    <xf numFmtId="0" fontId="20" fillId="0" borderId="6" xfId="0" applyFont="1" applyFill="1" applyBorder="1"/>
    <xf numFmtId="0" fontId="7" fillId="0" borderId="5" xfId="0" applyFont="1" applyBorder="1" applyAlignment="1">
      <alignment horizontal="left" vertical="center"/>
    </xf>
    <xf numFmtId="0" fontId="20" fillId="0" borderId="0" xfId="0" applyFont="1"/>
    <xf numFmtId="0" fontId="6"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6" fillId="7" borderId="33" xfId="0" applyFont="1" applyFill="1" applyBorder="1" applyAlignment="1">
      <alignment horizontal="center" vertical="center" wrapText="1"/>
    </xf>
    <xf numFmtId="0" fontId="6" fillId="3" borderId="33"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0" fillId="8" borderId="32" xfId="0" applyFill="1" applyBorder="1"/>
    <xf numFmtId="0" fontId="19" fillId="6" borderId="22" xfId="0" applyFont="1" applyFill="1" applyBorder="1" applyAlignment="1">
      <alignment horizontal="center" vertical="center" wrapText="1"/>
    </xf>
    <xf numFmtId="0" fontId="6" fillId="6" borderId="22" xfId="0" applyFont="1" applyFill="1" applyBorder="1" applyAlignment="1">
      <alignment horizontal="center" vertical="center" wrapText="1"/>
    </xf>
    <xf numFmtId="0" fontId="6" fillId="6" borderId="20" xfId="0" applyFont="1" applyFill="1" applyBorder="1" applyAlignment="1">
      <alignment horizontal="center" vertical="center" wrapText="1"/>
    </xf>
    <xf numFmtId="0" fontId="8" fillId="2" borderId="22" xfId="0" applyFont="1" applyFill="1" applyBorder="1" applyAlignment="1">
      <alignment horizontal="center" vertical="center" wrapText="1"/>
    </xf>
    <xf numFmtId="0" fontId="6" fillId="2" borderId="20" xfId="0" applyFont="1" applyFill="1" applyBorder="1" applyAlignment="1">
      <alignment horizontal="center" vertical="center" wrapText="1"/>
    </xf>
    <xf numFmtId="0" fontId="28" fillId="0" borderId="9" xfId="0" applyFont="1" applyFill="1" applyBorder="1" applyAlignment="1">
      <alignment vertical="center"/>
    </xf>
    <xf numFmtId="0" fontId="28" fillId="0" borderId="8" xfId="0" applyFont="1" applyFill="1" applyBorder="1" applyAlignment="1">
      <alignment vertical="center"/>
    </xf>
    <xf numFmtId="0" fontId="28" fillId="0" borderId="0" xfId="0" applyFont="1" applyFill="1" applyBorder="1" applyAlignment="1">
      <alignment vertical="center"/>
    </xf>
    <xf numFmtId="0" fontId="28" fillId="0" borderId="7" xfId="0" applyFont="1" applyFill="1" applyBorder="1" applyAlignment="1">
      <alignment vertical="center"/>
    </xf>
    <xf numFmtId="0" fontId="29" fillId="0" borderId="7" xfId="0" applyFont="1" applyBorder="1" applyAlignment="1">
      <alignment vertical="center"/>
    </xf>
    <xf numFmtId="0" fontId="30" fillId="0" borderId="0" xfId="0" applyFont="1" applyBorder="1" applyAlignment="1">
      <alignment vertical="center"/>
    </xf>
    <xf numFmtId="0" fontId="29" fillId="0" borderId="9" xfId="0" applyFont="1" applyBorder="1" applyAlignment="1">
      <alignment vertical="center"/>
    </xf>
    <xf numFmtId="0" fontId="28" fillId="0" borderId="8" xfId="0" applyFont="1" applyBorder="1" applyAlignment="1">
      <alignment vertical="center"/>
    </xf>
    <xf numFmtId="0" fontId="28" fillId="0" borderId="0" xfId="0" applyFont="1" applyBorder="1" applyAlignment="1">
      <alignment vertical="center"/>
    </xf>
    <xf numFmtId="0" fontId="28" fillId="0" borderId="7" xfId="0" applyFont="1" applyBorder="1" applyAlignment="1">
      <alignment vertical="center"/>
    </xf>
    <xf numFmtId="0" fontId="28" fillId="0" borderId="6" xfId="0" applyFont="1" applyBorder="1" applyAlignment="1">
      <alignment vertical="center"/>
    </xf>
    <xf numFmtId="0" fontId="31" fillId="0" borderId="0" xfId="0" applyFont="1" applyBorder="1" applyAlignment="1">
      <alignment vertical="center"/>
    </xf>
    <xf numFmtId="0" fontId="30" fillId="0" borderId="7" xfId="0" applyFont="1" applyBorder="1" applyAlignment="1">
      <alignment vertical="center"/>
    </xf>
    <xf numFmtId="0" fontId="28" fillId="0" borderId="9" xfId="0" applyFont="1" applyBorder="1" applyAlignment="1">
      <alignment vertical="center"/>
    </xf>
    <xf numFmtId="0" fontId="30" fillId="0" borderId="8" xfId="0" applyFont="1" applyBorder="1" applyAlignment="1">
      <alignment vertical="center"/>
    </xf>
    <xf numFmtId="0" fontId="30" fillId="0" borderId="5" xfId="0" applyFont="1" applyBorder="1" applyAlignment="1">
      <alignment vertical="center"/>
    </xf>
    <xf numFmtId="0" fontId="30" fillId="0" borderId="9" xfId="0" applyFont="1" applyBorder="1" applyAlignment="1">
      <alignment vertical="center"/>
    </xf>
    <xf numFmtId="166" fontId="13" fillId="5" borderId="9" xfId="0" applyNumberFormat="1" applyFont="1" applyFill="1" applyBorder="1" applyAlignment="1">
      <alignment vertical="center"/>
    </xf>
    <xf numFmtId="0" fontId="0" fillId="0" borderId="0" xfId="0" applyFill="1" applyBorder="1"/>
    <xf numFmtId="0" fontId="0" fillId="0" borderId="9" xfId="0" applyFill="1" applyBorder="1"/>
    <xf numFmtId="0" fontId="0" fillId="0" borderId="6" xfId="0" applyFill="1" applyBorder="1"/>
    <xf numFmtId="0" fontId="30" fillId="0" borderId="6" xfId="0" applyFont="1" applyBorder="1" applyAlignment="1">
      <alignment vertical="center"/>
    </xf>
    <xf numFmtId="0" fontId="31" fillId="0" borderId="8" xfId="0" applyFont="1" applyBorder="1" applyAlignment="1">
      <alignment vertical="center"/>
    </xf>
    <xf numFmtId="0" fontId="31" fillId="0" borderId="7" xfId="0" applyFont="1" applyBorder="1" applyAlignment="1">
      <alignment vertical="center"/>
    </xf>
    <xf numFmtId="166" fontId="0" fillId="5" borderId="9" xfId="0" applyNumberFormat="1" applyFill="1" applyBorder="1"/>
    <xf numFmtId="0" fontId="31" fillId="0" borderId="9" xfId="0" applyFont="1" applyBorder="1" applyAlignment="1">
      <alignment vertical="center"/>
    </xf>
    <xf numFmtId="0" fontId="31" fillId="0" borderId="6" xfId="0" applyFont="1" applyBorder="1" applyAlignment="1">
      <alignment vertical="center"/>
    </xf>
    <xf numFmtId="0" fontId="31" fillId="0" borderId="5" xfId="0" applyFont="1" applyBorder="1" applyAlignment="1">
      <alignment vertical="center"/>
    </xf>
    <xf numFmtId="0" fontId="32" fillId="0" borderId="0" xfId="0" applyFont="1" applyBorder="1" applyAlignment="1">
      <alignment vertical="center"/>
    </xf>
    <xf numFmtId="2" fontId="13" fillId="0" borderId="0" xfId="0" applyNumberFormat="1" applyFont="1" applyFill="1" applyBorder="1" applyAlignment="1">
      <alignment vertical="center"/>
    </xf>
    <xf numFmtId="0" fontId="29" fillId="0" borderId="8" xfId="0" applyFont="1" applyBorder="1" applyAlignment="1">
      <alignment vertical="center"/>
    </xf>
    <xf numFmtId="0" fontId="29" fillId="0" borderId="5" xfId="0" applyFont="1" applyBorder="1" applyAlignment="1">
      <alignment vertical="center"/>
    </xf>
    <xf numFmtId="2" fontId="13" fillId="0" borderId="6" xfId="0" applyNumberFormat="1" applyFont="1" applyFill="1" applyBorder="1" applyAlignment="1">
      <alignment vertical="center"/>
    </xf>
    <xf numFmtId="0" fontId="29" fillId="0" borderId="0" xfId="0" applyFont="1" applyBorder="1" applyAlignment="1">
      <alignment vertical="center"/>
    </xf>
    <xf numFmtId="0" fontId="29" fillId="0" borderId="6" xfId="0" applyFont="1" applyBorder="1" applyAlignment="1">
      <alignment vertical="center"/>
    </xf>
    <xf numFmtId="0" fontId="31" fillId="0" borderId="9" xfId="0" applyFont="1" applyFill="1" applyBorder="1" applyAlignment="1">
      <alignment vertical="center"/>
    </xf>
    <xf numFmtId="0" fontId="13" fillId="0" borderId="2" xfId="0" applyFont="1" applyFill="1" applyBorder="1" applyAlignment="1">
      <alignment horizontal="left" vertical="center"/>
    </xf>
    <xf numFmtId="0" fontId="29" fillId="0" borderId="0" xfId="0" applyFont="1" applyFill="1" applyBorder="1" applyAlignment="1">
      <alignment vertical="center"/>
    </xf>
    <xf numFmtId="0" fontId="28" fillId="0" borderId="6" xfId="0" applyFont="1" applyFill="1" applyBorder="1" applyAlignment="1">
      <alignment vertical="center"/>
    </xf>
    <xf numFmtId="0" fontId="13" fillId="0" borderId="10" xfId="0" applyFont="1" applyFill="1" applyBorder="1" applyAlignment="1">
      <alignment horizontal="left" vertical="center"/>
    </xf>
    <xf numFmtId="0" fontId="9" fillId="0" borderId="8" xfId="0" applyFont="1" applyBorder="1" applyAlignment="1">
      <alignment vertical="center"/>
    </xf>
    <xf numFmtId="0" fontId="13" fillId="0" borderId="13" xfId="0" applyFont="1" applyFill="1" applyBorder="1" applyAlignment="1">
      <alignment horizontal="left" vertical="center"/>
    </xf>
    <xf numFmtId="0" fontId="28" fillId="0" borderId="3" xfId="0" applyFont="1" applyBorder="1" applyAlignment="1">
      <alignment vertical="center"/>
    </xf>
    <xf numFmtId="0" fontId="30" fillId="0" borderId="0" xfId="0" applyFont="1" applyFill="1" applyBorder="1" applyAlignment="1">
      <alignment vertical="center"/>
    </xf>
    <xf numFmtId="0" fontId="6" fillId="0" borderId="0" xfId="0" applyFont="1" applyBorder="1" applyAlignment="1">
      <alignment horizontal="center" vertical="center" wrapText="1"/>
    </xf>
    <xf numFmtId="0" fontId="19" fillId="0" borderId="0" xfId="0" applyFont="1" applyBorder="1" applyAlignment="1">
      <alignment horizontal="center" vertical="center" wrapText="1"/>
    </xf>
    <xf numFmtId="0" fontId="8" fillId="4" borderId="24" xfId="0" applyFont="1" applyFill="1" applyBorder="1" applyAlignment="1">
      <alignment horizontal="center" vertical="center" wrapText="1"/>
    </xf>
    <xf numFmtId="0" fontId="8" fillId="3" borderId="24"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21" fillId="6" borderId="24" xfId="0" applyFont="1" applyFill="1" applyBorder="1" applyAlignment="1">
      <alignment horizontal="center" vertical="center" wrapText="1"/>
    </xf>
    <xf numFmtId="0" fontId="8" fillId="6" borderId="1" xfId="0" applyNumberFormat="1" applyFont="1" applyFill="1" applyBorder="1" applyAlignment="1">
      <alignment vertical="center" wrapText="1"/>
    </xf>
    <xf numFmtId="0" fontId="8" fillId="6" borderId="25"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20" fillId="0" borderId="27" xfId="0" applyFont="1" applyBorder="1"/>
    <xf numFmtId="0" fontId="0" fillId="0" borderId="7" xfId="0" applyFill="1" applyBorder="1"/>
    <xf numFmtId="166" fontId="0" fillId="0" borderId="7" xfId="0" applyNumberFormat="1" applyFill="1" applyBorder="1"/>
    <xf numFmtId="167" fontId="0" fillId="0" borderId="7" xfId="0" applyNumberFormat="1" applyBorder="1"/>
    <xf numFmtId="0" fontId="20" fillId="0" borderId="9" xfId="0" applyFont="1" applyBorder="1" applyAlignment="1">
      <alignment horizontal="center" vertical="center" wrapText="1"/>
    </xf>
    <xf numFmtId="0" fontId="19" fillId="6" borderId="33" xfId="0" applyFont="1" applyFill="1" applyBorder="1" applyAlignment="1">
      <alignment horizontal="center" vertical="center" wrapText="1"/>
    </xf>
    <xf numFmtId="0" fontId="19" fillId="2" borderId="22" xfId="0" applyFont="1" applyFill="1" applyBorder="1" applyAlignment="1">
      <alignment horizontal="center" vertical="center" wrapText="1"/>
    </xf>
    <xf numFmtId="0" fontId="20" fillId="0" borderId="29" xfId="0" applyFont="1" applyBorder="1"/>
    <xf numFmtId="0" fontId="0" fillId="0" borderId="8" xfId="0" applyBorder="1"/>
    <xf numFmtId="0" fontId="18" fillId="0" borderId="0" xfId="0" applyFont="1" applyBorder="1" applyAlignment="1">
      <alignment horizontal="left" vertical="center"/>
    </xf>
    <xf numFmtId="0" fontId="17" fillId="0" borderId="0" xfId="0" applyFont="1" applyBorder="1" applyAlignment="1">
      <alignment horizontal="left" vertical="center"/>
    </xf>
    <xf numFmtId="0" fontId="16" fillId="0" borderId="0" xfId="0" applyFont="1" applyBorder="1" applyAlignment="1">
      <alignment horizontal="left" vertical="center"/>
    </xf>
    <xf numFmtId="0" fontId="15" fillId="0" borderId="0" xfId="0" applyFont="1" applyBorder="1" applyAlignment="1">
      <alignment horizontal="left" vertical="center"/>
    </xf>
    <xf numFmtId="0" fontId="0" fillId="0" borderId="31" xfId="0" applyBorder="1"/>
    <xf numFmtId="0" fontId="20" fillId="0" borderId="31" xfId="0" applyFont="1" applyBorder="1"/>
    <xf numFmtId="0" fontId="7" fillId="0" borderId="6" xfId="0" applyFont="1" applyBorder="1" applyAlignment="1">
      <alignment horizontal="left" vertical="center"/>
    </xf>
    <xf numFmtId="0" fontId="0" fillId="0" borderId="5" xfId="0" applyBorder="1"/>
    <xf numFmtId="0" fontId="7" fillId="0" borderId="0" xfId="0" applyFont="1" applyBorder="1" applyAlignment="1">
      <alignment horizontal="left" vertical="center"/>
    </xf>
    <xf numFmtId="2" fontId="0" fillId="0" borderId="30" xfId="0" applyNumberFormat="1" applyFill="1" applyBorder="1"/>
    <xf numFmtId="2" fontId="0" fillId="0" borderId="32" xfId="0" applyNumberFormat="1" applyFill="1" applyBorder="1"/>
    <xf numFmtId="2" fontId="0" fillId="0" borderId="28" xfId="0" applyNumberFormat="1" applyFill="1" applyBorder="1"/>
    <xf numFmtId="0" fontId="0" fillId="0" borderId="0" xfId="0" applyFill="1"/>
    <xf numFmtId="0" fontId="0" fillId="0" borderId="22" xfId="0" applyBorder="1"/>
    <xf numFmtId="0" fontId="20" fillId="0" borderId="22" xfId="0" applyFont="1" applyBorder="1"/>
    <xf numFmtId="2" fontId="0" fillId="0" borderId="34" xfId="0" applyNumberFormat="1" applyFill="1" applyBorder="1"/>
    <xf numFmtId="0" fontId="0" fillId="0" borderId="22" xfId="0" applyFill="1" applyBorder="1"/>
    <xf numFmtId="0" fontId="0" fillId="0" borderId="34" xfId="0" applyBorder="1"/>
    <xf numFmtId="0" fontId="20" fillId="0" borderId="33" xfId="0" applyFont="1" applyBorder="1"/>
    <xf numFmtId="0" fontId="0" fillId="0" borderId="20" xfId="0" applyBorder="1"/>
    <xf numFmtId="0" fontId="0" fillId="0" borderId="27" xfId="0" applyFill="1" applyBorder="1"/>
    <xf numFmtId="0" fontId="0" fillId="0" borderId="29" xfId="0" applyFill="1" applyBorder="1"/>
    <xf numFmtId="0" fontId="6" fillId="7" borderId="32"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19" fillId="6" borderId="31"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7" fillId="0" borderId="7" xfId="0" applyFont="1" applyBorder="1" applyAlignment="1">
      <alignment horizontal="left" vertical="center"/>
    </xf>
    <xf numFmtId="0" fontId="13" fillId="0" borderId="31" xfId="0" applyFont="1" applyFill="1" applyBorder="1" applyAlignment="1">
      <alignment vertical="center"/>
    </xf>
    <xf numFmtId="0" fontId="30" fillId="0" borderId="0" xfId="0" applyFont="1"/>
    <xf numFmtId="0" fontId="31" fillId="0" borderId="0" xfId="0" applyFont="1"/>
    <xf numFmtId="0" fontId="6" fillId="5" borderId="17" xfId="0" applyFont="1" applyFill="1" applyBorder="1"/>
    <xf numFmtId="0" fontId="6" fillId="5" borderId="16" xfId="0" applyFont="1" applyFill="1" applyBorder="1"/>
    <xf numFmtId="0" fontId="13" fillId="0" borderId="0" xfId="0" applyFont="1"/>
    <xf numFmtId="0" fontId="0" fillId="0" borderId="26" xfId="0" applyBorder="1"/>
    <xf numFmtId="0" fontId="11" fillId="0" borderId="20" xfId="0" applyFont="1" applyBorder="1" applyAlignment="1">
      <alignment vertical="center"/>
    </xf>
    <xf numFmtId="0" fontId="31" fillId="0" borderId="22" xfId="0" applyFont="1" applyBorder="1" applyAlignment="1">
      <alignment vertical="center"/>
    </xf>
    <xf numFmtId="0" fontId="13" fillId="0" borderId="19" xfId="0" applyFont="1" applyFill="1" applyBorder="1" applyAlignment="1">
      <alignment vertical="center"/>
    </xf>
    <xf numFmtId="0" fontId="13" fillId="0" borderId="22" xfId="0" applyNumberFormat="1" applyFont="1" applyFill="1" applyBorder="1" applyAlignment="1">
      <alignment vertical="center"/>
    </xf>
    <xf numFmtId="0" fontId="20" fillId="0" borderId="21" xfId="0" applyFont="1" applyFill="1" applyBorder="1" applyAlignment="1">
      <alignment vertical="center"/>
    </xf>
    <xf numFmtId="0" fontId="0" fillId="0" borderId="23" xfId="0" applyFill="1" applyBorder="1"/>
    <xf numFmtId="0" fontId="13" fillId="0" borderId="21" xfId="0" applyFont="1" applyFill="1" applyBorder="1" applyAlignment="1">
      <alignment vertical="center"/>
    </xf>
    <xf numFmtId="0" fontId="30" fillId="0" borderId="6" xfId="0" applyFont="1" applyFill="1" applyBorder="1" applyAlignment="1">
      <alignment vertical="center"/>
    </xf>
    <xf numFmtId="0" fontId="13" fillId="0" borderId="5" xfId="0" applyFont="1" applyBorder="1" applyAlignment="1">
      <alignment horizontal="left" vertical="center"/>
    </xf>
    <xf numFmtId="1" fontId="0" fillId="0" borderId="7" xfId="0" applyNumberFormat="1" applyBorder="1"/>
    <xf numFmtId="0" fontId="30" fillId="0" borderId="5" xfId="0" applyFont="1" applyFill="1" applyBorder="1" applyAlignment="1">
      <alignment vertical="center"/>
    </xf>
    <xf numFmtId="166" fontId="20" fillId="0" borderId="6" xfId="0" applyNumberFormat="1" applyFont="1" applyBorder="1" applyAlignment="1">
      <alignment vertical="center"/>
    </xf>
    <xf numFmtId="168" fontId="0" fillId="0" borderId="7" xfId="0" applyNumberFormat="1" applyBorder="1"/>
    <xf numFmtId="0" fontId="13" fillId="3" borderId="0" xfId="0" applyNumberFormat="1" applyFont="1" applyFill="1" applyBorder="1" applyAlignment="1">
      <alignment vertical="center"/>
    </xf>
    <xf numFmtId="0" fontId="13" fillId="3" borderId="9" xfId="0" applyNumberFormat="1" applyFont="1" applyFill="1" applyBorder="1" applyAlignment="1">
      <alignment vertical="center"/>
    </xf>
    <xf numFmtId="0" fontId="30" fillId="0" borderId="20" xfId="0" applyFont="1" applyBorder="1" applyAlignment="1">
      <alignment vertical="center"/>
    </xf>
    <xf numFmtId="0" fontId="28" fillId="0" borderId="22" xfId="0" applyFont="1" applyBorder="1" applyAlignment="1">
      <alignment vertical="center"/>
    </xf>
    <xf numFmtId="0" fontId="30" fillId="0" borderId="9" xfId="0" applyFont="1" applyFill="1" applyBorder="1" applyAlignment="1">
      <alignment vertical="center"/>
    </xf>
    <xf numFmtId="1" fontId="13" fillId="3" borderId="6" xfId="0" applyNumberFormat="1" applyFont="1" applyFill="1" applyBorder="1" applyAlignment="1">
      <alignment vertical="center"/>
    </xf>
    <xf numFmtId="0" fontId="0" fillId="0" borderId="15" xfId="0" applyNumberFormat="1" applyFont="1" applyFill="1" applyBorder="1" applyAlignment="1">
      <alignment vertical="center"/>
    </xf>
    <xf numFmtId="0" fontId="0" fillId="0" borderId="4" xfId="0" applyNumberFormat="1" applyFont="1" applyFill="1" applyBorder="1" applyAlignment="1">
      <alignment vertical="center"/>
    </xf>
    <xf numFmtId="0" fontId="13" fillId="0" borderId="5" xfId="0" applyFont="1" applyFill="1" applyBorder="1" applyAlignment="1">
      <alignment vertical="center"/>
    </xf>
    <xf numFmtId="166" fontId="0" fillId="0" borderId="6" xfId="0" applyNumberFormat="1" applyBorder="1"/>
    <xf numFmtId="166" fontId="0" fillId="0" borderId="0" xfId="0" applyNumberFormat="1" applyBorder="1"/>
    <xf numFmtId="169" fontId="13" fillId="0" borderId="0" xfId="0" applyNumberFormat="1" applyFont="1" applyFill="1" applyBorder="1" applyAlignment="1">
      <alignment vertical="center"/>
    </xf>
    <xf numFmtId="169" fontId="13" fillId="0" borderId="9" xfId="0" applyNumberFormat="1" applyFont="1" applyFill="1" applyBorder="1" applyAlignment="1">
      <alignment vertical="center"/>
    </xf>
    <xf numFmtId="0" fontId="31" fillId="0" borderId="6" xfId="0" applyFont="1" applyFill="1" applyBorder="1" applyAlignment="1">
      <alignment vertical="center"/>
    </xf>
    <xf numFmtId="166" fontId="0" fillId="0" borderId="9" xfId="0" applyNumberFormat="1" applyFill="1" applyBorder="1"/>
    <xf numFmtId="0" fontId="29" fillId="0" borderId="6" xfId="0" applyFont="1" applyFill="1" applyBorder="1" applyAlignment="1">
      <alignment vertical="center"/>
    </xf>
    <xf numFmtId="169" fontId="13" fillId="0" borderId="6" xfId="0" applyNumberFormat="1" applyFont="1" applyFill="1" applyBorder="1" applyAlignment="1">
      <alignment vertical="center"/>
    </xf>
    <xf numFmtId="0" fontId="29" fillId="0" borderId="9" xfId="0" applyFont="1" applyFill="1" applyBorder="1" applyAlignment="1">
      <alignment vertical="center"/>
    </xf>
    <xf numFmtId="0" fontId="6" fillId="0" borderId="0" xfId="0" applyFont="1" applyAlignment="1">
      <alignment vertical="center" wrapText="1"/>
    </xf>
    <xf numFmtId="0" fontId="0" fillId="0" borderId="6" xfId="0" applyBorder="1" applyAlignment="1">
      <alignment vertical="center" wrapText="1"/>
    </xf>
    <xf numFmtId="0" fontId="0" fillId="0" borderId="0" xfId="0" applyBorder="1" applyAlignment="1">
      <alignment vertical="center" wrapText="1"/>
    </xf>
    <xf numFmtId="0" fontId="0" fillId="0" borderId="9" xfId="0" applyBorder="1" applyAlignment="1">
      <alignment vertical="center" wrapText="1"/>
    </xf>
    <xf numFmtId="0" fontId="0" fillId="0" borderId="0" xfId="0" applyAlignment="1">
      <alignment vertical="center" wrapText="1"/>
    </xf>
    <xf numFmtId="0" fontId="13" fillId="5" borderId="0" xfId="0" applyFont="1" applyFill="1" applyAlignment="1">
      <alignment vertical="center"/>
    </xf>
    <xf numFmtId="0" fontId="36" fillId="0" borderId="6" xfId="0" applyFont="1" applyBorder="1" applyAlignment="1">
      <alignment vertical="center"/>
    </xf>
    <xf numFmtId="0" fontId="36" fillId="0" borderId="9" xfId="0" applyFont="1" applyBorder="1" applyAlignment="1">
      <alignment vertical="center"/>
    </xf>
    <xf numFmtId="0" fontId="23" fillId="0" borderId="6" xfId="0" applyFont="1" applyBorder="1" applyAlignment="1">
      <alignment vertical="center"/>
    </xf>
    <xf numFmtId="0" fontId="13" fillId="0" borderId="0" xfId="0" applyFont="1" applyAlignment="1">
      <alignment vertical="center"/>
    </xf>
    <xf numFmtId="0" fontId="23" fillId="0" borderId="9" xfId="0" applyFont="1" applyBorder="1" applyAlignment="1">
      <alignment vertical="center"/>
    </xf>
    <xf numFmtId="0" fontId="23" fillId="0" borderId="0" xfId="0" applyFont="1" applyBorder="1" applyAlignment="1">
      <alignment vertical="center"/>
    </xf>
    <xf numFmtId="165" fontId="13" fillId="5" borderId="0" xfId="0" applyNumberFormat="1" applyFont="1" applyFill="1" applyAlignment="1">
      <alignment vertical="center"/>
    </xf>
    <xf numFmtId="165" fontId="13" fillId="0" borderId="9" xfId="0" applyNumberFormat="1" applyFont="1" applyBorder="1" applyAlignment="1">
      <alignment vertical="center"/>
    </xf>
    <xf numFmtId="165" fontId="13" fillId="0" borderId="6" xfId="0" applyNumberFormat="1" applyFont="1" applyBorder="1" applyAlignment="1">
      <alignment vertical="center"/>
    </xf>
    <xf numFmtId="165" fontId="0" fillId="0" borderId="6" xfId="0" applyNumberFormat="1" applyBorder="1"/>
    <xf numFmtId="0" fontId="11" fillId="0" borderId="34" xfId="0" applyFont="1" applyBorder="1" applyAlignment="1">
      <alignment vertical="center"/>
    </xf>
    <xf numFmtId="0" fontId="31" fillId="0" borderId="34" xfId="0" applyFont="1" applyBorder="1" applyAlignment="1">
      <alignment vertical="center"/>
    </xf>
    <xf numFmtId="0" fontId="7" fillId="0" borderId="34" xfId="0" applyFont="1" applyBorder="1" applyAlignment="1">
      <alignment horizontal="left" vertical="center"/>
    </xf>
    <xf numFmtId="0" fontId="20" fillId="0" borderId="34" xfId="0" applyFont="1" applyFill="1" applyBorder="1"/>
    <xf numFmtId="0" fontId="13" fillId="0" borderId="34" xfId="0" applyFont="1" applyFill="1" applyBorder="1" applyAlignment="1">
      <alignment vertical="center"/>
    </xf>
    <xf numFmtId="0" fontId="0" fillId="0" borderId="34" xfId="0" applyFill="1" applyBorder="1"/>
    <xf numFmtId="0" fontId="15" fillId="0" borderId="34" xfId="0" applyFont="1" applyBorder="1" applyAlignment="1">
      <alignment horizontal="left" vertical="center"/>
    </xf>
    <xf numFmtId="0" fontId="16" fillId="0" borderId="34" xfId="0" applyFont="1" applyBorder="1" applyAlignment="1">
      <alignment horizontal="left" vertical="center"/>
    </xf>
    <xf numFmtId="0" fontId="17" fillId="0" borderId="34" xfId="0" applyFont="1" applyBorder="1" applyAlignment="1">
      <alignment horizontal="left" vertical="center"/>
    </xf>
    <xf numFmtId="0" fontId="18" fillId="0" borderId="34" xfId="0" applyFont="1" applyBorder="1" applyAlignment="1">
      <alignment horizontal="left" vertical="center"/>
    </xf>
    <xf numFmtId="0" fontId="6" fillId="2" borderId="34" xfId="0" applyFont="1" applyFill="1" applyBorder="1" applyAlignment="1">
      <alignment horizontal="center" vertical="center" wrapText="1"/>
    </xf>
    <xf numFmtId="0" fontId="8" fillId="2" borderId="34" xfId="0" applyFont="1" applyFill="1" applyBorder="1" applyAlignment="1">
      <alignment horizontal="center" vertical="center" wrapText="1"/>
    </xf>
    <xf numFmtId="0" fontId="6" fillId="6" borderId="34" xfId="0" applyFont="1" applyFill="1" applyBorder="1" applyAlignment="1">
      <alignment horizontal="center" vertical="center" wrapText="1"/>
    </xf>
    <xf numFmtId="0" fontId="19" fillId="6" borderId="34" xfId="0" applyFont="1" applyFill="1" applyBorder="1" applyAlignment="1">
      <alignment horizontal="center" vertical="center" wrapText="1"/>
    </xf>
    <xf numFmtId="0" fontId="0" fillId="8" borderId="34" xfId="0" applyFill="1" applyBorder="1"/>
    <xf numFmtId="0" fontId="6" fillId="3" borderId="34" xfId="0" applyFont="1" applyFill="1" applyBorder="1" applyAlignment="1">
      <alignment horizontal="center" vertical="center" wrapText="1"/>
    </xf>
    <xf numFmtId="0" fontId="6" fillId="7" borderId="34" xfId="0" applyFont="1" applyFill="1" applyBorder="1" applyAlignment="1">
      <alignment horizontal="center" vertical="center" wrapText="1"/>
    </xf>
    <xf numFmtId="0" fontId="18" fillId="0" borderId="9" xfId="0" applyFont="1" applyBorder="1" applyAlignment="1">
      <alignment horizontal="left" vertical="center"/>
    </xf>
    <xf numFmtId="0" fontId="18" fillId="0" borderId="8" xfId="0" applyFont="1" applyBorder="1" applyAlignment="1">
      <alignment horizontal="left" vertical="center"/>
    </xf>
    <xf numFmtId="0" fontId="13" fillId="10" borderId="6" xfId="0" applyNumberFormat="1" applyFont="1" applyFill="1" applyBorder="1" applyAlignment="1">
      <alignment vertical="center"/>
    </xf>
    <xf numFmtId="0" fontId="13" fillId="10" borderId="0" xfId="0" applyNumberFormat="1" applyFont="1" applyFill="1" applyBorder="1" applyAlignment="1">
      <alignment vertical="center"/>
    </xf>
    <xf numFmtId="0" fontId="0" fillId="11" borderId="0" xfId="0" applyFont="1" applyFill="1" applyBorder="1" applyAlignment="1">
      <alignment vertical="center"/>
    </xf>
    <xf numFmtId="0" fontId="0" fillId="12" borderId="0" xfId="0" applyFont="1" applyFill="1" applyBorder="1" applyAlignment="1">
      <alignment vertical="center"/>
    </xf>
    <xf numFmtId="0" fontId="20" fillId="0" borderId="0" xfId="0" applyFont="1" applyBorder="1" applyAlignment="1">
      <alignment wrapText="1"/>
    </xf>
    <xf numFmtId="0" fontId="13" fillId="0" borderId="20" xfId="0" applyFont="1" applyFill="1" applyBorder="1" applyAlignment="1">
      <alignment vertical="center"/>
    </xf>
    <xf numFmtId="0" fontId="13" fillId="0" borderId="33" xfId="0" applyFont="1" applyFill="1" applyBorder="1" applyAlignment="1">
      <alignment vertical="center"/>
    </xf>
    <xf numFmtId="170" fontId="13" fillId="0" borderId="0" xfId="0" applyNumberFormat="1" applyFont="1" applyAlignment="1">
      <alignment vertical="center"/>
    </xf>
    <xf numFmtId="0" fontId="20" fillId="0" borderId="0" xfId="0" applyFont="1" applyAlignment="1">
      <alignment vertical="center"/>
    </xf>
    <xf numFmtId="169" fontId="0" fillId="5" borderId="0" xfId="0" applyNumberFormat="1" applyFill="1" applyBorder="1"/>
    <xf numFmtId="169" fontId="0" fillId="0" borderId="0" xfId="0" applyNumberFormat="1" applyFill="1" applyBorder="1"/>
    <xf numFmtId="169" fontId="0" fillId="5" borderId="9" xfId="0" applyNumberFormat="1" applyFill="1" applyBorder="1"/>
    <xf numFmtId="169" fontId="0" fillId="0" borderId="0" xfId="0" applyNumberFormat="1" applyBorder="1"/>
    <xf numFmtId="0" fontId="10" fillId="0" borderId="2" xfId="0" applyFont="1" applyBorder="1" applyAlignment="1">
      <alignment vertical="center"/>
    </xf>
    <xf numFmtId="165" fontId="13" fillId="0" borderId="0" xfId="0" applyNumberFormat="1" applyFont="1" applyBorder="1" applyAlignment="1">
      <alignment vertical="center"/>
    </xf>
    <xf numFmtId="0" fontId="10" fillId="0" borderId="13" xfId="0" applyFont="1" applyBorder="1" applyAlignment="1">
      <alignment vertical="center"/>
    </xf>
    <xf numFmtId="0" fontId="10" fillId="0" borderId="10" xfId="0" applyFont="1" applyBorder="1" applyAlignment="1">
      <alignment vertical="center"/>
    </xf>
    <xf numFmtId="0" fontId="9" fillId="0" borderId="13" xfId="0" applyFont="1" applyBorder="1" applyAlignment="1">
      <alignment vertical="center"/>
    </xf>
    <xf numFmtId="0" fontId="9" fillId="0" borderId="2" xfId="0" applyFont="1" applyBorder="1" applyAlignment="1">
      <alignment vertical="center"/>
    </xf>
    <xf numFmtId="0" fontId="9" fillId="0" borderId="19" xfId="0" applyFont="1" applyBorder="1" applyAlignment="1">
      <alignment vertical="center"/>
    </xf>
    <xf numFmtId="0" fontId="7" fillId="0" borderId="10" xfId="0" applyFont="1" applyBorder="1" applyAlignment="1">
      <alignment vertical="center"/>
    </xf>
    <xf numFmtId="0" fontId="7" fillId="0" borderId="19" xfId="0" applyFont="1" applyBorder="1" applyAlignment="1">
      <alignment vertical="center"/>
    </xf>
    <xf numFmtId="0" fontId="7" fillId="0" borderId="13" xfId="0" applyFont="1" applyBorder="1" applyAlignment="1">
      <alignment vertical="center"/>
    </xf>
    <xf numFmtId="0" fontId="11" fillId="0" borderId="13" xfId="0" applyFont="1" applyBorder="1" applyAlignment="1">
      <alignment vertical="center"/>
    </xf>
    <xf numFmtId="0" fontId="11" fillId="0" borderId="2" xfId="0" applyFont="1" applyBorder="1" applyAlignment="1">
      <alignment vertical="center"/>
    </xf>
    <xf numFmtId="0" fontId="11" fillId="0" borderId="10" xfId="0" applyFont="1" applyBorder="1" applyAlignment="1">
      <alignment vertical="center"/>
    </xf>
    <xf numFmtId="0" fontId="12" fillId="0" borderId="13" xfId="0" applyFont="1" applyBorder="1" applyAlignment="1">
      <alignment vertical="center"/>
    </xf>
    <xf numFmtId="0" fontId="12" fillId="0" borderId="2" xfId="0" applyFont="1" applyBorder="1" applyAlignment="1">
      <alignment vertical="center"/>
    </xf>
    <xf numFmtId="0" fontId="12" fillId="0" borderId="10" xfId="0" applyFont="1" applyBorder="1" applyAlignment="1">
      <alignment vertical="center"/>
    </xf>
    <xf numFmtId="0" fontId="14" fillId="0" borderId="13" xfId="0" applyFont="1" applyBorder="1" applyAlignment="1">
      <alignment vertical="center"/>
    </xf>
    <xf numFmtId="0" fontId="14" fillId="0" borderId="2" xfId="0" applyFont="1" applyBorder="1" applyAlignment="1">
      <alignment vertical="center"/>
    </xf>
    <xf numFmtId="0" fontId="14" fillId="0" borderId="10" xfId="0" applyFont="1" applyBorder="1" applyAlignment="1">
      <alignment vertical="center"/>
    </xf>
    <xf numFmtId="0" fontId="6" fillId="0" borderId="35" xfId="0" applyFont="1" applyBorder="1" applyAlignment="1">
      <alignment vertical="center"/>
    </xf>
    <xf numFmtId="0" fontId="13" fillId="5" borderId="37" xfId="0" applyFont="1" applyFill="1" applyBorder="1" applyAlignment="1">
      <alignment vertical="center"/>
    </xf>
    <xf numFmtId="0" fontId="13" fillId="5" borderId="36" xfId="0" applyFont="1" applyFill="1" applyBorder="1" applyAlignment="1">
      <alignment vertical="center"/>
    </xf>
    <xf numFmtId="0" fontId="36" fillId="0" borderId="0" xfId="0" applyFont="1" applyBorder="1" applyAlignment="1">
      <alignment vertical="center"/>
    </xf>
    <xf numFmtId="0" fontId="10"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7"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4" fillId="0" borderId="0" xfId="0" applyFont="1" applyAlignment="1">
      <alignment vertical="center"/>
    </xf>
    <xf numFmtId="0" fontId="6" fillId="0" borderId="0" xfId="0" applyFont="1" applyAlignment="1">
      <alignment vertical="center"/>
    </xf>
    <xf numFmtId="0" fontId="29" fillId="0" borderId="0" xfId="0" applyFont="1" applyAlignment="1">
      <alignment vertical="center"/>
    </xf>
    <xf numFmtId="0" fontId="33" fillId="0" borderId="0" xfId="0" applyFont="1"/>
    <xf numFmtId="0" fontId="31" fillId="0" borderId="0" xfId="0" applyFont="1" applyAlignment="1">
      <alignment vertical="center"/>
    </xf>
    <xf numFmtId="0" fontId="30" fillId="0" borderId="0" xfId="0" applyFont="1" applyAlignment="1">
      <alignment vertical="center"/>
    </xf>
    <xf numFmtId="0" fontId="28" fillId="0" borderId="0" xfId="0" applyFont="1" applyAlignment="1">
      <alignment vertical="center"/>
    </xf>
    <xf numFmtId="0" fontId="29" fillId="0" borderId="0" xfId="0" applyFont="1"/>
    <xf numFmtId="0" fontId="28" fillId="0" borderId="0" xfId="0" applyFont="1"/>
    <xf numFmtId="0" fontId="30" fillId="0" borderId="7" xfId="0" applyFont="1" applyFill="1" applyBorder="1" applyAlignment="1">
      <alignment vertical="center"/>
    </xf>
    <xf numFmtId="0" fontId="30" fillId="0" borderId="8" xfId="0" applyFont="1" applyFill="1" applyBorder="1" applyAlignment="1">
      <alignment vertical="center"/>
    </xf>
    <xf numFmtId="166" fontId="13" fillId="0" borderId="9" xfId="0" applyNumberFormat="1" applyFont="1" applyFill="1" applyBorder="1" applyAlignment="1">
      <alignment vertical="center"/>
    </xf>
    <xf numFmtId="1" fontId="13" fillId="0" borderId="0" xfId="0" applyNumberFormat="1" applyFont="1" applyFill="1" applyBorder="1" applyAlignment="1">
      <alignment vertical="center"/>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7" fillId="0" borderId="0" xfId="0" applyFont="1" applyFill="1" applyBorder="1" applyAlignment="1">
      <alignment horizontal="left" vertical="center"/>
    </xf>
    <xf numFmtId="2" fontId="0" fillId="0" borderId="0" xfId="0" applyNumberFormat="1" applyFill="1" applyBorder="1"/>
    <xf numFmtId="0" fontId="15" fillId="0" borderId="0" xfId="0" applyFont="1" applyFill="1" applyBorder="1" applyAlignment="1">
      <alignment horizontal="left" vertical="center"/>
    </xf>
    <xf numFmtId="0" fontId="16" fillId="0" borderId="0" xfId="0" applyFont="1" applyFill="1" applyBorder="1" applyAlignment="1">
      <alignment horizontal="left" vertical="center"/>
    </xf>
    <xf numFmtId="0" fontId="17" fillId="0" borderId="0" xfId="0" applyFont="1" applyFill="1" applyBorder="1" applyAlignment="1">
      <alignment horizontal="left" vertical="center"/>
    </xf>
    <xf numFmtId="0" fontId="18" fillId="0" borderId="0" xfId="0" applyFont="1" applyFill="1" applyBorder="1" applyAlignment="1">
      <alignment horizontal="left" vertical="center"/>
    </xf>
    <xf numFmtId="0" fontId="6"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Border="1" applyAlignment="1"/>
    <xf numFmtId="165" fontId="13" fillId="5" borderId="34" xfId="0" applyNumberFormat="1" applyFont="1" applyFill="1" applyBorder="1" applyAlignment="1">
      <alignment vertical="center"/>
    </xf>
    <xf numFmtId="165" fontId="13" fillId="0" borderId="34" xfId="0" applyNumberFormat="1" applyFont="1" applyBorder="1" applyAlignment="1">
      <alignment vertical="center"/>
    </xf>
    <xf numFmtId="0" fontId="13" fillId="5" borderId="34" xfId="0" applyNumberFormat="1" applyFont="1" applyFill="1" applyBorder="1" applyAlignment="1">
      <alignment vertical="center"/>
    </xf>
    <xf numFmtId="0" fontId="10" fillId="0" borderId="6" xfId="0" applyFont="1" applyBorder="1" applyAlignment="1">
      <alignment vertical="center"/>
    </xf>
    <xf numFmtId="0" fontId="9" fillId="0" borderId="0" xfId="0" applyFont="1" applyBorder="1" applyAlignment="1">
      <alignment vertical="center"/>
    </xf>
    <xf numFmtId="0" fontId="12" fillId="0" borderId="22" xfId="0" applyFont="1" applyBorder="1" applyAlignment="1">
      <alignment vertical="center"/>
    </xf>
    <xf numFmtId="0" fontId="11" fillId="0" borderId="0" xfId="0" applyFont="1" applyBorder="1" applyAlignment="1">
      <alignment horizontal="left" vertical="center"/>
    </xf>
    <xf numFmtId="0" fontId="11" fillId="0" borderId="9" xfId="0" applyFont="1" applyBorder="1" applyAlignment="1">
      <alignment horizontal="left" vertical="center"/>
    </xf>
    <xf numFmtId="0" fontId="11" fillId="0" borderId="9" xfId="0" applyFont="1" applyBorder="1" applyAlignment="1">
      <alignment vertical="center"/>
    </xf>
    <xf numFmtId="0" fontId="6" fillId="0" borderId="37" xfId="0" applyFont="1" applyBorder="1" applyAlignment="1">
      <alignment vertical="center"/>
    </xf>
    <xf numFmtId="0" fontId="0" fillId="0" borderId="18" xfId="0" applyBorder="1"/>
    <xf numFmtId="0" fontId="0" fillId="0" borderId="3" xfId="0" applyBorder="1"/>
    <xf numFmtId="0" fontId="0" fillId="0" borderId="12" xfId="0" applyBorder="1"/>
    <xf numFmtId="0" fontId="0" fillId="0" borderId="11" xfId="0" applyBorder="1"/>
    <xf numFmtId="0" fontId="0" fillId="0" borderId="21" xfId="0" applyBorder="1"/>
    <xf numFmtId="0" fontId="0" fillId="5" borderId="11" xfId="0" applyFill="1" applyBorder="1"/>
    <xf numFmtId="0" fontId="0" fillId="0" borderId="36" xfId="0" applyBorder="1"/>
    <xf numFmtId="0" fontId="13" fillId="0" borderId="34" xfId="0" applyFont="1" applyBorder="1" applyAlignment="1">
      <alignment horizontal="left" vertical="center"/>
    </xf>
    <xf numFmtId="0" fontId="20" fillId="0" borderId="34" xfId="0" applyFont="1" applyBorder="1" applyAlignment="1">
      <alignment vertical="center"/>
    </xf>
    <xf numFmtId="165" fontId="40" fillId="0" borderId="34" xfId="0" applyNumberFormat="1" applyFont="1" applyBorder="1"/>
    <xf numFmtId="0" fontId="40" fillId="0" borderId="34" xfId="0" applyNumberFormat="1" applyFont="1" applyBorder="1"/>
    <xf numFmtId="165" fontId="0" fillId="0" borderId="34" xfId="0" applyNumberFormat="1" applyBorder="1"/>
    <xf numFmtId="0" fontId="0" fillId="0" borderId="34" xfId="0" applyBorder="1" applyAlignment="1">
      <alignment vertical="center"/>
    </xf>
    <xf numFmtId="0" fontId="0" fillId="5" borderId="34" xfId="0" applyNumberFormat="1" applyFill="1" applyBorder="1"/>
    <xf numFmtId="165" fontId="37" fillId="0" borderId="34" xfId="0" applyNumberFormat="1" applyFont="1" applyBorder="1"/>
    <xf numFmtId="165" fontId="0" fillId="0" borderId="34" xfId="0" applyNumberFormat="1" applyFill="1" applyBorder="1"/>
    <xf numFmtId="165" fontId="0" fillId="5" borderId="34" xfId="0" applyNumberFormat="1" applyFill="1" applyBorder="1"/>
    <xf numFmtId="165" fontId="13" fillId="0" borderId="34" xfId="0" applyNumberFormat="1" applyFont="1" applyFill="1" applyBorder="1" applyAlignment="1">
      <alignment vertical="center"/>
    </xf>
    <xf numFmtId="0" fontId="37" fillId="9" borderId="34" xfId="0" applyNumberFormat="1" applyFont="1" applyFill="1" applyBorder="1"/>
    <xf numFmtId="0" fontId="13" fillId="0" borderId="34" xfId="0" applyFont="1" applyBorder="1" applyAlignment="1">
      <alignment vertical="center"/>
    </xf>
    <xf numFmtId="0" fontId="13" fillId="0" borderId="34" xfId="0" applyNumberFormat="1" applyFont="1" applyBorder="1" applyAlignment="1">
      <alignment vertical="center"/>
    </xf>
    <xf numFmtId="0" fontId="13" fillId="5" borderId="34" xfId="0" applyFont="1" applyFill="1" applyBorder="1" applyAlignment="1">
      <alignment vertical="center"/>
    </xf>
    <xf numFmtId="166" fontId="13" fillId="0" borderId="34" xfId="0" applyNumberFormat="1" applyFont="1" applyBorder="1" applyAlignment="1">
      <alignment vertical="center"/>
    </xf>
    <xf numFmtId="0" fontId="8" fillId="6" borderId="39" xfId="0" applyFont="1" applyFill="1" applyBorder="1" applyAlignment="1">
      <alignment horizontal="center" vertical="center" wrapText="1"/>
    </xf>
    <xf numFmtId="0" fontId="21" fillId="6" borderId="39" xfId="0" applyFont="1" applyFill="1" applyBorder="1" applyAlignment="1">
      <alignment horizontal="center" vertical="center" wrapText="1"/>
    </xf>
    <xf numFmtId="0" fontId="13" fillId="0" borderId="40" xfId="0" applyFont="1" applyBorder="1" applyAlignment="1">
      <alignment vertical="center"/>
    </xf>
    <xf numFmtId="0" fontId="13" fillId="0" borderId="40" xfId="0" applyNumberFormat="1" applyFont="1" applyBorder="1" applyAlignment="1">
      <alignment vertical="center"/>
    </xf>
    <xf numFmtId="0" fontId="20" fillId="0" borderId="40" xfId="0" applyFont="1" applyBorder="1" applyAlignment="1">
      <alignment vertical="center"/>
    </xf>
    <xf numFmtId="2" fontId="13" fillId="5" borderId="38" xfId="0" applyNumberFormat="1" applyFont="1" applyFill="1" applyBorder="1" applyAlignment="1">
      <alignment vertical="center"/>
    </xf>
    <xf numFmtId="0" fontId="6" fillId="0" borderId="0" xfId="0" applyFont="1" applyBorder="1" applyAlignment="1">
      <alignment horizontal="center" vertical="center"/>
    </xf>
    <xf numFmtId="165" fontId="0" fillId="0" borderId="0" xfId="0" applyNumberFormat="1" applyBorder="1" applyAlignment="1">
      <alignment vertical="center"/>
    </xf>
    <xf numFmtId="2" fontId="13" fillId="5" borderId="0" xfId="0" applyNumberFormat="1" applyFont="1" applyFill="1" applyBorder="1" applyAlignment="1">
      <alignment vertical="center"/>
    </xf>
    <xf numFmtId="165" fontId="39" fillId="0" borderId="0" xfId="0" applyNumberFormat="1" applyFont="1" applyBorder="1"/>
    <xf numFmtId="0" fontId="0" fillId="5" borderId="0" xfId="0" applyNumberFormat="1" applyFill="1" applyBorder="1" applyAlignment="1">
      <alignment vertical="center"/>
    </xf>
    <xf numFmtId="49" fontId="23" fillId="0" borderId="27" xfId="0" applyNumberFormat="1" applyFont="1" applyBorder="1" applyAlignment="1">
      <alignment vertical="center"/>
    </xf>
    <xf numFmtId="49" fontId="24" fillId="0" borderId="27" xfId="0" applyNumberFormat="1" applyFont="1" applyBorder="1" applyAlignment="1">
      <alignment vertical="center"/>
    </xf>
    <xf numFmtId="0" fontId="7" fillId="0" borderId="8" xfId="0" applyFont="1" applyBorder="1" applyAlignment="1">
      <alignment vertical="center"/>
    </xf>
    <xf numFmtId="2" fontId="13" fillId="5" borderId="9" xfId="0" applyNumberFormat="1" applyFont="1" applyFill="1" applyBorder="1" applyAlignment="1">
      <alignment vertical="center"/>
    </xf>
    <xf numFmtId="49" fontId="23" fillId="0" borderId="29" xfId="0" applyNumberFormat="1" applyFont="1" applyBorder="1" applyAlignment="1">
      <alignment vertical="center"/>
    </xf>
    <xf numFmtId="0" fontId="6" fillId="2" borderId="34" xfId="0" applyFont="1" applyFill="1" applyBorder="1" applyAlignment="1">
      <alignment horizontal="center" vertical="center"/>
    </xf>
    <xf numFmtId="0" fontId="6" fillId="6" borderId="34" xfId="0" applyFont="1" applyFill="1" applyBorder="1" applyAlignment="1">
      <alignment horizontal="center" vertical="center"/>
    </xf>
    <xf numFmtId="0" fontId="22" fillId="6" borderId="34" xfId="0" applyFont="1" applyFill="1" applyBorder="1" applyAlignment="1">
      <alignment horizontal="center" vertical="center"/>
    </xf>
    <xf numFmtId="0" fontId="8" fillId="3" borderId="34" xfId="0" applyFont="1" applyFill="1" applyBorder="1" applyAlignment="1">
      <alignment horizontal="center" vertical="center"/>
    </xf>
    <xf numFmtId="0" fontId="8" fillId="4" borderId="34" xfId="0" applyFont="1" applyFill="1" applyBorder="1" applyAlignment="1">
      <alignment horizontal="center" vertical="center" wrapText="1"/>
    </xf>
    <xf numFmtId="49" fontId="22" fillId="0" borderId="34" xfId="0" applyNumberFormat="1" applyFont="1" applyBorder="1" applyAlignment="1">
      <alignment horizontal="left" vertical="center"/>
    </xf>
    <xf numFmtId="0" fontId="0" fillId="5" borderId="6" xfId="0" applyNumberFormat="1" applyFill="1" applyBorder="1" applyAlignment="1">
      <alignment vertical="center"/>
    </xf>
    <xf numFmtId="2" fontId="13" fillId="5" borderId="6" xfId="0" applyNumberFormat="1" applyFont="1" applyFill="1" applyBorder="1" applyAlignment="1">
      <alignment vertical="center"/>
    </xf>
    <xf numFmtId="49" fontId="23" fillId="0" borderId="31" xfId="0" applyNumberFormat="1" applyFont="1" applyBorder="1" applyAlignment="1">
      <alignment vertical="center"/>
    </xf>
    <xf numFmtId="165" fontId="39" fillId="0" borderId="6" xfId="0" applyNumberFormat="1" applyFont="1" applyBorder="1"/>
    <xf numFmtId="165" fontId="0" fillId="0" borderId="6" xfId="0" applyNumberFormat="1" applyBorder="1" applyAlignment="1">
      <alignment vertical="center"/>
    </xf>
    <xf numFmtId="0" fontId="10" fillId="0" borderId="8" xfId="0" applyFont="1" applyBorder="1" applyAlignment="1">
      <alignment vertical="center"/>
    </xf>
    <xf numFmtId="165" fontId="0" fillId="0" borderId="9" xfId="0" applyNumberFormat="1" applyBorder="1" applyAlignment="1">
      <alignment vertical="center"/>
    </xf>
    <xf numFmtId="49" fontId="24" fillId="0" borderId="31" xfId="0" applyNumberFormat="1" applyFont="1" applyBorder="1" applyAlignment="1">
      <alignment vertical="center"/>
    </xf>
    <xf numFmtId="49" fontId="24" fillId="0" borderId="29" xfId="0" applyNumberFormat="1" applyFont="1" applyBorder="1" applyAlignment="1">
      <alignment vertical="center"/>
    </xf>
    <xf numFmtId="165" fontId="39" fillId="0" borderId="9" xfId="0" applyNumberFormat="1" applyFont="1" applyBorder="1"/>
    <xf numFmtId="0" fontId="6" fillId="0" borderId="6" xfId="0" applyFont="1" applyBorder="1" applyAlignment="1">
      <alignment vertical="center" wrapText="1"/>
    </xf>
    <xf numFmtId="0" fontId="6" fillId="0" borderId="9" xfId="0" applyFont="1" applyBorder="1" applyAlignment="1">
      <alignment vertical="center" wrapText="1"/>
    </xf>
    <xf numFmtId="0" fontId="0" fillId="0" borderId="27" xfId="0" applyBorder="1" applyAlignment="1">
      <alignment vertical="center" wrapText="1"/>
    </xf>
    <xf numFmtId="0" fontId="6" fillId="0" borderId="27" xfId="0" applyFont="1" applyBorder="1" applyAlignment="1">
      <alignment vertical="center" wrapText="1"/>
    </xf>
    <xf numFmtId="0" fontId="0" fillId="0" borderId="31" xfId="0" applyBorder="1" applyAlignment="1">
      <alignment vertical="center" wrapText="1"/>
    </xf>
    <xf numFmtId="0" fontId="0" fillId="0" borderId="29" xfId="0" applyBorder="1" applyAlignment="1">
      <alignment vertical="center" wrapText="1"/>
    </xf>
    <xf numFmtId="0" fontId="0" fillId="0" borderId="27" xfId="0" applyFill="1" applyBorder="1" applyAlignment="1">
      <alignment vertical="center" wrapText="1"/>
    </xf>
    <xf numFmtId="0" fontId="0" fillId="0" borderId="29" xfId="0" applyFill="1" applyBorder="1" applyAlignment="1">
      <alignment vertical="center" wrapText="1"/>
    </xf>
    <xf numFmtId="0" fontId="0" fillId="0" borderId="34" xfId="0" applyBorder="1" applyAlignment="1">
      <alignment horizontal="center" vertical="center" wrapText="1"/>
    </xf>
    <xf numFmtId="0" fontId="6" fillId="2" borderId="25" xfId="0" applyFont="1" applyFill="1" applyBorder="1" applyAlignment="1">
      <alignment horizontal="center" vertical="center"/>
    </xf>
    <xf numFmtId="0" fontId="6" fillId="6" borderId="26" xfId="0" applyFont="1" applyFill="1" applyBorder="1" applyAlignment="1">
      <alignment horizontal="center" vertical="center"/>
    </xf>
    <xf numFmtId="0" fontId="22" fillId="6" borderId="26" xfId="0" applyFont="1" applyFill="1" applyBorder="1" applyAlignment="1">
      <alignment horizontal="center" vertical="center"/>
    </xf>
    <xf numFmtId="0" fontId="8" fillId="3" borderId="1" xfId="0" applyFont="1" applyFill="1" applyBorder="1" applyAlignment="1">
      <alignment horizontal="center" vertical="center"/>
    </xf>
    <xf numFmtId="49" fontId="41" fillId="0" borderId="24" xfId="0" applyNumberFormat="1" applyFont="1" applyBorder="1" applyAlignment="1">
      <alignment horizontal="left" vertical="center"/>
    </xf>
    <xf numFmtId="0" fontId="6" fillId="0" borderId="0" xfId="0" applyFont="1" applyAlignment="1">
      <alignment horizontal="center" vertical="center"/>
    </xf>
    <xf numFmtId="0" fontId="6" fillId="0" borderId="1" xfId="0" applyFont="1" applyBorder="1" applyAlignment="1">
      <alignment horizontal="center" vertical="center"/>
    </xf>
    <xf numFmtId="0" fontId="7" fillId="0" borderId="4" xfId="0" applyFont="1" applyBorder="1" applyAlignment="1">
      <alignment horizontal="left" vertical="center"/>
    </xf>
    <xf numFmtId="165" fontId="13" fillId="0" borderId="4" xfId="0" applyNumberFormat="1" applyFont="1" applyBorder="1" applyAlignment="1">
      <alignment vertical="center"/>
    </xf>
    <xf numFmtId="0" fontId="23" fillId="0" borderId="4" xfId="0" applyFont="1" applyBorder="1" applyAlignment="1">
      <alignment vertical="center"/>
    </xf>
    <xf numFmtId="49" fontId="24" fillId="0" borderId="3" xfId="0" applyNumberFormat="1" applyFont="1" applyBorder="1" applyAlignment="1">
      <alignment vertical="center"/>
    </xf>
    <xf numFmtId="0" fontId="0" fillId="0" borderId="0" xfId="0" applyAlignment="1">
      <alignment vertical="center"/>
    </xf>
    <xf numFmtId="0" fontId="15" fillId="0" borderId="4" xfId="0" applyFont="1" applyBorder="1" applyAlignment="1">
      <alignment horizontal="left" vertical="center"/>
    </xf>
    <xf numFmtId="0" fontId="16" fillId="0" borderId="4" xfId="0" applyFont="1" applyBorder="1" applyAlignment="1">
      <alignment horizontal="left" vertical="center"/>
    </xf>
    <xf numFmtId="0" fontId="17" fillId="0" borderId="4" xfId="0" applyFont="1" applyBorder="1" applyAlignment="1">
      <alignment horizontal="left" vertical="center"/>
    </xf>
    <xf numFmtId="0" fontId="18" fillId="0" borderId="4" xfId="0" applyFont="1" applyBorder="1" applyAlignment="1">
      <alignment horizontal="left" vertical="center"/>
    </xf>
    <xf numFmtId="0" fontId="10" fillId="0" borderId="25" xfId="0" applyFont="1" applyBorder="1" applyAlignment="1">
      <alignment vertical="center"/>
    </xf>
    <xf numFmtId="0" fontId="7" fillId="0" borderId="26" xfId="0" applyFont="1" applyBorder="1" applyAlignment="1">
      <alignment horizontal="left" vertical="center"/>
    </xf>
    <xf numFmtId="165" fontId="13" fillId="0" borderId="26" xfId="0" applyNumberFormat="1" applyFont="1" applyBorder="1" applyAlignment="1">
      <alignment vertical="center"/>
    </xf>
    <xf numFmtId="0" fontId="23" fillId="0" borderId="26" xfId="0" applyFont="1" applyBorder="1" applyAlignment="1">
      <alignment vertical="center"/>
    </xf>
    <xf numFmtId="0" fontId="13" fillId="0" borderId="1" xfId="0" applyFont="1" applyBorder="1" applyAlignment="1">
      <alignment vertical="center"/>
    </xf>
    <xf numFmtId="2" fontId="13" fillId="0" borderId="24" xfId="0" applyNumberFormat="1" applyFont="1" applyBorder="1" applyAlignment="1">
      <alignment vertical="center"/>
    </xf>
    <xf numFmtId="0" fontId="0" fillId="0" borderId="6" xfId="0" applyBorder="1" applyAlignment="1">
      <alignment vertical="center"/>
    </xf>
    <xf numFmtId="0" fontId="10" fillId="0" borderId="43" xfId="0" applyFont="1" applyBorder="1" applyAlignment="1">
      <alignment vertical="center"/>
    </xf>
    <xf numFmtId="0" fontId="18" fillId="0" borderId="44" xfId="0" applyFont="1" applyBorder="1" applyAlignment="1">
      <alignment horizontal="left" vertical="center"/>
    </xf>
    <xf numFmtId="165" fontId="13" fillId="0" borderId="44" xfId="0" applyNumberFormat="1" applyFont="1" applyBorder="1" applyAlignment="1">
      <alignment vertical="center"/>
    </xf>
    <xf numFmtId="0" fontId="23" fillId="0" borderId="44" xfId="0" applyFont="1" applyBorder="1" applyAlignment="1">
      <alignment vertical="center"/>
    </xf>
    <xf numFmtId="0" fontId="13" fillId="0" borderId="45" xfId="0" applyFont="1" applyBorder="1" applyAlignment="1">
      <alignment vertical="center"/>
    </xf>
    <xf numFmtId="2" fontId="13" fillId="0" borderId="38" xfId="0" applyNumberFormat="1" applyFont="1" applyBorder="1" applyAlignment="1">
      <alignment vertical="center"/>
    </xf>
    <xf numFmtId="49" fontId="24" fillId="0" borderId="3" xfId="0" applyNumberFormat="1" applyFont="1" applyBorder="1" applyAlignment="1">
      <alignment vertical="center" wrapText="1"/>
    </xf>
    <xf numFmtId="0" fontId="0" fillId="0" borderId="9" xfId="0" applyBorder="1" applyAlignment="1">
      <alignment vertical="center"/>
    </xf>
    <xf numFmtId="0" fontId="0" fillId="0" borderId="45" xfId="0" applyBorder="1" applyAlignment="1">
      <alignment vertical="center"/>
    </xf>
    <xf numFmtId="49" fontId="23" fillId="0" borderId="3" xfId="0" applyNumberFormat="1" applyFont="1" applyBorder="1" applyAlignment="1">
      <alignment vertical="center"/>
    </xf>
    <xf numFmtId="0" fontId="9" fillId="0" borderId="25" xfId="0" applyFont="1" applyBorder="1" applyAlignment="1">
      <alignment vertical="center"/>
    </xf>
    <xf numFmtId="2" fontId="13" fillId="0" borderId="14" xfId="0" applyNumberFormat="1" applyFont="1" applyBorder="1" applyAlignment="1">
      <alignment vertical="center"/>
    </xf>
    <xf numFmtId="2" fontId="13" fillId="0" borderId="4" xfId="0" applyNumberFormat="1" applyFont="1" applyBorder="1" applyAlignment="1">
      <alignment vertical="center"/>
    </xf>
    <xf numFmtId="0" fontId="9" fillId="0" borderId="43" xfId="0" applyFont="1" applyBorder="1" applyAlignment="1">
      <alignment vertical="center"/>
    </xf>
    <xf numFmtId="0" fontId="7" fillId="0" borderId="25" xfId="0" applyFont="1" applyBorder="1" applyAlignment="1">
      <alignment vertical="center"/>
    </xf>
    <xf numFmtId="0" fontId="7" fillId="0" borderId="43" xfId="0" applyFont="1" applyBorder="1" applyAlignment="1">
      <alignment vertical="center"/>
    </xf>
    <xf numFmtId="49" fontId="0" fillId="0" borderId="3" xfId="0" applyNumberFormat="1" applyBorder="1" applyAlignment="1">
      <alignment vertical="center"/>
    </xf>
    <xf numFmtId="49" fontId="0" fillId="0" borderId="38" xfId="0" applyNumberFormat="1" applyBorder="1" applyAlignment="1">
      <alignment vertical="center"/>
    </xf>
    <xf numFmtId="0" fontId="23" fillId="0" borderId="0" xfId="0" applyFont="1" applyAlignment="1">
      <alignment vertical="center"/>
    </xf>
    <xf numFmtId="49" fontId="24" fillId="0" borderId="0" xfId="0" applyNumberFormat="1" applyFont="1" applyAlignment="1">
      <alignment vertical="center"/>
    </xf>
    <xf numFmtId="0" fontId="6" fillId="0" borderId="4" xfId="0" applyFont="1" applyBorder="1" applyAlignment="1">
      <alignment vertical="center"/>
    </xf>
    <xf numFmtId="0" fontId="8" fillId="0" borderId="46" xfId="0" applyFont="1" applyBorder="1" applyAlignment="1">
      <alignment vertical="center"/>
    </xf>
    <xf numFmtId="0" fontId="23" fillId="0" borderId="3" xfId="0" applyFont="1" applyBorder="1" applyAlignment="1">
      <alignment vertical="center"/>
    </xf>
    <xf numFmtId="0" fontId="13" fillId="0" borderId="4" xfId="0" applyFont="1" applyBorder="1" applyAlignment="1">
      <alignment vertical="center"/>
    </xf>
    <xf numFmtId="0" fontId="8" fillId="6" borderId="16" xfId="0" applyFont="1" applyFill="1" applyBorder="1" applyAlignment="1">
      <alignment horizontal="center" vertical="center" wrapText="1"/>
    </xf>
    <xf numFmtId="0" fontId="8" fillId="6" borderId="17" xfId="0" applyFont="1" applyFill="1" applyBorder="1" applyAlignment="1">
      <alignment horizontal="center" vertical="center" wrapText="1"/>
    </xf>
    <xf numFmtId="165" fontId="8" fillId="6" borderId="17" xfId="0" applyNumberFormat="1" applyFont="1" applyFill="1" applyBorder="1" applyAlignment="1">
      <alignment vertical="center" wrapText="1"/>
    </xf>
    <xf numFmtId="0" fontId="21" fillId="6" borderId="18" xfId="0" applyFont="1" applyFill="1" applyBorder="1" applyAlignment="1">
      <alignment horizontal="center" vertical="center" wrapText="1"/>
    </xf>
    <xf numFmtId="0" fontId="0" fillId="0" borderId="47" xfId="0" applyBorder="1"/>
    <xf numFmtId="0" fontId="8" fillId="3" borderId="16" xfId="0" applyFont="1" applyFill="1" applyBorder="1" applyAlignment="1">
      <alignment horizontal="center" vertical="center" wrapText="1"/>
    </xf>
    <xf numFmtId="0" fontId="8" fillId="4" borderId="16" xfId="0" applyFont="1" applyFill="1" applyBorder="1" applyAlignment="1">
      <alignment horizontal="center" vertical="center" wrapText="1"/>
    </xf>
    <xf numFmtId="0" fontId="19" fillId="0" borderId="17" xfId="0" applyFont="1" applyBorder="1" applyAlignment="1">
      <alignment horizontal="center" vertical="center" wrapText="1"/>
    </xf>
    <xf numFmtId="0" fontId="6" fillId="0" borderId="17" xfId="0" applyFont="1" applyBorder="1" applyAlignment="1">
      <alignment horizontal="center" vertical="center" wrapText="1"/>
    </xf>
    <xf numFmtId="0" fontId="10" fillId="0" borderId="3" xfId="0" applyFont="1" applyBorder="1" applyAlignment="1">
      <alignment vertical="center"/>
    </xf>
    <xf numFmtId="0" fontId="13" fillId="0" borderId="0" xfId="0" applyFont="1" applyAlignment="1">
      <alignment horizontal="left" vertical="center"/>
    </xf>
    <xf numFmtId="0" fontId="13" fillId="5" borderId="2" xfId="0" applyFont="1" applyFill="1" applyBorder="1" applyAlignment="1">
      <alignment vertical="center"/>
    </xf>
    <xf numFmtId="2" fontId="13" fillId="5" borderId="2" xfId="0" applyNumberFormat="1" applyFont="1" applyFill="1" applyBorder="1" applyAlignment="1">
      <alignment vertical="center"/>
    </xf>
    <xf numFmtId="165" fontId="13" fillId="0" borderId="0" xfId="0" applyNumberFormat="1" applyFont="1" applyAlignment="1">
      <alignment vertical="center"/>
    </xf>
    <xf numFmtId="2" fontId="13" fillId="0" borderId="2" xfId="0" applyNumberFormat="1" applyFont="1" applyBorder="1" applyAlignment="1">
      <alignment vertical="center"/>
    </xf>
    <xf numFmtId="0" fontId="10" fillId="0" borderId="12" xfId="0" applyFont="1" applyBorder="1" applyAlignment="1">
      <alignment vertical="center"/>
    </xf>
    <xf numFmtId="0" fontId="13" fillId="0" borderId="6" xfId="0" applyFont="1" applyBorder="1" applyAlignment="1">
      <alignment horizontal="left" vertical="center"/>
    </xf>
    <xf numFmtId="165" fontId="13" fillId="5" borderId="6" xfId="0" applyNumberFormat="1" applyFont="1" applyFill="1" applyBorder="1" applyAlignment="1">
      <alignment vertical="center"/>
    </xf>
    <xf numFmtId="0" fontId="13" fillId="5" borderId="13" xfId="0" applyFont="1" applyFill="1" applyBorder="1" applyAlignment="1">
      <alignment vertical="center"/>
    </xf>
    <xf numFmtId="0" fontId="12" fillId="0" borderId="11" xfId="0" applyFont="1" applyBorder="1" applyAlignment="1">
      <alignment vertical="center"/>
    </xf>
    <xf numFmtId="0" fontId="13" fillId="0" borderId="9" xfId="0" applyFont="1" applyBorder="1" applyAlignment="1">
      <alignment horizontal="left" vertical="center"/>
    </xf>
    <xf numFmtId="0" fontId="7" fillId="0" borderId="46" xfId="0" applyFont="1" applyBorder="1" applyAlignment="1">
      <alignment horizontal="left" vertical="center"/>
    </xf>
    <xf numFmtId="0" fontId="15" fillId="0" borderId="46" xfId="0" applyFont="1" applyBorder="1" applyAlignment="1">
      <alignment horizontal="left" vertical="center"/>
    </xf>
    <xf numFmtId="0" fontId="16" fillId="0" borderId="46" xfId="0" applyFont="1" applyBorder="1" applyAlignment="1">
      <alignment horizontal="left" vertical="center"/>
    </xf>
    <xf numFmtId="0" fontId="17" fillId="0" borderId="46" xfId="0" applyFont="1" applyBorder="1" applyAlignment="1">
      <alignment horizontal="left" vertical="center"/>
    </xf>
    <xf numFmtId="0" fontId="18" fillId="0" borderId="48" xfId="0" applyFont="1" applyBorder="1" applyAlignment="1">
      <alignment horizontal="left" vertical="center"/>
    </xf>
    <xf numFmtId="165" fontId="13" fillId="5" borderId="9" xfId="0" applyNumberFormat="1" applyFont="1" applyFill="1" applyBorder="1" applyAlignment="1">
      <alignment vertical="center"/>
    </xf>
    <xf numFmtId="0" fontId="13" fillId="5" borderId="10" xfId="0" applyFont="1" applyFill="1" applyBorder="1" applyAlignment="1">
      <alignment vertical="center"/>
    </xf>
    <xf numFmtId="0" fontId="9" fillId="0" borderId="3" xfId="0" applyFont="1" applyBorder="1" applyAlignment="1">
      <alignment vertical="center"/>
    </xf>
    <xf numFmtId="165" fontId="0" fillId="0" borderId="0" xfId="0" applyNumberFormat="1"/>
    <xf numFmtId="2" fontId="13" fillId="0" borderId="10" xfId="0" applyNumberFormat="1" applyFont="1" applyBorder="1" applyAlignment="1">
      <alignment vertical="center"/>
    </xf>
    <xf numFmtId="165" fontId="0" fillId="0" borderId="0" xfId="0" applyNumberFormat="1" applyAlignment="1">
      <alignment vertical="center"/>
    </xf>
    <xf numFmtId="165" fontId="40" fillId="0" borderId="0" xfId="0" applyNumberFormat="1" applyFont="1"/>
    <xf numFmtId="0" fontId="13" fillId="0" borderId="19" xfId="0" applyFont="1" applyBorder="1" applyAlignment="1">
      <alignment horizontal="left" vertical="center"/>
    </xf>
    <xf numFmtId="0" fontId="7" fillId="0" borderId="12" xfId="0" applyFont="1" applyBorder="1" applyAlignment="1">
      <alignment vertical="center"/>
    </xf>
    <xf numFmtId="0" fontId="7" fillId="0" borderId="3" xfId="0" applyFont="1" applyBorder="1" applyAlignment="1">
      <alignment vertical="center"/>
    </xf>
    <xf numFmtId="0" fontId="9" fillId="0" borderId="20" xfId="0" applyFont="1" applyBorder="1" applyAlignment="1">
      <alignment vertical="center"/>
    </xf>
    <xf numFmtId="0" fontId="12" fillId="0" borderId="21" xfId="0" applyFont="1" applyBorder="1" applyAlignment="1">
      <alignment vertical="center"/>
    </xf>
    <xf numFmtId="0" fontId="13" fillId="0" borderId="22" xfId="0" applyFont="1" applyBorder="1" applyAlignment="1">
      <alignment horizontal="left" vertical="center"/>
    </xf>
    <xf numFmtId="165" fontId="13" fillId="0" borderId="22" xfId="0" applyNumberFormat="1" applyFont="1" applyBorder="1" applyAlignment="1">
      <alignment vertical="center"/>
    </xf>
    <xf numFmtId="0" fontId="20" fillId="0" borderId="21" xfId="0" applyFont="1" applyBorder="1" applyAlignment="1">
      <alignment vertical="center"/>
    </xf>
    <xf numFmtId="0" fontId="0" fillId="0" borderId="23" xfId="0" applyBorder="1"/>
    <xf numFmtId="0" fontId="13" fillId="0" borderId="19" xfId="0" applyFont="1" applyBorder="1" applyAlignment="1">
      <alignment vertical="center"/>
    </xf>
    <xf numFmtId="0" fontId="0" fillId="0" borderId="22" xfId="0" applyBorder="1" applyAlignment="1">
      <alignment vertical="center"/>
    </xf>
    <xf numFmtId="0" fontId="11" fillId="0" borderId="3" xfId="0" applyFont="1" applyBorder="1" applyAlignment="1">
      <alignment horizontal="left" vertical="center"/>
    </xf>
    <xf numFmtId="0" fontId="0" fillId="5" borderId="0" xfId="0" applyFill="1"/>
    <xf numFmtId="165" fontId="37" fillId="0" borderId="0" xfId="0" applyNumberFormat="1" applyFont="1"/>
    <xf numFmtId="0" fontId="11" fillId="0" borderId="11" xfId="0" applyFont="1" applyBorder="1" applyAlignment="1">
      <alignment horizontal="left" vertical="center"/>
    </xf>
    <xf numFmtId="0" fontId="7" fillId="0" borderId="22" xfId="0" applyFont="1" applyBorder="1" applyAlignment="1">
      <alignment vertical="center"/>
    </xf>
    <xf numFmtId="0" fontId="0" fillId="5" borderId="22" xfId="0" applyFill="1" applyBorder="1"/>
    <xf numFmtId="0" fontId="13" fillId="5" borderId="19" xfId="0" applyFont="1" applyFill="1" applyBorder="1" applyAlignment="1">
      <alignment vertical="center"/>
    </xf>
    <xf numFmtId="0" fontId="37" fillId="0" borderId="0" xfId="0" applyFont="1"/>
    <xf numFmtId="0" fontId="11" fillId="0" borderId="3" xfId="0" applyFont="1" applyBorder="1" applyAlignment="1">
      <alignment vertical="center"/>
    </xf>
    <xf numFmtId="0" fontId="7" fillId="0" borderId="9" xfId="0" applyFont="1" applyBorder="1" applyAlignment="1">
      <alignment vertical="center"/>
    </xf>
    <xf numFmtId="0" fontId="11" fillId="0" borderId="11" xfId="0" applyFont="1" applyBorder="1" applyAlignment="1">
      <alignment vertical="center"/>
    </xf>
    <xf numFmtId="165" fontId="0" fillId="5" borderId="0" xfId="0" applyNumberFormat="1" applyFill="1"/>
    <xf numFmtId="0" fontId="37" fillId="9" borderId="0" xfId="0" applyFont="1" applyFill="1"/>
    <xf numFmtId="166" fontId="13" fillId="0" borderId="0" xfId="0" applyNumberFormat="1" applyFont="1" applyAlignment="1">
      <alignment vertical="center"/>
    </xf>
    <xf numFmtId="0" fontId="12" fillId="0" borderId="0" xfId="0" applyFont="1" applyAlignment="1">
      <alignment horizontal="left" vertical="center"/>
    </xf>
    <xf numFmtId="165" fontId="0" fillId="5" borderId="9" xfId="0" applyNumberFormat="1" applyFill="1" applyBorder="1"/>
    <xf numFmtId="0" fontId="0" fillId="0" borderId="13" xfId="0" applyBorder="1" applyAlignment="1">
      <alignment vertical="center"/>
    </xf>
    <xf numFmtId="0" fontId="0" fillId="0" borderId="2" xfId="0" applyBorder="1" applyAlignment="1">
      <alignment vertical="center"/>
    </xf>
    <xf numFmtId="0" fontId="0" fillId="0" borderId="10" xfId="0" applyBorder="1" applyAlignment="1">
      <alignment vertical="center"/>
    </xf>
    <xf numFmtId="0" fontId="8" fillId="0" borderId="12" xfId="0" applyFont="1" applyBorder="1" applyAlignment="1">
      <alignment vertical="center"/>
    </xf>
    <xf numFmtId="0" fontId="8" fillId="0" borderId="3" xfId="0" applyFont="1" applyBorder="1" applyAlignment="1">
      <alignment vertical="center"/>
    </xf>
    <xf numFmtId="0" fontId="6" fillId="0" borderId="3" xfId="0" applyFont="1" applyBorder="1" applyAlignment="1">
      <alignment vertical="center"/>
    </xf>
    <xf numFmtId="0" fontId="14" fillId="0" borderId="3" xfId="0" applyFont="1" applyBorder="1" applyAlignment="1">
      <alignment vertical="center"/>
    </xf>
    <xf numFmtId="0" fontId="0" fillId="5" borderId="4" xfId="0" applyFill="1" applyBorder="1"/>
    <xf numFmtId="0" fontId="6" fillId="0" borderId="12" xfId="0" applyFont="1" applyBorder="1" applyAlignment="1">
      <alignment vertical="center"/>
    </xf>
    <xf numFmtId="0" fontId="6" fillId="0" borderId="11" xfId="0" applyFont="1" applyBorder="1" applyAlignment="1">
      <alignment vertical="center"/>
    </xf>
    <xf numFmtId="0" fontId="0" fillId="5" borderId="15" xfId="0" applyFill="1" applyBorder="1"/>
    <xf numFmtId="0" fontId="6" fillId="0" borderId="20" xfId="0" applyFont="1" applyBorder="1" applyAlignment="1">
      <alignment vertical="center"/>
    </xf>
    <xf numFmtId="0" fontId="6" fillId="0" borderId="21" xfId="0" applyFont="1" applyBorder="1" applyAlignment="1">
      <alignment vertical="center"/>
    </xf>
    <xf numFmtId="0" fontId="0" fillId="0" borderId="6" xfId="0" applyFont="1" applyBorder="1" applyAlignment="1">
      <alignment horizontal="center" vertical="center" wrapText="1"/>
    </xf>
    <xf numFmtId="0" fontId="0" fillId="0" borderId="9" xfId="0" applyFont="1" applyBorder="1" applyAlignment="1">
      <alignment horizontal="center" vertical="center" wrapText="1"/>
    </xf>
    <xf numFmtId="0" fontId="0" fillId="0" borderId="6"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0" borderId="7" xfId="0" applyFill="1" applyBorder="1" applyAlignment="1">
      <alignment vertical="center" wrapText="1"/>
    </xf>
    <xf numFmtId="0" fontId="6" fillId="0" borderId="7" xfId="0" applyFont="1" applyFill="1" applyBorder="1" applyAlignment="1">
      <alignment vertical="center" wrapText="1"/>
    </xf>
    <xf numFmtId="0" fontId="0" fillId="0" borderId="0" xfId="0" applyFill="1" applyAlignment="1">
      <alignment vertical="center" wrapText="1"/>
    </xf>
    <xf numFmtId="0" fontId="34" fillId="13" borderId="17" xfId="0" applyFont="1" applyFill="1" applyBorder="1" applyAlignment="1">
      <alignment vertical="center" wrapText="1"/>
    </xf>
    <xf numFmtId="0" fontId="35" fillId="13" borderId="41" xfId="0" applyFont="1" applyFill="1" applyBorder="1" applyAlignment="1">
      <alignment vertical="center" wrapText="1"/>
    </xf>
    <xf numFmtId="0" fontId="34" fillId="13" borderId="42" xfId="0" applyFont="1" applyFill="1" applyBorder="1" applyAlignment="1">
      <alignment vertical="center" wrapText="1"/>
    </xf>
    <xf numFmtId="0" fontId="0" fillId="2" borderId="5" xfId="0" applyFont="1" applyFill="1" applyBorder="1" applyAlignment="1">
      <alignment vertical="center" wrapText="1"/>
    </xf>
    <xf numFmtId="0" fontId="0" fillId="14" borderId="8" xfId="0" applyFont="1" applyFill="1" applyBorder="1" applyAlignment="1">
      <alignment vertical="center" wrapText="1"/>
    </xf>
    <xf numFmtId="0" fontId="0" fillId="14" borderId="5" xfId="0" applyFill="1" applyBorder="1" applyAlignment="1">
      <alignment vertical="center" wrapText="1"/>
    </xf>
    <xf numFmtId="0" fontId="0" fillId="14" borderId="7" xfId="0" applyFill="1" applyBorder="1" applyAlignment="1">
      <alignment vertical="center" wrapText="1"/>
    </xf>
    <xf numFmtId="0" fontId="0" fillId="6" borderId="8" xfId="0" applyFill="1" applyBorder="1" applyAlignment="1">
      <alignment vertical="center" wrapText="1"/>
    </xf>
    <xf numFmtId="0" fontId="0" fillId="7" borderId="7" xfId="0" applyFill="1" applyBorder="1" applyAlignment="1">
      <alignment vertical="center" wrapText="1"/>
    </xf>
    <xf numFmtId="0" fontId="0" fillId="2" borderId="7" xfId="0" applyFill="1" applyBorder="1" applyAlignment="1">
      <alignment vertical="center" wrapText="1"/>
    </xf>
    <xf numFmtId="0" fontId="0" fillId="6" borderId="7" xfId="0" applyFill="1" applyBorder="1" applyAlignment="1">
      <alignment vertical="center" wrapText="1"/>
    </xf>
    <xf numFmtId="0" fontId="0" fillId="2" borderId="8" xfId="0" applyFill="1" applyBorder="1" applyAlignment="1">
      <alignment vertical="center" wrapText="1"/>
    </xf>
    <xf numFmtId="0" fontId="0" fillId="15" borderId="8" xfId="0" applyFill="1" applyBorder="1" applyAlignment="1">
      <alignment vertical="center" wrapText="1"/>
    </xf>
  </cellXfs>
  <cellStyles count="55">
    <cellStyle name="Currency 2" xfId="2" xr:uid="{00000000-0005-0000-0000-000000000000}"/>
    <cellStyle name="Currency 2 2" xfId="8" xr:uid="{00000000-0005-0000-0000-000001000000}"/>
    <cellStyle name="Currency 2 2 2" xfId="21" xr:uid="{00000000-0005-0000-0000-000002000000}"/>
    <cellStyle name="Currency 2 2 2 2" xfId="30" xr:uid="{00000000-0005-0000-0000-000003000000}"/>
    <cellStyle name="Currency 2 2 3" xfId="31" xr:uid="{00000000-0005-0000-0000-000004000000}"/>
    <cellStyle name="Currency 2 3" xfId="15" xr:uid="{00000000-0005-0000-0000-000005000000}"/>
    <cellStyle name="Currency 2 3 2" xfId="32" xr:uid="{00000000-0005-0000-0000-000006000000}"/>
    <cellStyle name="Currency 2 4" xfId="33" xr:uid="{00000000-0005-0000-0000-000007000000}"/>
    <cellStyle name="Currency 3" xfId="4" xr:uid="{00000000-0005-0000-0000-000008000000}"/>
    <cellStyle name="Currency 3 2" xfId="10" xr:uid="{00000000-0005-0000-0000-000009000000}"/>
    <cellStyle name="Currency 3 2 2" xfId="23" xr:uid="{00000000-0005-0000-0000-00000A000000}"/>
    <cellStyle name="Currency 3 2 2 2" xfId="34" xr:uid="{00000000-0005-0000-0000-00000B000000}"/>
    <cellStyle name="Currency 3 2 3" xfId="35" xr:uid="{00000000-0005-0000-0000-00000C000000}"/>
    <cellStyle name="Currency 3 3" xfId="17" xr:uid="{00000000-0005-0000-0000-00000D000000}"/>
    <cellStyle name="Currency 3 3 2" xfId="36" xr:uid="{00000000-0005-0000-0000-00000E000000}"/>
    <cellStyle name="Currency 3 4" xfId="37" xr:uid="{00000000-0005-0000-0000-00000F000000}"/>
    <cellStyle name="Currency 4" xfId="6" xr:uid="{00000000-0005-0000-0000-000010000000}"/>
    <cellStyle name="Currency 4 2" xfId="12" xr:uid="{00000000-0005-0000-0000-000011000000}"/>
    <cellStyle name="Currency 4 2 2" xfId="25" xr:uid="{00000000-0005-0000-0000-000012000000}"/>
    <cellStyle name="Currency 4 2 2 2" xfId="38" xr:uid="{00000000-0005-0000-0000-000013000000}"/>
    <cellStyle name="Currency 4 2 3" xfId="39" xr:uid="{00000000-0005-0000-0000-000014000000}"/>
    <cellStyle name="Currency 4 3" xfId="19" xr:uid="{00000000-0005-0000-0000-000015000000}"/>
    <cellStyle name="Currency 4 3 2" xfId="40" xr:uid="{00000000-0005-0000-0000-000016000000}"/>
    <cellStyle name="Currency 4 4" xfId="41" xr:uid="{00000000-0005-0000-0000-000017000000}"/>
    <cellStyle name="Currency 5" xfId="27" xr:uid="{00000000-0005-0000-0000-000018000000}"/>
    <cellStyle name="Normal" xfId="0" builtinId="0"/>
    <cellStyle name="Normal 2" xfId="1" xr:uid="{00000000-0005-0000-0000-00001A000000}"/>
    <cellStyle name="Normal 2 2" xfId="7" xr:uid="{00000000-0005-0000-0000-00001B000000}"/>
    <cellStyle name="Normal 2 2 2" xfId="20" xr:uid="{00000000-0005-0000-0000-00001C000000}"/>
    <cellStyle name="Normal 2 2 2 2" xfId="42" xr:uid="{00000000-0005-0000-0000-00001D000000}"/>
    <cellStyle name="Normal 2 2 3" xfId="43" xr:uid="{00000000-0005-0000-0000-00001E000000}"/>
    <cellStyle name="Normal 2 3" xfId="14" xr:uid="{00000000-0005-0000-0000-00001F000000}"/>
    <cellStyle name="Normal 2 3 2" xfId="44" xr:uid="{00000000-0005-0000-0000-000020000000}"/>
    <cellStyle name="Normal 2 4" xfId="45" xr:uid="{00000000-0005-0000-0000-000021000000}"/>
    <cellStyle name="Normal 3" xfId="3" xr:uid="{00000000-0005-0000-0000-000022000000}"/>
    <cellStyle name="Normal 3 2" xfId="9" xr:uid="{00000000-0005-0000-0000-000023000000}"/>
    <cellStyle name="Normal 3 2 2" xfId="22" xr:uid="{00000000-0005-0000-0000-000024000000}"/>
    <cellStyle name="Normal 3 2 2 2" xfId="46" xr:uid="{00000000-0005-0000-0000-000025000000}"/>
    <cellStyle name="Normal 3 2 3" xfId="47" xr:uid="{00000000-0005-0000-0000-000026000000}"/>
    <cellStyle name="Normal 3 3" xfId="16" xr:uid="{00000000-0005-0000-0000-000027000000}"/>
    <cellStyle name="Normal 3 3 2" xfId="48" xr:uid="{00000000-0005-0000-0000-000028000000}"/>
    <cellStyle name="Normal 3 4" xfId="49" xr:uid="{00000000-0005-0000-0000-000029000000}"/>
    <cellStyle name="Normal 4" xfId="5" xr:uid="{00000000-0005-0000-0000-00002A000000}"/>
    <cellStyle name="Normal 4 2" xfId="11" xr:uid="{00000000-0005-0000-0000-00002B000000}"/>
    <cellStyle name="Normal 4 2 2" xfId="24" xr:uid="{00000000-0005-0000-0000-00002C000000}"/>
    <cellStyle name="Normal 4 2 2 2" xfId="50" xr:uid="{00000000-0005-0000-0000-00002D000000}"/>
    <cellStyle name="Normal 4 2 3" xfId="51" xr:uid="{00000000-0005-0000-0000-00002E000000}"/>
    <cellStyle name="Normal 4 3" xfId="18" xr:uid="{00000000-0005-0000-0000-00002F000000}"/>
    <cellStyle name="Normal 4 3 2" xfId="52" xr:uid="{00000000-0005-0000-0000-000030000000}"/>
    <cellStyle name="Normal 4 4" xfId="53" xr:uid="{00000000-0005-0000-0000-000031000000}"/>
    <cellStyle name="Normal 5" xfId="13" xr:uid="{00000000-0005-0000-0000-000032000000}"/>
    <cellStyle name="Normal 5 2" xfId="54" xr:uid="{00000000-0005-0000-0000-000033000000}"/>
    <cellStyle name="Normal 6" xfId="26" xr:uid="{00000000-0005-0000-0000-000034000000}"/>
    <cellStyle name="Normal 7" xfId="28" xr:uid="{00000000-0005-0000-0000-000035000000}"/>
    <cellStyle name="Normal 8" xfId="29" xr:uid="{00000000-0005-0000-0000-000036000000}"/>
  </cellStyles>
  <dxfs count="0"/>
  <tableStyles count="0" defaultTableStyle="TableStyleMedium2" defaultPivotStyle="PivotStyleMedium9"/>
  <colors>
    <mruColors>
      <color rgb="FFFFFFAB"/>
      <color rgb="FF31A828"/>
      <color rgb="FFFF0066"/>
      <color rgb="FFFFC5EC"/>
      <color rgb="FFFF8BD8"/>
      <color rgb="FFFF6600"/>
      <color rgb="FF00FF99"/>
      <color rgb="FF3FCDFF"/>
      <color rgb="FFFFD9D9"/>
      <color rgb="FFFFF2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C14"/>
  <sheetViews>
    <sheetView zoomScale="113" zoomScaleNormal="145" workbookViewId="0">
      <selection activeCell="C19" sqref="C19"/>
    </sheetView>
  </sheetViews>
  <sheetFormatPr baseColWidth="10" defaultColWidth="9.1640625" defaultRowHeight="15" x14ac:dyDescent="0.2"/>
  <cols>
    <col min="1" max="1" width="9.1640625" style="304"/>
    <col min="2" max="2" width="16" style="602" customWidth="1"/>
    <col min="3" max="3" width="162.6640625" style="304" customWidth="1"/>
    <col min="4" max="16384" width="9.1640625" style="304"/>
  </cols>
  <sheetData>
    <row r="1" spans="1:3" s="603" customFormat="1" ht="45" thickBot="1" x14ac:dyDescent="0.25">
      <c r="B1" s="604" t="s">
        <v>803</v>
      </c>
      <c r="C1" s="605" t="s">
        <v>804</v>
      </c>
    </row>
    <row r="2" spans="1:3" x14ac:dyDescent="0.2">
      <c r="B2" s="600"/>
      <c r="C2" s="468"/>
    </row>
    <row r="3" spans="1:3" s="300" customFormat="1" ht="16" x14ac:dyDescent="0.2">
      <c r="B3" s="601" t="s">
        <v>792</v>
      </c>
      <c r="C3" s="469" t="s">
        <v>472</v>
      </c>
    </row>
    <row r="4" spans="1:3" s="466" customFormat="1" ht="32" customHeight="1" x14ac:dyDescent="0.2">
      <c r="A4" s="595" t="s">
        <v>833</v>
      </c>
      <c r="B4" s="606" t="s">
        <v>835</v>
      </c>
      <c r="C4" s="470" t="s">
        <v>903</v>
      </c>
    </row>
    <row r="5" spans="1:3" s="467" customFormat="1" ht="36" customHeight="1" x14ac:dyDescent="0.2">
      <c r="A5" s="596"/>
      <c r="B5" s="607" t="s">
        <v>837</v>
      </c>
      <c r="C5" s="468" t="s">
        <v>904</v>
      </c>
    </row>
    <row r="6" spans="1:3" s="301" customFormat="1" ht="32" x14ac:dyDescent="0.2">
      <c r="A6" s="597" t="s">
        <v>834</v>
      </c>
      <c r="B6" s="608" t="s">
        <v>836</v>
      </c>
      <c r="C6" s="470" t="s">
        <v>902</v>
      </c>
    </row>
    <row r="7" spans="1:3" s="302" customFormat="1" ht="32" x14ac:dyDescent="0.2">
      <c r="A7" s="598"/>
      <c r="B7" s="609" t="s">
        <v>793</v>
      </c>
      <c r="C7" s="468" t="s">
        <v>807</v>
      </c>
    </row>
    <row r="8" spans="1:3" s="303" customFormat="1" ht="16" x14ac:dyDescent="0.2">
      <c r="A8" s="598"/>
      <c r="B8" s="610" t="s">
        <v>269</v>
      </c>
      <c r="C8" s="471" t="s">
        <v>798</v>
      </c>
    </row>
    <row r="9" spans="1:3" s="301" customFormat="1" ht="32" x14ac:dyDescent="0.2">
      <c r="A9" s="598"/>
      <c r="B9" s="608" t="s">
        <v>794</v>
      </c>
      <c r="C9" s="470" t="s">
        <v>806</v>
      </c>
    </row>
    <row r="10" spans="1:3" s="302" customFormat="1" ht="16" x14ac:dyDescent="0.2">
      <c r="A10" s="598"/>
      <c r="B10" s="611" t="s">
        <v>795</v>
      </c>
      <c r="C10" s="472" t="s">
        <v>799</v>
      </c>
    </row>
    <row r="11" spans="1:3" s="302" customFormat="1" ht="16" x14ac:dyDescent="0.2">
      <c r="A11" s="598"/>
      <c r="B11" s="612" t="s">
        <v>796</v>
      </c>
      <c r="C11" s="472" t="s">
        <v>801</v>
      </c>
    </row>
    <row r="12" spans="1:3" s="302" customFormat="1" ht="16" x14ac:dyDescent="0.2">
      <c r="A12" s="598"/>
      <c r="B12" s="613" t="s">
        <v>9</v>
      </c>
      <c r="C12" s="472" t="s">
        <v>800</v>
      </c>
    </row>
    <row r="13" spans="1:3" s="303" customFormat="1" ht="16" x14ac:dyDescent="0.2">
      <c r="A13" s="599"/>
      <c r="B13" s="614" t="s">
        <v>621</v>
      </c>
      <c r="C13" s="471" t="s">
        <v>802</v>
      </c>
    </row>
    <row r="14" spans="1:3" ht="48" x14ac:dyDescent="0.2">
      <c r="A14" s="474" t="s">
        <v>797</v>
      </c>
      <c r="B14" s="615" t="s">
        <v>797</v>
      </c>
      <c r="C14" s="473" t="s">
        <v>805</v>
      </c>
    </row>
  </sheetData>
  <mergeCells count="2">
    <mergeCell ref="A4:A5"/>
    <mergeCell ref="A6:A1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AO244"/>
  <sheetViews>
    <sheetView zoomScale="125" zoomScaleNormal="110" workbookViewId="0">
      <selection activeCell="E18" sqref="E18"/>
    </sheetView>
  </sheetViews>
  <sheetFormatPr baseColWidth="10" defaultColWidth="9.1640625" defaultRowHeight="15" x14ac:dyDescent="0.2"/>
  <cols>
    <col min="1" max="1" width="19.83203125" style="135" bestFit="1" customWidth="1"/>
    <col min="2" max="2" width="20.83203125" style="103" customWidth="1"/>
    <col min="3" max="3" width="10.33203125" style="135" customWidth="1"/>
    <col min="4" max="4" width="10.33203125" style="27" bestFit="1" customWidth="1"/>
    <col min="5" max="5" width="22" style="103" customWidth="1"/>
    <col min="6" max="6" width="1.83203125" style="136" customWidth="1"/>
    <col min="7" max="10" width="6.1640625" style="27" customWidth="1"/>
    <col min="11" max="11" width="6.1640625" style="134" customWidth="1"/>
    <col min="12" max="12" width="7" style="134" customWidth="1"/>
    <col min="13" max="16384" width="9.1640625" style="26"/>
  </cols>
  <sheetData>
    <row r="1" spans="1:41" s="159" customFormat="1" ht="16" x14ac:dyDescent="0.2">
      <c r="A1" s="326" t="s">
        <v>0</v>
      </c>
      <c r="B1" s="327" t="s">
        <v>1</v>
      </c>
      <c r="C1" s="328" t="s">
        <v>58</v>
      </c>
      <c r="D1" s="328" t="s">
        <v>304</v>
      </c>
      <c r="E1" s="329" t="s">
        <v>57</v>
      </c>
      <c r="F1" s="330"/>
      <c r="G1" s="331" t="s">
        <v>64</v>
      </c>
      <c r="H1" s="331" t="s">
        <v>60</v>
      </c>
      <c r="I1" s="331" t="s">
        <v>61</v>
      </c>
      <c r="J1" s="331" t="s">
        <v>62</v>
      </c>
      <c r="K1" s="331" t="s">
        <v>63</v>
      </c>
      <c r="L1" s="332" t="s">
        <v>116</v>
      </c>
    </row>
    <row r="2" spans="1:41" s="28" customFormat="1" x14ac:dyDescent="0.2">
      <c r="A2" s="316" t="s">
        <v>112</v>
      </c>
      <c r="B2" s="317" t="s">
        <v>395</v>
      </c>
      <c r="C2" s="318" t="s">
        <v>809</v>
      </c>
      <c r="D2" s="249">
        <v>2.7655829290101183E-3</v>
      </c>
      <c r="E2" s="319" t="s">
        <v>518</v>
      </c>
      <c r="F2" s="249" t="s">
        <v>78</v>
      </c>
      <c r="G2" s="320">
        <v>3</v>
      </c>
      <c r="H2" s="320">
        <v>3</v>
      </c>
      <c r="I2" s="320">
        <v>3</v>
      </c>
      <c r="J2" s="320">
        <v>1</v>
      </c>
      <c r="K2" s="320">
        <v>2</v>
      </c>
      <c r="L2" s="247">
        <f t="shared" ref="L2:L11" si="0">IF( OR( ISBLANK(G2),ISBLANK(H2), ISBLANK(I2), ISBLANK(J2), ISBLANK(K2) ), "", 1.5*SQRT(   EXP(2.21*(G2-1)) + EXP(2.21*(H2-1)) + EXP(2.21*(I2-1)) + EXP(2.21*(J2-1)) + EXP(2.21*K2)   )/100*2.45 )</f>
        <v>0.67101227267249941</v>
      </c>
    </row>
    <row r="3" spans="1:41" s="27" customFormat="1" x14ac:dyDescent="0.2">
      <c r="A3" s="316" t="s">
        <v>112</v>
      </c>
      <c r="B3" s="317" t="s">
        <v>395</v>
      </c>
      <c r="C3" s="318" t="s">
        <v>809</v>
      </c>
      <c r="D3" s="321">
        <v>9.1347591148197536E-3</v>
      </c>
      <c r="E3" s="319" t="s">
        <v>518</v>
      </c>
      <c r="F3" s="249" t="s">
        <v>78</v>
      </c>
      <c r="G3" s="320">
        <v>3</v>
      </c>
      <c r="H3" s="320">
        <v>3</v>
      </c>
      <c r="I3" s="320">
        <v>3</v>
      </c>
      <c r="J3" s="320">
        <v>1</v>
      </c>
      <c r="K3" s="320">
        <v>2</v>
      </c>
      <c r="L3" s="247">
        <f t="shared" si="0"/>
        <v>0.67101227267249941</v>
      </c>
    </row>
    <row r="4" spans="1:41" s="27" customFormat="1" x14ac:dyDescent="0.2">
      <c r="A4" s="316" t="s">
        <v>112</v>
      </c>
      <c r="B4" s="317" t="s">
        <v>395</v>
      </c>
      <c r="C4" s="322" t="s">
        <v>810</v>
      </c>
      <c r="D4" s="321">
        <v>1.5327327076441624E-3</v>
      </c>
      <c r="E4" s="319" t="s">
        <v>518</v>
      </c>
      <c r="F4" s="249" t="s">
        <v>78</v>
      </c>
      <c r="G4" s="320">
        <v>3</v>
      </c>
      <c r="H4" s="320">
        <v>3</v>
      </c>
      <c r="I4" s="320">
        <v>3</v>
      </c>
      <c r="J4" s="320">
        <v>1</v>
      </c>
      <c r="K4" s="320">
        <v>2</v>
      </c>
      <c r="L4" s="247">
        <f t="shared" si="0"/>
        <v>0.67101227267249941</v>
      </c>
    </row>
    <row r="5" spans="1:41" s="27" customFormat="1" x14ac:dyDescent="0.2">
      <c r="A5" s="316" t="s">
        <v>112</v>
      </c>
      <c r="B5" s="317" t="s">
        <v>395</v>
      </c>
      <c r="C5" s="322" t="s">
        <v>810</v>
      </c>
      <c r="D5" s="321">
        <v>5.0626375817073343E-3</v>
      </c>
      <c r="E5" s="319" t="s">
        <v>518</v>
      </c>
      <c r="F5" s="249" t="s">
        <v>78</v>
      </c>
      <c r="G5" s="320">
        <v>3</v>
      </c>
      <c r="H5" s="320">
        <v>3</v>
      </c>
      <c r="I5" s="320">
        <v>3</v>
      </c>
      <c r="J5" s="320">
        <v>1</v>
      </c>
      <c r="K5" s="320">
        <v>2</v>
      </c>
      <c r="L5" s="247">
        <f t="shared" si="0"/>
        <v>0.67101227267249941</v>
      </c>
    </row>
    <row r="6" spans="1:41" s="27" customFormat="1" x14ac:dyDescent="0.2">
      <c r="A6" s="316" t="s">
        <v>112</v>
      </c>
      <c r="B6" s="317" t="s">
        <v>395</v>
      </c>
      <c r="C6" s="323" t="s">
        <v>811</v>
      </c>
      <c r="D6" s="321">
        <v>1.8159550557958011E-3</v>
      </c>
      <c r="E6" s="319" t="s">
        <v>518</v>
      </c>
      <c r="F6" s="249" t="s">
        <v>78</v>
      </c>
      <c r="G6" s="320">
        <v>3</v>
      </c>
      <c r="H6" s="320">
        <v>3</v>
      </c>
      <c r="I6" s="320">
        <v>3</v>
      </c>
      <c r="J6" s="320">
        <v>1</v>
      </c>
      <c r="K6" s="320">
        <v>2</v>
      </c>
      <c r="L6" s="247">
        <f t="shared" si="0"/>
        <v>0.67101227267249941</v>
      </c>
    </row>
    <row r="7" spans="1:41" s="27" customFormat="1" x14ac:dyDescent="0.2">
      <c r="A7" s="316" t="s">
        <v>112</v>
      </c>
      <c r="B7" s="317" t="s">
        <v>395</v>
      </c>
      <c r="C7" s="323" t="s">
        <v>811</v>
      </c>
      <c r="D7" s="321">
        <v>5.9981249609358626E-3</v>
      </c>
      <c r="E7" s="319" t="s">
        <v>518</v>
      </c>
      <c r="F7" s="249" t="s">
        <v>78</v>
      </c>
      <c r="G7" s="320">
        <v>3</v>
      </c>
      <c r="H7" s="320">
        <v>3</v>
      </c>
      <c r="I7" s="320">
        <v>3</v>
      </c>
      <c r="J7" s="320">
        <v>1</v>
      </c>
      <c r="K7" s="320">
        <v>2</v>
      </c>
      <c r="L7" s="247">
        <f t="shared" si="0"/>
        <v>0.67101227267249941</v>
      </c>
    </row>
    <row r="8" spans="1:41" s="27" customFormat="1" x14ac:dyDescent="0.2">
      <c r="A8" s="316" t="s">
        <v>112</v>
      </c>
      <c r="B8" s="317" t="s">
        <v>395</v>
      </c>
      <c r="C8" s="324" t="s">
        <v>812</v>
      </c>
      <c r="D8" s="321">
        <v>8.663271825814831E-4</v>
      </c>
      <c r="E8" s="319" t="s">
        <v>518</v>
      </c>
      <c r="F8" s="249" t="s">
        <v>78</v>
      </c>
      <c r="G8" s="320">
        <v>3</v>
      </c>
      <c r="H8" s="320">
        <v>3</v>
      </c>
      <c r="I8" s="320">
        <v>3</v>
      </c>
      <c r="J8" s="320">
        <v>1</v>
      </c>
      <c r="K8" s="320">
        <v>2</v>
      </c>
      <c r="L8" s="247">
        <f t="shared" si="0"/>
        <v>0.67101227267249941</v>
      </c>
    </row>
    <row r="9" spans="1:41" s="27" customFormat="1" x14ac:dyDescent="0.2">
      <c r="A9" s="316" t="s">
        <v>112</v>
      </c>
      <c r="B9" s="317" t="s">
        <v>395</v>
      </c>
      <c r="C9" s="324" t="s">
        <v>812</v>
      </c>
      <c r="D9" s="321">
        <v>2.8614908070519716E-3</v>
      </c>
      <c r="E9" s="319" t="s">
        <v>518</v>
      </c>
      <c r="F9" s="249" t="s">
        <v>78</v>
      </c>
      <c r="G9" s="320">
        <v>3</v>
      </c>
      <c r="H9" s="320">
        <v>3</v>
      </c>
      <c r="I9" s="320">
        <v>3</v>
      </c>
      <c r="J9" s="320">
        <v>1</v>
      </c>
      <c r="K9" s="320">
        <v>2</v>
      </c>
      <c r="L9" s="247">
        <f t="shared" si="0"/>
        <v>0.67101227267249941</v>
      </c>
    </row>
    <row r="10" spans="1:41" s="27" customFormat="1" x14ac:dyDescent="0.2">
      <c r="A10" s="316" t="s">
        <v>112</v>
      </c>
      <c r="B10" s="317" t="s">
        <v>395</v>
      </c>
      <c r="C10" s="325" t="s">
        <v>813</v>
      </c>
      <c r="D10" s="321">
        <v>7.3304607756894714E-4</v>
      </c>
      <c r="E10" s="319" t="s">
        <v>518</v>
      </c>
      <c r="F10" s="249" t="s">
        <v>78</v>
      </c>
      <c r="G10" s="320">
        <v>3</v>
      </c>
      <c r="H10" s="320">
        <v>3</v>
      </c>
      <c r="I10" s="320">
        <v>3</v>
      </c>
      <c r="J10" s="320">
        <v>1</v>
      </c>
      <c r="K10" s="320">
        <v>2</v>
      </c>
      <c r="L10" s="247">
        <f t="shared" si="0"/>
        <v>0.67101227267249941</v>
      </c>
    </row>
    <row r="11" spans="1:41" s="27" customFormat="1" x14ac:dyDescent="0.2">
      <c r="A11" s="316" t="s">
        <v>112</v>
      </c>
      <c r="B11" s="317" t="s">
        <v>395</v>
      </c>
      <c r="C11" s="325" t="s">
        <v>813</v>
      </c>
      <c r="D11" s="321">
        <v>2.4212614521208985E-3</v>
      </c>
      <c r="E11" s="319" t="s">
        <v>518</v>
      </c>
      <c r="F11" s="249" t="s">
        <v>78</v>
      </c>
      <c r="G11" s="320">
        <v>3</v>
      </c>
      <c r="H11" s="320">
        <v>3</v>
      </c>
      <c r="I11" s="320">
        <v>3</v>
      </c>
      <c r="J11" s="320">
        <v>1</v>
      </c>
      <c r="K11" s="320">
        <v>2</v>
      </c>
      <c r="L11" s="247">
        <f t="shared" si="0"/>
        <v>0.67101227267249941</v>
      </c>
    </row>
    <row r="12" spans="1:41" s="27" customFormat="1" x14ac:dyDescent="0.2">
      <c r="A12" s="135"/>
      <c r="B12" s="103"/>
      <c r="E12" s="103"/>
    </row>
    <row r="13" spans="1:41" s="27" customFormat="1" x14ac:dyDescent="0.2">
      <c r="A13" s="135"/>
      <c r="B13" s="103"/>
      <c r="E13" s="103"/>
    </row>
    <row r="14" spans="1:41" s="27" customFormat="1" ht="16" customHeight="1" x14ac:dyDescent="0.2">
      <c r="A14" s="135"/>
      <c r="B14" s="103"/>
      <c r="E14" s="103"/>
      <c r="J14" s="398"/>
      <c r="K14" s="398"/>
      <c r="L14" s="399"/>
      <c r="M14" s="400"/>
      <c r="N14" s="400"/>
      <c r="O14" s="400"/>
      <c r="P14" s="400"/>
      <c r="Q14" s="398"/>
    </row>
    <row r="15" spans="1:41" s="137" customFormat="1" ht="16" customHeight="1" x14ac:dyDescent="0.2">
      <c r="A15" s="135"/>
      <c r="B15" s="103"/>
      <c r="C15" s="27"/>
      <c r="D15" s="27"/>
      <c r="E15" s="103"/>
      <c r="F15" s="27"/>
      <c r="G15" s="27"/>
      <c r="H15" s="27"/>
      <c r="I15" s="27"/>
      <c r="J15" s="398"/>
      <c r="K15" s="398"/>
      <c r="L15" s="391"/>
      <c r="M15" s="391"/>
      <c r="N15" s="391"/>
      <c r="O15" s="391"/>
      <c r="P15" s="391"/>
      <c r="Q15" s="398"/>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row>
    <row r="16" spans="1:41" x14ac:dyDescent="0.2">
      <c r="C16" s="27"/>
      <c r="F16" s="27"/>
      <c r="J16" s="392"/>
      <c r="K16" s="188"/>
      <c r="L16" s="57"/>
      <c r="M16" s="57"/>
      <c r="N16" s="57"/>
      <c r="O16" s="57"/>
      <c r="P16" s="57"/>
      <c r="Q16" s="393"/>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row>
    <row r="17" spans="3:41" x14ac:dyDescent="0.2">
      <c r="C17" s="27"/>
      <c r="F17" s="27"/>
      <c r="J17" s="392"/>
      <c r="K17" s="188"/>
      <c r="L17" s="57"/>
      <c r="M17" s="57"/>
      <c r="N17" s="57"/>
      <c r="O17" s="57"/>
      <c r="P17" s="57"/>
      <c r="Q17" s="393"/>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row>
    <row r="18" spans="3:41" x14ac:dyDescent="0.2">
      <c r="C18" s="27"/>
      <c r="F18" s="27"/>
      <c r="J18" s="394"/>
      <c r="K18" s="188"/>
      <c r="L18" s="57"/>
      <c r="M18" s="57"/>
      <c r="N18" s="57"/>
      <c r="O18" s="57"/>
      <c r="P18" s="57"/>
      <c r="Q18" s="393"/>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row>
    <row r="19" spans="3:41" x14ac:dyDescent="0.2">
      <c r="C19" s="27"/>
      <c r="F19" s="27"/>
      <c r="J19" s="394"/>
      <c r="K19" s="188"/>
      <c r="L19" s="57"/>
      <c r="M19" s="57"/>
      <c r="N19" s="57"/>
      <c r="O19" s="57"/>
      <c r="P19" s="57"/>
      <c r="Q19" s="393"/>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row>
    <row r="20" spans="3:41" x14ac:dyDescent="0.2">
      <c r="C20" s="27"/>
      <c r="F20" s="27"/>
      <c r="J20" s="395"/>
      <c r="K20" s="188"/>
      <c r="L20" s="57"/>
      <c r="M20" s="57"/>
      <c r="N20" s="57"/>
      <c r="O20" s="57"/>
      <c r="P20" s="57"/>
      <c r="Q20" s="393"/>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row>
    <row r="21" spans="3:41" x14ac:dyDescent="0.2">
      <c r="C21" s="27"/>
      <c r="F21" s="27"/>
      <c r="J21" s="395"/>
      <c r="K21" s="188"/>
      <c r="L21" s="57"/>
      <c r="M21" s="57"/>
      <c r="N21" s="57"/>
      <c r="O21" s="57"/>
      <c r="P21" s="57"/>
      <c r="Q21" s="393"/>
    </row>
    <row r="22" spans="3:41" x14ac:dyDescent="0.2">
      <c r="C22" s="27"/>
      <c r="F22" s="27"/>
      <c r="J22" s="396"/>
      <c r="K22" s="188"/>
      <c r="L22" s="57"/>
      <c r="M22" s="57"/>
      <c r="N22" s="57"/>
      <c r="O22" s="57"/>
      <c r="P22" s="57"/>
      <c r="Q22" s="393"/>
    </row>
    <row r="23" spans="3:41" x14ac:dyDescent="0.2">
      <c r="C23" s="27"/>
      <c r="F23" s="27"/>
      <c r="J23" s="396"/>
      <c r="K23" s="188"/>
      <c r="L23" s="57"/>
      <c r="M23" s="57"/>
      <c r="N23" s="57"/>
      <c r="O23" s="57"/>
      <c r="P23" s="57"/>
      <c r="Q23" s="393"/>
    </row>
    <row r="24" spans="3:41" x14ac:dyDescent="0.2">
      <c r="C24" s="27"/>
      <c r="F24" s="27"/>
      <c r="J24" s="397"/>
      <c r="K24" s="188"/>
      <c r="L24" s="57"/>
      <c r="M24" s="57"/>
      <c r="N24" s="57"/>
      <c r="O24" s="57"/>
      <c r="P24" s="57"/>
      <c r="Q24" s="393"/>
    </row>
    <row r="25" spans="3:41" x14ac:dyDescent="0.2">
      <c r="C25" s="27"/>
      <c r="F25" s="27"/>
      <c r="J25" s="397"/>
      <c r="K25" s="188"/>
      <c r="L25" s="57"/>
      <c r="M25" s="57"/>
      <c r="N25" s="57"/>
      <c r="O25" s="57"/>
      <c r="P25" s="57"/>
      <c r="Q25" s="393"/>
    </row>
    <row r="26" spans="3:41" x14ac:dyDescent="0.2">
      <c r="C26" s="27"/>
      <c r="F26" s="27"/>
      <c r="K26" s="27"/>
      <c r="L26" s="27"/>
    </row>
    <row r="27" spans="3:41" x14ac:dyDescent="0.2">
      <c r="C27" s="27"/>
      <c r="F27" s="27"/>
      <c r="K27" s="27"/>
      <c r="L27" s="27"/>
    </row>
    <row r="28" spans="3:41" x14ac:dyDescent="0.2">
      <c r="C28" s="27"/>
      <c r="F28" s="27"/>
      <c r="K28" s="27"/>
      <c r="L28" s="27"/>
    </row>
    <row r="29" spans="3:41" x14ac:dyDescent="0.2">
      <c r="C29" s="27"/>
      <c r="F29" s="27"/>
      <c r="K29" s="27"/>
      <c r="L29" s="27"/>
    </row>
    <row r="30" spans="3:41" x14ac:dyDescent="0.2">
      <c r="C30" s="27"/>
      <c r="F30" s="27"/>
      <c r="K30" s="27"/>
      <c r="L30" s="27"/>
    </row>
    <row r="31" spans="3:41" x14ac:dyDescent="0.2">
      <c r="C31" s="27"/>
      <c r="F31" s="27"/>
      <c r="K31" s="27"/>
      <c r="L31" s="27"/>
    </row>
    <row r="32" spans="3:41" x14ac:dyDescent="0.2">
      <c r="C32" s="27"/>
      <c r="F32" s="27"/>
      <c r="K32" s="27"/>
      <c r="L32" s="27"/>
    </row>
    <row r="33" spans="3:12" x14ac:dyDescent="0.2">
      <c r="C33" s="27"/>
      <c r="F33" s="27"/>
      <c r="K33" s="27"/>
      <c r="L33" s="27"/>
    </row>
    <row r="34" spans="3:12" x14ac:dyDescent="0.2">
      <c r="C34" s="27"/>
      <c r="F34" s="27"/>
      <c r="K34" s="27"/>
      <c r="L34" s="27"/>
    </row>
    <row r="35" spans="3:12" x14ac:dyDescent="0.2">
      <c r="C35" s="27"/>
      <c r="F35" s="27"/>
      <c r="K35" s="27"/>
      <c r="L35" s="27"/>
    </row>
    <row r="36" spans="3:12" x14ac:dyDescent="0.2">
      <c r="C36" s="27"/>
      <c r="F36" s="27"/>
      <c r="K36" s="27"/>
      <c r="L36" s="27"/>
    </row>
    <row r="37" spans="3:12" x14ac:dyDescent="0.2">
      <c r="C37" s="27"/>
      <c r="F37" s="27"/>
      <c r="K37" s="27"/>
      <c r="L37" s="27"/>
    </row>
    <row r="38" spans="3:12" x14ac:dyDescent="0.2">
      <c r="C38" s="27"/>
      <c r="F38" s="27"/>
      <c r="K38" s="27"/>
      <c r="L38" s="27"/>
    </row>
    <row r="39" spans="3:12" x14ac:dyDescent="0.2">
      <c r="C39" s="27"/>
      <c r="F39" s="27"/>
      <c r="K39" s="27"/>
      <c r="L39" s="27"/>
    </row>
    <row r="40" spans="3:12" x14ac:dyDescent="0.2">
      <c r="C40" s="27"/>
      <c r="F40" s="27"/>
      <c r="K40" s="27"/>
      <c r="L40" s="27"/>
    </row>
    <row r="41" spans="3:12" x14ac:dyDescent="0.2">
      <c r="C41" s="27"/>
      <c r="F41" s="27"/>
      <c r="K41" s="27"/>
      <c r="L41" s="27"/>
    </row>
    <row r="42" spans="3:12" x14ac:dyDescent="0.2">
      <c r="C42" s="27"/>
      <c r="F42" s="27"/>
      <c r="K42" s="27"/>
      <c r="L42" s="27"/>
    </row>
    <row r="43" spans="3:12" x14ac:dyDescent="0.2">
      <c r="C43" s="27"/>
      <c r="F43" s="27"/>
      <c r="K43" s="27"/>
      <c r="L43" s="27"/>
    </row>
    <row r="44" spans="3:12" x14ac:dyDescent="0.2">
      <c r="C44" s="27"/>
      <c r="F44" s="27"/>
      <c r="K44" s="27"/>
      <c r="L44" s="27"/>
    </row>
    <row r="45" spans="3:12" x14ac:dyDescent="0.2">
      <c r="C45" s="27"/>
      <c r="F45" s="27"/>
      <c r="K45" s="27"/>
      <c r="L45" s="27"/>
    </row>
    <row r="46" spans="3:12" x14ac:dyDescent="0.2">
      <c r="C46" s="27"/>
      <c r="F46" s="27"/>
      <c r="K46" s="27"/>
      <c r="L46" s="27"/>
    </row>
    <row r="47" spans="3:12" x14ac:dyDescent="0.2">
      <c r="C47" s="27"/>
      <c r="F47" s="27"/>
      <c r="K47" s="27"/>
      <c r="L47" s="27"/>
    </row>
    <row r="48" spans="3:12" x14ac:dyDescent="0.2">
      <c r="C48" s="27"/>
      <c r="F48" s="27"/>
      <c r="K48" s="27"/>
      <c r="L48" s="27"/>
    </row>
    <row r="49" spans="3:12" x14ac:dyDescent="0.2">
      <c r="C49" s="27"/>
      <c r="F49" s="27"/>
      <c r="K49" s="27"/>
      <c r="L49" s="27"/>
    </row>
    <row r="50" spans="3:12" x14ac:dyDescent="0.2">
      <c r="C50" s="27"/>
      <c r="F50" s="27"/>
      <c r="K50" s="27"/>
      <c r="L50" s="27"/>
    </row>
    <row r="51" spans="3:12" x14ac:dyDescent="0.2">
      <c r="C51" s="27"/>
      <c r="F51" s="27"/>
      <c r="K51" s="27"/>
      <c r="L51" s="27"/>
    </row>
    <row r="52" spans="3:12" x14ac:dyDescent="0.2">
      <c r="C52" s="27"/>
      <c r="F52" s="27"/>
      <c r="K52" s="27"/>
      <c r="L52" s="27"/>
    </row>
    <row r="53" spans="3:12" x14ac:dyDescent="0.2">
      <c r="C53" s="27"/>
      <c r="F53" s="27"/>
      <c r="K53" s="27"/>
      <c r="L53" s="27"/>
    </row>
    <row r="54" spans="3:12" x14ac:dyDescent="0.2">
      <c r="C54" s="27"/>
      <c r="F54" s="27"/>
      <c r="K54" s="27"/>
      <c r="L54" s="27"/>
    </row>
    <row r="55" spans="3:12" x14ac:dyDescent="0.2">
      <c r="C55" s="27"/>
      <c r="F55" s="27"/>
      <c r="K55" s="27"/>
      <c r="L55" s="27"/>
    </row>
    <row r="56" spans="3:12" x14ac:dyDescent="0.2">
      <c r="C56" s="27"/>
      <c r="F56" s="27"/>
      <c r="K56" s="27"/>
      <c r="L56" s="27"/>
    </row>
    <row r="57" spans="3:12" x14ac:dyDescent="0.2">
      <c r="C57" s="27"/>
      <c r="F57" s="27"/>
      <c r="K57" s="27"/>
      <c r="L57" s="27"/>
    </row>
    <row r="58" spans="3:12" x14ac:dyDescent="0.2">
      <c r="C58" s="27"/>
      <c r="F58" s="27"/>
      <c r="K58" s="27"/>
      <c r="L58" s="27"/>
    </row>
    <row r="59" spans="3:12" x14ac:dyDescent="0.2">
      <c r="C59" s="27"/>
      <c r="F59" s="27"/>
      <c r="K59" s="27"/>
      <c r="L59" s="27"/>
    </row>
    <row r="60" spans="3:12" x14ac:dyDescent="0.2">
      <c r="C60" s="27"/>
      <c r="F60" s="27"/>
      <c r="K60" s="27"/>
      <c r="L60" s="27"/>
    </row>
    <row r="61" spans="3:12" x14ac:dyDescent="0.2">
      <c r="C61" s="27"/>
      <c r="F61" s="27"/>
      <c r="K61" s="27"/>
      <c r="L61" s="27"/>
    </row>
    <row r="62" spans="3:12" x14ac:dyDescent="0.2">
      <c r="C62" s="27"/>
      <c r="F62" s="27"/>
      <c r="K62" s="27"/>
      <c r="L62" s="27"/>
    </row>
    <row r="63" spans="3:12" x14ac:dyDescent="0.2">
      <c r="C63" s="27"/>
      <c r="F63" s="27"/>
      <c r="K63" s="27"/>
      <c r="L63" s="27"/>
    </row>
    <row r="64" spans="3:12" x14ac:dyDescent="0.2">
      <c r="C64" s="27"/>
      <c r="F64" s="27"/>
      <c r="K64" s="27"/>
      <c r="L64" s="27"/>
    </row>
    <row r="65" spans="3:12" x14ac:dyDescent="0.2">
      <c r="C65" s="27"/>
      <c r="F65" s="27"/>
      <c r="K65" s="27"/>
      <c r="L65" s="27"/>
    </row>
    <row r="66" spans="3:12" x14ac:dyDescent="0.2">
      <c r="C66" s="27"/>
      <c r="F66" s="27"/>
      <c r="K66" s="27"/>
      <c r="L66" s="27"/>
    </row>
    <row r="67" spans="3:12" x14ac:dyDescent="0.2">
      <c r="C67" s="27"/>
      <c r="F67" s="27"/>
      <c r="K67" s="27"/>
      <c r="L67" s="27"/>
    </row>
    <row r="68" spans="3:12" x14ac:dyDescent="0.2">
      <c r="C68" s="27"/>
      <c r="F68" s="27"/>
      <c r="K68" s="27"/>
      <c r="L68" s="27"/>
    </row>
    <row r="69" spans="3:12" x14ac:dyDescent="0.2">
      <c r="C69" s="27"/>
      <c r="F69" s="27"/>
      <c r="K69" s="27"/>
      <c r="L69" s="27"/>
    </row>
    <row r="70" spans="3:12" x14ac:dyDescent="0.2">
      <c r="C70" s="27"/>
      <c r="F70" s="27"/>
      <c r="K70" s="27"/>
      <c r="L70" s="27"/>
    </row>
    <row r="71" spans="3:12" x14ac:dyDescent="0.2">
      <c r="C71" s="27"/>
      <c r="F71" s="27"/>
      <c r="K71" s="27"/>
      <c r="L71" s="27"/>
    </row>
    <row r="72" spans="3:12" x14ac:dyDescent="0.2">
      <c r="C72" s="27"/>
      <c r="F72" s="27"/>
      <c r="K72" s="27"/>
      <c r="L72" s="27"/>
    </row>
    <row r="73" spans="3:12" x14ac:dyDescent="0.2">
      <c r="C73" s="27"/>
      <c r="F73" s="27"/>
      <c r="K73" s="27"/>
      <c r="L73" s="27"/>
    </row>
    <row r="74" spans="3:12" x14ac:dyDescent="0.2">
      <c r="C74" s="27"/>
      <c r="F74" s="27"/>
      <c r="K74" s="27"/>
      <c r="L74" s="27"/>
    </row>
    <row r="75" spans="3:12" x14ac:dyDescent="0.2">
      <c r="C75" s="27"/>
      <c r="F75" s="27"/>
      <c r="K75" s="27"/>
      <c r="L75" s="27"/>
    </row>
    <row r="76" spans="3:12" x14ac:dyDescent="0.2">
      <c r="C76" s="27"/>
      <c r="F76" s="27"/>
      <c r="K76" s="27"/>
      <c r="L76" s="27"/>
    </row>
    <row r="77" spans="3:12" x14ac:dyDescent="0.2">
      <c r="C77" s="27"/>
      <c r="F77" s="27"/>
      <c r="K77" s="27"/>
      <c r="L77" s="27"/>
    </row>
    <row r="78" spans="3:12" x14ac:dyDescent="0.2">
      <c r="C78" s="27"/>
      <c r="F78" s="27"/>
      <c r="K78" s="27"/>
      <c r="L78" s="27"/>
    </row>
    <row r="79" spans="3:12" x14ac:dyDescent="0.2">
      <c r="C79" s="27"/>
      <c r="F79" s="27"/>
      <c r="K79" s="27"/>
      <c r="L79" s="27"/>
    </row>
    <row r="80" spans="3:12" x14ac:dyDescent="0.2">
      <c r="C80" s="27"/>
      <c r="F80" s="27"/>
      <c r="K80" s="27"/>
      <c r="L80" s="27"/>
    </row>
    <row r="81" spans="3:12" x14ac:dyDescent="0.2">
      <c r="C81" s="27"/>
      <c r="F81" s="27"/>
      <c r="K81" s="27"/>
      <c r="L81" s="27"/>
    </row>
    <row r="82" spans="3:12" x14ac:dyDescent="0.2">
      <c r="C82" s="27"/>
      <c r="F82" s="27"/>
      <c r="K82" s="27"/>
      <c r="L82" s="27"/>
    </row>
    <row r="83" spans="3:12" x14ac:dyDescent="0.2">
      <c r="C83" s="27"/>
      <c r="F83" s="27"/>
      <c r="K83" s="27"/>
      <c r="L83" s="27"/>
    </row>
    <row r="84" spans="3:12" x14ac:dyDescent="0.2">
      <c r="C84" s="27"/>
      <c r="F84" s="27"/>
      <c r="K84" s="27"/>
      <c r="L84" s="27"/>
    </row>
    <row r="85" spans="3:12" x14ac:dyDescent="0.2">
      <c r="C85" s="27"/>
      <c r="F85" s="27"/>
      <c r="K85" s="27"/>
      <c r="L85" s="27"/>
    </row>
    <row r="86" spans="3:12" x14ac:dyDescent="0.2">
      <c r="C86" s="27"/>
      <c r="F86" s="27"/>
      <c r="K86" s="27"/>
      <c r="L86" s="27"/>
    </row>
    <row r="87" spans="3:12" x14ac:dyDescent="0.2">
      <c r="C87" s="27"/>
      <c r="F87" s="27"/>
      <c r="K87" s="27"/>
      <c r="L87" s="27"/>
    </row>
    <row r="88" spans="3:12" x14ac:dyDescent="0.2">
      <c r="C88" s="27"/>
      <c r="F88" s="27"/>
      <c r="K88" s="27"/>
      <c r="L88" s="27"/>
    </row>
    <row r="89" spans="3:12" x14ac:dyDescent="0.2">
      <c r="C89" s="27"/>
      <c r="F89" s="27"/>
      <c r="K89" s="27"/>
      <c r="L89" s="27"/>
    </row>
    <row r="90" spans="3:12" x14ac:dyDescent="0.2">
      <c r="C90" s="27"/>
      <c r="F90" s="27"/>
      <c r="K90" s="27"/>
      <c r="L90" s="27"/>
    </row>
    <row r="91" spans="3:12" x14ac:dyDescent="0.2">
      <c r="C91" s="27"/>
      <c r="F91" s="27"/>
      <c r="K91" s="27"/>
      <c r="L91" s="27"/>
    </row>
    <row r="92" spans="3:12" x14ac:dyDescent="0.2">
      <c r="C92" s="27"/>
      <c r="F92" s="27"/>
      <c r="K92" s="27"/>
      <c r="L92" s="27"/>
    </row>
    <row r="93" spans="3:12" x14ac:dyDescent="0.2">
      <c r="C93" s="27"/>
      <c r="F93" s="27"/>
      <c r="K93" s="27"/>
      <c r="L93" s="27"/>
    </row>
    <row r="94" spans="3:12" x14ac:dyDescent="0.2">
      <c r="C94" s="27"/>
      <c r="F94" s="27"/>
      <c r="K94" s="27"/>
      <c r="L94" s="27"/>
    </row>
    <row r="95" spans="3:12" x14ac:dyDescent="0.2">
      <c r="C95" s="27"/>
      <c r="F95" s="27"/>
      <c r="K95" s="27"/>
      <c r="L95" s="27"/>
    </row>
    <row r="96" spans="3:12" x14ac:dyDescent="0.2">
      <c r="C96" s="27"/>
      <c r="F96" s="27"/>
      <c r="K96" s="27"/>
      <c r="L96" s="27"/>
    </row>
    <row r="97" spans="3:12" x14ac:dyDescent="0.2">
      <c r="C97" s="27"/>
      <c r="F97" s="27"/>
      <c r="K97" s="27"/>
      <c r="L97" s="27"/>
    </row>
    <row r="98" spans="3:12" x14ac:dyDescent="0.2">
      <c r="C98" s="27"/>
      <c r="F98" s="27"/>
      <c r="K98" s="27"/>
      <c r="L98" s="27"/>
    </row>
    <row r="99" spans="3:12" x14ac:dyDescent="0.2">
      <c r="C99" s="27"/>
      <c r="F99" s="27"/>
      <c r="K99" s="27"/>
      <c r="L99" s="27"/>
    </row>
    <row r="100" spans="3:12" x14ac:dyDescent="0.2">
      <c r="C100" s="27"/>
      <c r="F100" s="27"/>
      <c r="K100" s="27"/>
      <c r="L100" s="27"/>
    </row>
    <row r="101" spans="3:12" x14ac:dyDescent="0.2">
      <c r="C101" s="27"/>
      <c r="F101" s="27"/>
      <c r="K101" s="27"/>
      <c r="L101" s="27"/>
    </row>
    <row r="102" spans="3:12" x14ac:dyDescent="0.2">
      <c r="C102" s="27"/>
      <c r="F102" s="27"/>
      <c r="K102" s="27"/>
      <c r="L102" s="27"/>
    </row>
    <row r="103" spans="3:12" x14ac:dyDescent="0.2">
      <c r="C103" s="27"/>
      <c r="F103" s="27"/>
      <c r="K103" s="27"/>
      <c r="L103" s="27"/>
    </row>
    <row r="104" spans="3:12" x14ac:dyDescent="0.2">
      <c r="C104" s="27"/>
      <c r="F104" s="27"/>
      <c r="K104" s="27"/>
      <c r="L104" s="27"/>
    </row>
    <row r="105" spans="3:12" x14ac:dyDescent="0.2">
      <c r="C105" s="27"/>
      <c r="F105" s="27"/>
      <c r="K105" s="27"/>
      <c r="L105" s="27"/>
    </row>
    <row r="106" spans="3:12" x14ac:dyDescent="0.2">
      <c r="C106" s="27"/>
      <c r="F106" s="27"/>
      <c r="K106" s="27"/>
      <c r="L106" s="27"/>
    </row>
    <row r="107" spans="3:12" x14ac:dyDescent="0.2">
      <c r="C107" s="27"/>
      <c r="F107" s="27"/>
      <c r="K107" s="27"/>
      <c r="L107" s="27"/>
    </row>
    <row r="108" spans="3:12" x14ac:dyDescent="0.2">
      <c r="C108" s="27"/>
      <c r="F108" s="27"/>
      <c r="K108" s="27"/>
      <c r="L108" s="27"/>
    </row>
    <row r="109" spans="3:12" x14ac:dyDescent="0.2">
      <c r="C109" s="27"/>
      <c r="F109" s="27"/>
      <c r="K109" s="27"/>
      <c r="L109" s="27"/>
    </row>
    <row r="110" spans="3:12" x14ac:dyDescent="0.2">
      <c r="C110" s="27"/>
      <c r="F110" s="27"/>
      <c r="K110" s="27"/>
      <c r="L110" s="27"/>
    </row>
    <row r="111" spans="3:12" x14ac:dyDescent="0.2">
      <c r="C111" s="27"/>
      <c r="F111" s="27"/>
      <c r="K111" s="27"/>
      <c r="L111" s="27"/>
    </row>
    <row r="112" spans="3:12" x14ac:dyDescent="0.2">
      <c r="C112" s="27"/>
      <c r="F112" s="27"/>
      <c r="K112" s="27"/>
      <c r="L112" s="27"/>
    </row>
    <row r="113" spans="3:12" x14ac:dyDescent="0.2">
      <c r="C113" s="27"/>
      <c r="F113" s="27"/>
      <c r="K113" s="27"/>
      <c r="L113" s="27"/>
    </row>
    <row r="114" spans="3:12" x14ac:dyDescent="0.2">
      <c r="C114" s="27"/>
      <c r="F114" s="27"/>
      <c r="K114" s="27"/>
      <c r="L114" s="27"/>
    </row>
    <row r="115" spans="3:12" x14ac:dyDescent="0.2">
      <c r="C115" s="27"/>
      <c r="F115" s="27"/>
      <c r="K115" s="27"/>
      <c r="L115" s="27"/>
    </row>
    <row r="116" spans="3:12" x14ac:dyDescent="0.2">
      <c r="C116" s="27"/>
      <c r="F116" s="27"/>
      <c r="K116" s="27"/>
      <c r="L116" s="27"/>
    </row>
    <row r="117" spans="3:12" x14ac:dyDescent="0.2">
      <c r="C117" s="27"/>
      <c r="F117" s="27"/>
      <c r="K117" s="27"/>
      <c r="L117" s="27"/>
    </row>
    <row r="118" spans="3:12" x14ac:dyDescent="0.2">
      <c r="C118" s="27"/>
      <c r="F118" s="27"/>
      <c r="K118" s="27"/>
      <c r="L118" s="27"/>
    </row>
    <row r="119" spans="3:12" x14ac:dyDescent="0.2">
      <c r="C119" s="27"/>
      <c r="F119" s="27"/>
      <c r="K119" s="27"/>
      <c r="L119" s="27"/>
    </row>
    <row r="120" spans="3:12" x14ac:dyDescent="0.2">
      <c r="C120" s="27"/>
      <c r="F120" s="27"/>
      <c r="K120" s="27"/>
      <c r="L120" s="27"/>
    </row>
    <row r="121" spans="3:12" x14ac:dyDescent="0.2">
      <c r="C121" s="27"/>
      <c r="F121" s="27"/>
      <c r="K121" s="27"/>
      <c r="L121" s="27"/>
    </row>
    <row r="122" spans="3:12" x14ac:dyDescent="0.2">
      <c r="C122" s="27"/>
      <c r="F122" s="27"/>
      <c r="K122" s="27"/>
      <c r="L122" s="27"/>
    </row>
    <row r="123" spans="3:12" x14ac:dyDescent="0.2">
      <c r="C123" s="27"/>
      <c r="F123" s="27"/>
      <c r="K123" s="27"/>
      <c r="L123" s="27"/>
    </row>
    <row r="124" spans="3:12" x14ac:dyDescent="0.2">
      <c r="C124" s="27"/>
      <c r="F124" s="27"/>
      <c r="K124" s="27"/>
      <c r="L124" s="27"/>
    </row>
    <row r="125" spans="3:12" x14ac:dyDescent="0.2">
      <c r="C125" s="27"/>
      <c r="F125" s="27"/>
      <c r="K125" s="27"/>
      <c r="L125" s="27"/>
    </row>
    <row r="126" spans="3:12" x14ac:dyDescent="0.2">
      <c r="C126" s="27"/>
      <c r="F126" s="27"/>
      <c r="K126" s="27"/>
      <c r="L126" s="27"/>
    </row>
    <row r="127" spans="3:12" x14ac:dyDescent="0.2">
      <c r="C127" s="27"/>
      <c r="F127" s="27"/>
      <c r="K127" s="27"/>
      <c r="L127" s="27"/>
    </row>
    <row r="128" spans="3:12" x14ac:dyDescent="0.2">
      <c r="C128" s="27"/>
      <c r="F128" s="27"/>
      <c r="K128" s="27"/>
      <c r="L128" s="27"/>
    </row>
    <row r="129" spans="3:12" x14ac:dyDescent="0.2">
      <c r="C129" s="27"/>
      <c r="F129" s="27"/>
      <c r="K129" s="27"/>
      <c r="L129" s="27"/>
    </row>
    <row r="130" spans="3:12" x14ac:dyDescent="0.2">
      <c r="C130" s="27"/>
      <c r="F130" s="27"/>
      <c r="K130" s="27"/>
      <c r="L130" s="27"/>
    </row>
    <row r="131" spans="3:12" x14ac:dyDescent="0.2">
      <c r="C131" s="27"/>
      <c r="F131" s="27"/>
      <c r="K131" s="27"/>
      <c r="L131" s="27"/>
    </row>
    <row r="132" spans="3:12" x14ac:dyDescent="0.2">
      <c r="C132" s="27"/>
      <c r="F132" s="27"/>
      <c r="K132" s="27"/>
      <c r="L132" s="27"/>
    </row>
    <row r="133" spans="3:12" x14ac:dyDescent="0.2">
      <c r="C133" s="27"/>
      <c r="F133" s="27"/>
      <c r="K133" s="27"/>
      <c r="L133" s="27"/>
    </row>
    <row r="134" spans="3:12" x14ac:dyDescent="0.2">
      <c r="C134" s="27"/>
      <c r="F134" s="27"/>
      <c r="K134" s="27"/>
      <c r="L134" s="27"/>
    </row>
    <row r="135" spans="3:12" x14ac:dyDescent="0.2">
      <c r="C135" s="27"/>
      <c r="F135" s="27"/>
      <c r="K135" s="27"/>
      <c r="L135" s="27"/>
    </row>
    <row r="136" spans="3:12" x14ac:dyDescent="0.2">
      <c r="C136" s="27"/>
      <c r="F136" s="27"/>
      <c r="K136" s="27"/>
      <c r="L136" s="27"/>
    </row>
    <row r="137" spans="3:12" x14ac:dyDescent="0.2">
      <c r="C137" s="27"/>
      <c r="F137" s="27"/>
      <c r="K137" s="27"/>
      <c r="L137" s="27"/>
    </row>
    <row r="138" spans="3:12" x14ac:dyDescent="0.2">
      <c r="C138" s="27"/>
      <c r="F138" s="27"/>
      <c r="K138" s="27"/>
      <c r="L138" s="27"/>
    </row>
    <row r="139" spans="3:12" x14ac:dyDescent="0.2">
      <c r="C139" s="27"/>
      <c r="F139" s="27"/>
      <c r="K139" s="27"/>
      <c r="L139" s="27"/>
    </row>
    <row r="140" spans="3:12" x14ac:dyDescent="0.2">
      <c r="C140" s="27"/>
      <c r="F140" s="27"/>
      <c r="K140" s="27"/>
      <c r="L140" s="27"/>
    </row>
    <row r="141" spans="3:12" x14ac:dyDescent="0.2">
      <c r="C141" s="27"/>
      <c r="F141" s="27"/>
      <c r="K141" s="27"/>
      <c r="L141" s="27"/>
    </row>
    <row r="142" spans="3:12" x14ac:dyDescent="0.2">
      <c r="C142" s="27"/>
      <c r="F142" s="27"/>
      <c r="K142" s="27"/>
      <c r="L142" s="27"/>
    </row>
    <row r="143" spans="3:12" x14ac:dyDescent="0.2">
      <c r="C143" s="27"/>
      <c r="F143" s="27"/>
      <c r="K143" s="27"/>
      <c r="L143" s="27"/>
    </row>
    <row r="144" spans="3:12" x14ac:dyDescent="0.2">
      <c r="C144" s="27"/>
      <c r="F144" s="27"/>
      <c r="K144" s="27"/>
      <c r="L144" s="27"/>
    </row>
    <row r="145" spans="3:12" x14ac:dyDescent="0.2">
      <c r="C145" s="27"/>
      <c r="F145" s="27"/>
      <c r="K145" s="27"/>
      <c r="L145" s="27"/>
    </row>
    <row r="146" spans="3:12" x14ac:dyDescent="0.2">
      <c r="C146" s="27"/>
      <c r="F146" s="27"/>
      <c r="K146" s="27"/>
      <c r="L146" s="27"/>
    </row>
    <row r="147" spans="3:12" x14ac:dyDescent="0.2">
      <c r="C147" s="27"/>
      <c r="F147" s="27"/>
      <c r="K147" s="27"/>
      <c r="L147" s="27"/>
    </row>
    <row r="148" spans="3:12" x14ac:dyDescent="0.2">
      <c r="C148" s="27"/>
      <c r="F148" s="27"/>
      <c r="K148" s="27"/>
      <c r="L148" s="27"/>
    </row>
    <row r="149" spans="3:12" x14ac:dyDescent="0.2">
      <c r="C149" s="27"/>
      <c r="F149" s="27"/>
      <c r="K149" s="27"/>
      <c r="L149" s="27"/>
    </row>
    <row r="150" spans="3:12" x14ac:dyDescent="0.2">
      <c r="C150" s="27"/>
      <c r="F150" s="27"/>
      <c r="K150" s="27"/>
      <c r="L150" s="27"/>
    </row>
    <row r="151" spans="3:12" x14ac:dyDescent="0.2">
      <c r="C151" s="27"/>
      <c r="F151" s="27"/>
      <c r="K151" s="27"/>
      <c r="L151" s="27"/>
    </row>
    <row r="152" spans="3:12" x14ac:dyDescent="0.2">
      <c r="C152" s="27"/>
      <c r="F152" s="27"/>
      <c r="K152" s="27"/>
      <c r="L152" s="27"/>
    </row>
    <row r="153" spans="3:12" x14ac:dyDescent="0.2">
      <c r="C153" s="27"/>
      <c r="F153" s="27"/>
      <c r="K153" s="27"/>
      <c r="L153" s="27"/>
    </row>
    <row r="154" spans="3:12" x14ac:dyDescent="0.2">
      <c r="C154" s="27"/>
      <c r="F154" s="27"/>
      <c r="K154" s="27"/>
      <c r="L154" s="27"/>
    </row>
    <row r="155" spans="3:12" x14ac:dyDescent="0.2">
      <c r="C155" s="27"/>
      <c r="F155" s="27"/>
      <c r="K155" s="27"/>
      <c r="L155" s="27"/>
    </row>
    <row r="156" spans="3:12" x14ac:dyDescent="0.2">
      <c r="C156" s="27"/>
      <c r="F156" s="27"/>
      <c r="K156" s="27"/>
      <c r="L156" s="27"/>
    </row>
    <row r="157" spans="3:12" x14ac:dyDescent="0.2">
      <c r="C157" s="27"/>
      <c r="F157" s="27"/>
      <c r="K157" s="27"/>
      <c r="L157" s="27"/>
    </row>
    <row r="158" spans="3:12" x14ac:dyDescent="0.2">
      <c r="C158" s="27"/>
      <c r="F158" s="27"/>
      <c r="K158" s="27"/>
      <c r="L158" s="27"/>
    </row>
    <row r="159" spans="3:12" x14ac:dyDescent="0.2">
      <c r="C159" s="27"/>
      <c r="F159" s="27"/>
      <c r="K159" s="27"/>
      <c r="L159" s="27"/>
    </row>
    <row r="160" spans="3:12" x14ac:dyDescent="0.2">
      <c r="C160" s="27"/>
      <c r="F160" s="27"/>
      <c r="K160" s="27"/>
      <c r="L160" s="27"/>
    </row>
    <row r="161" spans="3:12" x14ac:dyDescent="0.2">
      <c r="C161" s="27"/>
      <c r="F161" s="27"/>
      <c r="K161" s="27"/>
      <c r="L161" s="27"/>
    </row>
    <row r="162" spans="3:12" x14ac:dyDescent="0.2">
      <c r="C162" s="27"/>
      <c r="F162" s="27"/>
      <c r="K162" s="27"/>
      <c r="L162" s="27"/>
    </row>
    <row r="163" spans="3:12" x14ac:dyDescent="0.2">
      <c r="C163" s="27"/>
      <c r="F163" s="27"/>
      <c r="K163" s="27"/>
      <c r="L163" s="27"/>
    </row>
    <row r="164" spans="3:12" x14ac:dyDescent="0.2">
      <c r="C164" s="27"/>
      <c r="F164" s="27"/>
      <c r="K164" s="27"/>
      <c r="L164" s="27"/>
    </row>
    <row r="165" spans="3:12" x14ac:dyDescent="0.2">
      <c r="C165" s="27"/>
      <c r="F165" s="27"/>
      <c r="K165" s="27"/>
      <c r="L165" s="27"/>
    </row>
    <row r="166" spans="3:12" x14ac:dyDescent="0.2">
      <c r="C166" s="27"/>
      <c r="F166" s="27"/>
      <c r="K166" s="27"/>
      <c r="L166" s="27"/>
    </row>
    <row r="167" spans="3:12" x14ac:dyDescent="0.2">
      <c r="C167" s="27"/>
      <c r="F167" s="27"/>
      <c r="K167" s="27"/>
      <c r="L167" s="27"/>
    </row>
    <row r="168" spans="3:12" x14ac:dyDescent="0.2">
      <c r="C168" s="27"/>
      <c r="F168" s="27"/>
      <c r="K168" s="27"/>
      <c r="L168" s="27"/>
    </row>
    <row r="169" spans="3:12" x14ac:dyDescent="0.2">
      <c r="C169" s="27"/>
      <c r="F169" s="27"/>
      <c r="K169" s="27"/>
      <c r="L169" s="27"/>
    </row>
    <row r="170" spans="3:12" x14ac:dyDescent="0.2">
      <c r="C170" s="27"/>
      <c r="F170" s="27"/>
      <c r="K170" s="27"/>
      <c r="L170" s="27"/>
    </row>
    <row r="171" spans="3:12" x14ac:dyDescent="0.2">
      <c r="C171" s="27"/>
      <c r="F171" s="27"/>
      <c r="K171" s="27"/>
      <c r="L171" s="27"/>
    </row>
    <row r="172" spans="3:12" x14ac:dyDescent="0.2">
      <c r="C172" s="27"/>
      <c r="F172" s="27"/>
      <c r="K172" s="27"/>
      <c r="L172" s="27"/>
    </row>
    <row r="173" spans="3:12" x14ac:dyDescent="0.2">
      <c r="C173" s="27"/>
      <c r="F173" s="27"/>
      <c r="K173" s="27"/>
      <c r="L173" s="27"/>
    </row>
    <row r="174" spans="3:12" x14ac:dyDescent="0.2">
      <c r="C174" s="27"/>
      <c r="F174" s="27"/>
      <c r="K174" s="27"/>
      <c r="L174" s="27"/>
    </row>
    <row r="175" spans="3:12" x14ac:dyDescent="0.2">
      <c r="C175" s="27"/>
      <c r="F175" s="27"/>
      <c r="K175" s="27"/>
      <c r="L175" s="27"/>
    </row>
    <row r="176" spans="3:12" x14ac:dyDescent="0.2">
      <c r="C176" s="27"/>
      <c r="F176" s="27"/>
      <c r="K176" s="27"/>
      <c r="L176" s="27"/>
    </row>
    <row r="177" spans="3:12" x14ac:dyDescent="0.2">
      <c r="C177" s="27"/>
      <c r="F177" s="27"/>
      <c r="K177" s="27"/>
      <c r="L177" s="27"/>
    </row>
    <row r="178" spans="3:12" x14ac:dyDescent="0.2">
      <c r="C178" s="27"/>
      <c r="F178" s="27"/>
      <c r="K178" s="27"/>
      <c r="L178" s="27"/>
    </row>
    <row r="179" spans="3:12" x14ac:dyDescent="0.2">
      <c r="C179" s="27"/>
      <c r="F179" s="27"/>
      <c r="K179" s="27"/>
      <c r="L179" s="27"/>
    </row>
    <row r="180" spans="3:12" x14ac:dyDescent="0.2">
      <c r="C180" s="27"/>
      <c r="F180" s="27"/>
      <c r="K180" s="27"/>
      <c r="L180" s="27"/>
    </row>
    <row r="181" spans="3:12" x14ac:dyDescent="0.2">
      <c r="C181" s="27"/>
      <c r="F181" s="27"/>
      <c r="K181" s="27"/>
      <c r="L181" s="27"/>
    </row>
    <row r="182" spans="3:12" x14ac:dyDescent="0.2">
      <c r="C182" s="27"/>
      <c r="F182" s="27"/>
      <c r="K182" s="27"/>
      <c r="L182" s="27"/>
    </row>
    <row r="183" spans="3:12" x14ac:dyDescent="0.2">
      <c r="C183" s="27"/>
      <c r="F183" s="27"/>
      <c r="K183" s="27"/>
      <c r="L183" s="27"/>
    </row>
    <row r="184" spans="3:12" x14ac:dyDescent="0.2">
      <c r="C184" s="27"/>
      <c r="F184" s="27"/>
      <c r="K184" s="27"/>
      <c r="L184" s="27"/>
    </row>
    <row r="185" spans="3:12" x14ac:dyDescent="0.2">
      <c r="C185" s="27"/>
      <c r="F185" s="27"/>
      <c r="K185" s="27"/>
      <c r="L185" s="27"/>
    </row>
    <row r="186" spans="3:12" x14ac:dyDescent="0.2">
      <c r="C186" s="27"/>
      <c r="F186" s="27"/>
      <c r="K186" s="27"/>
      <c r="L186" s="27"/>
    </row>
    <row r="187" spans="3:12" x14ac:dyDescent="0.2">
      <c r="C187" s="27"/>
      <c r="F187" s="27"/>
      <c r="K187" s="27"/>
      <c r="L187" s="27"/>
    </row>
    <row r="188" spans="3:12" x14ac:dyDescent="0.2">
      <c r="C188" s="27"/>
      <c r="F188" s="27"/>
      <c r="K188" s="27"/>
      <c r="L188" s="27"/>
    </row>
    <row r="189" spans="3:12" x14ac:dyDescent="0.2">
      <c r="C189" s="27"/>
      <c r="F189" s="27"/>
      <c r="K189" s="27"/>
      <c r="L189" s="27"/>
    </row>
    <row r="190" spans="3:12" x14ac:dyDescent="0.2">
      <c r="C190" s="27"/>
      <c r="F190" s="27"/>
      <c r="K190" s="27"/>
      <c r="L190" s="27"/>
    </row>
    <row r="191" spans="3:12" x14ac:dyDescent="0.2">
      <c r="C191" s="27"/>
      <c r="F191" s="27"/>
      <c r="K191" s="27"/>
      <c r="L191" s="27"/>
    </row>
    <row r="192" spans="3:12" x14ac:dyDescent="0.2">
      <c r="C192" s="27"/>
      <c r="F192" s="27"/>
      <c r="K192" s="27"/>
      <c r="L192" s="27"/>
    </row>
    <row r="193" spans="3:12" x14ac:dyDescent="0.2">
      <c r="C193" s="27"/>
      <c r="F193" s="27"/>
      <c r="K193" s="27"/>
      <c r="L193" s="27"/>
    </row>
    <row r="194" spans="3:12" x14ac:dyDescent="0.2">
      <c r="C194" s="27"/>
      <c r="F194" s="27"/>
      <c r="K194" s="27"/>
      <c r="L194" s="27"/>
    </row>
    <row r="195" spans="3:12" x14ac:dyDescent="0.2">
      <c r="C195" s="27"/>
      <c r="F195" s="27"/>
      <c r="K195" s="27"/>
      <c r="L195" s="27"/>
    </row>
    <row r="196" spans="3:12" x14ac:dyDescent="0.2">
      <c r="C196" s="27"/>
      <c r="F196" s="27"/>
      <c r="K196" s="27"/>
      <c r="L196" s="27"/>
    </row>
    <row r="197" spans="3:12" x14ac:dyDescent="0.2">
      <c r="C197" s="27"/>
      <c r="F197" s="27"/>
      <c r="K197" s="27"/>
      <c r="L197" s="27"/>
    </row>
    <row r="198" spans="3:12" x14ac:dyDescent="0.2">
      <c r="C198" s="27"/>
      <c r="F198" s="27"/>
      <c r="K198" s="27"/>
      <c r="L198" s="27"/>
    </row>
    <row r="199" spans="3:12" x14ac:dyDescent="0.2">
      <c r="C199" s="27"/>
      <c r="F199" s="27"/>
      <c r="K199" s="27"/>
      <c r="L199" s="27"/>
    </row>
    <row r="200" spans="3:12" x14ac:dyDescent="0.2">
      <c r="C200" s="27"/>
      <c r="F200" s="27"/>
      <c r="K200" s="27"/>
      <c r="L200" s="27"/>
    </row>
    <row r="201" spans="3:12" x14ac:dyDescent="0.2">
      <c r="C201" s="27"/>
      <c r="F201" s="27"/>
      <c r="K201" s="27"/>
      <c r="L201" s="27"/>
    </row>
    <row r="202" spans="3:12" x14ac:dyDescent="0.2">
      <c r="C202" s="27"/>
      <c r="F202" s="27"/>
      <c r="K202" s="27"/>
      <c r="L202" s="27"/>
    </row>
    <row r="203" spans="3:12" x14ac:dyDescent="0.2">
      <c r="C203" s="27"/>
      <c r="F203" s="27"/>
      <c r="K203" s="27"/>
      <c r="L203" s="27"/>
    </row>
    <row r="204" spans="3:12" x14ac:dyDescent="0.2">
      <c r="C204" s="27"/>
      <c r="F204" s="27"/>
      <c r="K204" s="27"/>
      <c r="L204" s="27"/>
    </row>
    <row r="205" spans="3:12" x14ac:dyDescent="0.2">
      <c r="C205" s="27"/>
      <c r="F205" s="27"/>
      <c r="K205" s="27"/>
      <c r="L205" s="27"/>
    </row>
    <row r="206" spans="3:12" x14ac:dyDescent="0.2">
      <c r="C206" s="27"/>
      <c r="F206" s="27"/>
      <c r="K206" s="27"/>
      <c r="L206" s="27"/>
    </row>
    <row r="207" spans="3:12" x14ac:dyDescent="0.2">
      <c r="C207" s="27"/>
      <c r="F207" s="27"/>
      <c r="K207" s="27"/>
      <c r="L207" s="27"/>
    </row>
    <row r="208" spans="3:12" x14ac:dyDescent="0.2">
      <c r="C208" s="27"/>
      <c r="F208" s="27"/>
      <c r="K208" s="27"/>
      <c r="L208" s="27"/>
    </row>
    <row r="209" spans="3:12" x14ac:dyDescent="0.2">
      <c r="C209" s="27"/>
      <c r="F209" s="27"/>
      <c r="K209" s="27"/>
      <c r="L209" s="27"/>
    </row>
    <row r="210" spans="3:12" x14ac:dyDescent="0.2">
      <c r="C210" s="27"/>
      <c r="F210" s="27"/>
      <c r="K210" s="27"/>
      <c r="L210" s="27"/>
    </row>
    <row r="211" spans="3:12" x14ac:dyDescent="0.2">
      <c r="C211" s="27"/>
      <c r="F211" s="27"/>
      <c r="K211" s="27"/>
      <c r="L211" s="27"/>
    </row>
    <row r="212" spans="3:12" x14ac:dyDescent="0.2">
      <c r="C212" s="27"/>
      <c r="F212" s="27"/>
      <c r="K212" s="27"/>
      <c r="L212" s="27"/>
    </row>
    <row r="213" spans="3:12" x14ac:dyDescent="0.2">
      <c r="C213" s="27"/>
      <c r="F213" s="27"/>
      <c r="K213" s="27"/>
      <c r="L213" s="27"/>
    </row>
    <row r="214" spans="3:12" x14ac:dyDescent="0.2">
      <c r="C214" s="27"/>
      <c r="F214" s="27"/>
      <c r="K214" s="27"/>
      <c r="L214" s="27"/>
    </row>
    <row r="215" spans="3:12" x14ac:dyDescent="0.2">
      <c r="C215" s="27"/>
      <c r="F215" s="27"/>
      <c r="K215" s="27"/>
      <c r="L215" s="27"/>
    </row>
    <row r="216" spans="3:12" x14ac:dyDescent="0.2">
      <c r="C216" s="27"/>
      <c r="F216" s="27"/>
      <c r="K216" s="27"/>
      <c r="L216" s="27"/>
    </row>
    <row r="217" spans="3:12" x14ac:dyDescent="0.2">
      <c r="C217" s="27"/>
      <c r="F217" s="27"/>
      <c r="K217" s="27"/>
      <c r="L217" s="27"/>
    </row>
    <row r="218" spans="3:12" x14ac:dyDescent="0.2">
      <c r="C218" s="27"/>
      <c r="F218" s="27"/>
      <c r="K218" s="27"/>
      <c r="L218" s="27"/>
    </row>
    <row r="219" spans="3:12" x14ac:dyDescent="0.2">
      <c r="C219" s="27"/>
      <c r="F219" s="27"/>
      <c r="K219" s="27"/>
      <c r="L219" s="27"/>
    </row>
    <row r="220" spans="3:12" x14ac:dyDescent="0.2">
      <c r="C220" s="27"/>
      <c r="F220" s="27"/>
      <c r="K220" s="27"/>
      <c r="L220" s="27"/>
    </row>
    <row r="221" spans="3:12" x14ac:dyDescent="0.2">
      <c r="C221" s="27"/>
      <c r="F221" s="27"/>
      <c r="K221" s="27"/>
      <c r="L221" s="27"/>
    </row>
    <row r="222" spans="3:12" x14ac:dyDescent="0.2">
      <c r="C222" s="27"/>
      <c r="F222" s="27"/>
      <c r="K222" s="27"/>
      <c r="L222" s="27"/>
    </row>
    <row r="223" spans="3:12" x14ac:dyDescent="0.2">
      <c r="C223" s="27"/>
      <c r="F223" s="27"/>
      <c r="K223" s="27"/>
      <c r="L223" s="27"/>
    </row>
    <row r="224" spans="3:12" x14ac:dyDescent="0.2">
      <c r="C224" s="27"/>
      <c r="F224" s="27"/>
      <c r="K224" s="27"/>
      <c r="L224" s="27"/>
    </row>
    <row r="225" spans="3:12" x14ac:dyDescent="0.2">
      <c r="C225" s="27"/>
      <c r="F225" s="27"/>
      <c r="K225" s="27"/>
      <c r="L225" s="27"/>
    </row>
    <row r="226" spans="3:12" x14ac:dyDescent="0.2">
      <c r="C226" s="27"/>
      <c r="F226" s="27"/>
      <c r="K226" s="27"/>
      <c r="L226" s="27"/>
    </row>
    <row r="227" spans="3:12" x14ac:dyDescent="0.2">
      <c r="C227" s="27"/>
      <c r="F227" s="27"/>
      <c r="K227" s="27"/>
      <c r="L227" s="27"/>
    </row>
    <row r="228" spans="3:12" x14ac:dyDescent="0.2">
      <c r="C228" s="27"/>
      <c r="F228" s="27"/>
      <c r="K228" s="27"/>
      <c r="L228" s="27"/>
    </row>
    <row r="229" spans="3:12" x14ac:dyDescent="0.2">
      <c r="C229" s="27"/>
      <c r="F229" s="27"/>
      <c r="K229" s="27"/>
      <c r="L229" s="27"/>
    </row>
    <row r="230" spans="3:12" x14ac:dyDescent="0.2">
      <c r="C230" s="27"/>
      <c r="F230" s="27"/>
      <c r="K230" s="27"/>
      <c r="L230" s="27"/>
    </row>
    <row r="231" spans="3:12" x14ac:dyDescent="0.2">
      <c r="C231" s="27"/>
      <c r="F231" s="27"/>
      <c r="K231" s="27"/>
      <c r="L231" s="27"/>
    </row>
    <row r="232" spans="3:12" x14ac:dyDescent="0.2">
      <c r="C232" s="27"/>
      <c r="F232" s="27"/>
      <c r="K232" s="27"/>
      <c r="L232" s="27"/>
    </row>
    <row r="233" spans="3:12" x14ac:dyDescent="0.2">
      <c r="C233" s="27"/>
      <c r="F233" s="27"/>
      <c r="K233" s="27"/>
      <c r="L233" s="27"/>
    </row>
    <row r="234" spans="3:12" x14ac:dyDescent="0.2">
      <c r="C234" s="27"/>
      <c r="F234" s="27"/>
      <c r="K234" s="27"/>
      <c r="L234" s="27"/>
    </row>
    <row r="235" spans="3:12" x14ac:dyDescent="0.2">
      <c r="C235" s="27"/>
      <c r="F235" s="27"/>
      <c r="K235" s="27"/>
      <c r="L235" s="27"/>
    </row>
    <row r="236" spans="3:12" x14ac:dyDescent="0.2">
      <c r="C236" s="27"/>
      <c r="F236" s="27"/>
      <c r="K236" s="27"/>
      <c r="L236" s="27"/>
    </row>
    <row r="237" spans="3:12" x14ac:dyDescent="0.2">
      <c r="C237" s="27"/>
      <c r="F237" s="27"/>
      <c r="K237" s="27"/>
      <c r="L237" s="27"/>
    </row>
    <row r="238" spans="3:12" x14ac:dyDescent="0.2">
      <c r="C238" s="27"/>
      <c r="F238" s="27"/>
      <c r="K238" s="27"/>
      <c r="L238" s="27"/>
    </row>
    <row r="239" spans="3:12" x14ac:dyDescent="0.2">
      <c r="C239" s="27"/>
      <c r="F239" s="27"/>
      <c r="K239" s="27"/>
      <c r="L239" s="27"/>
    </row>
    <row r="240" spans="3:12" x14ac:dyDescent="0.2">
      <c r="C240" s="27"/>
      <c r="F240" s="27"/>
      <c r="K240" s="27"/>
      <c r="L240" s="27"/>
    </row>
    <row r="241" spans="3:12" x14ac:dyDescent="0.2">
      <c r="C241" s="27"/>
      <c r="F241" s="27"/>
      <c r="K241" s="27"/>
      <c r="L241" s="27"/>
    </row>
    <row r="242" spans="3:12" x14ac:dyDescent="0.2">
      <c r="C242" s="27"/>
      <c r="F242" s="27"/>
      <c r="K242" s="27"/>
      <c r="L242" s="27"/>
    </row>
    <row r="243" spans="3:12" x14ac:dyDescent="0.2">
      <c r="C243" s="27"/>
      <c r="F243" s="27"/>
      <c r="K243" s="27"/>
      <c r="L243" s="27"/>
    </row>
    <row r="244" spans="3:12" x14ac:dyDescent="0.2">
      <c r="C244" s="27"/>
      <c r="F244" s="27"/>
      <c r="K244" s="27"/>
      <c r="L244" s="27"/>
    </row>
  </sheetData>
  <conditionalFormatting sqref="G2:K8">
    <cfRule type="dataBar" priority="710">
      <dataBar>
        <cfvo type="min"/>
        <cfvo type="max"/>
        <color rgb="FFFFB628"/>
      </dataBar>
      <extLst>
        <ext xmlns:x14="http://schemas.microsoft.com/office/spreadsheetml/2009/9/main" uri="{B025F937-C7B1-47D3-B67F-A62EFF666E3E}">
          <x14:id>{EA852ECC-B7A3-42F5-BE42-993BD15CC836}</x14:id>
        </ext>
      </extLst>
    </cfRule>
  </conditionalFormatting>
  <conditionalFormatting sqref="L2:L8">
    <cfRule type="dataBar" priority="713">
      <dataBar>
        <cfvo type="min"/>
        <cfvo type="max"/>
        <color rgb="FF3FCDFF"/>
      </dataBar>
      <extLst>
        <ext xmlns:x14="http://schemas.microsoft.com/office/spreadsheetml/2009/9/main" uri="{B025F937-C7B1-47D3-B67F-A62EFF666E3E}">
          <x14:id>{D934075A-A01F-468D-83EE-A1B2A163E577}</x14:id>
        </ext>
      </extLst>
    </cfRule>
  </conditionalFormatting>
  <conditionalFormatting sqref="D2:D11">
    <cfRule type="dataBar" priority="1329">
      <dataBar>
        <cfvo type="min"/>
        <cfvo type="max"/>
        <color rgb="FFD6007B"/>
      </dataBar>
      <extLst>
        <ext xmlns:x14="http://schemas.microsoft.com/office/spreadsheetml/2009/9/main" uri="{B025F937-C7B1-47D3-B67F-A62EFF666E3E}">
          <x14:id>{0692D0AF-C330-40EE-B4CF-A2D645F73DAA}</x14:id>
        </ext>
      </extLst>
    </cfRule>
  </conditionalFormatting>
  <conditionalFormatting sqref="G9:K11">
    <cfRule type="dataBar" priority="1330">
      <dataBar>
        <cfvo type="min"/>
        <cfvo type="max"/>
        <color rgb="FFFFB628"/>
      </dataBar>
      <extLst>
        <ext xmlns:x14="http://schemas.microsoft.com/office/spreadsheetml/2009/9/main" uri="{B025F937-C7B1-47D3-B67F-A62EFF666E3E}">
          <x14:id>{392F15EB-30F3-4679-8DD3-3A094149EB04}</x14:id>
        </ext>
      </extLst>
    </cfRule>
  </conditionalFormatting>
  <conditionalFormatting sqref="L9:L11">
    <cfRule type="dataBar" priority="1331">
      <dataBar>
        <cfvo type="min"/>
        <cfvo type="max"/>
        <color rgb="FF3FCDFF"/>
      </dataBar>
      <extLst>
        <ext xmlns:x14="http://schemas.microsoft.com/office/spreadsheetml/2009/9/main" uri="{B025F937-C7B1-47D3-B67F-A62EFF666E3E}">
          <x14:id>{6580BFDB-8576-4C13-84CC-18B8D6D3C230}</x14:id>
        </ext>
      </extLst>
    </cfRule>
  </conditionalFormatting>
  <conditionalFormatting sqref="L16:P22">
    <cfRule type="dataBar" priority="1">
      <dataBar>
        <cfvo type="min"/>
        <cfvo type="max"/>
        <color rgb="FFFFB628"/>
      </dataBar>
      <extLst>
        <ext xmlns:x14="http://schemas.microsoft.com/office/spreadsheetml/2009/9/main" uri="{B025F937-C7B1-47D3-B67F-A62EFF666E3E}">
          <x14:id>{078295D1-35CD-D04E-A02E-C496CCFAA555}</x14:id>
        </ext>
      </extLst>
    </cfRule>
  </conditionalFormatting>
  <conditionalFormatting sqref="Q16:Q22">
    <cfRule type="dataBar" priority="2">
      <dataBar>
        <cfvo type="min"/>
        <cfvo type="max"/>
        <color rgb="FF3FCDFF"/>
      </dataBar>
      <extLst>
        <ext xmlns:x14="http://schemas.microsoft.com/office/spreadsheetml/2009/9/main" uri="{B025F937-C7B1-47D3-B67F-A62EFF666E3E}">
          <x14:id>{6E95FB54-970A-CB43-916C-2A6BDB0C681D}</x14:id>
        </ext>
      </extLst>
    </cfRule>
  </conditionalFormatting>
  <conditionalFormatting sqref="K16:K25">
    <cfRule type="dataBar" priority="3">
      <dataBar>
        <cfvo type="min"/>
        <cfvo type="max"/>
        <color rgb="FFD6007B"/>
      </dataBar>
      <extLst>
        <ext xmlns:x14="http://schemas.microsoft.com/office/spreadsheetml/2009/9/main" uri="{B025F937-C7B1-47D3-B67F-A62EFF666E3E}">
          <x14:id>{209A1327-1B57-A14C-8AD1-45B63D331CE2}</x14:id>
        </ext>
      </extLst>
    </cfRule>
  </conditionalFormatting>
  <conditionalFormatting sqref="L23:P25">
    <cfRule type="dataBar" priority="4">
      <dataBar>
        <cfvo type="min"/>
        <cfvo type="max"/>
        <color rgb="FFFFB628"/>
      </dataBar>
      <extLst>
        <ext xmlns:x14="http://schemas.microsoft.com/office/spreadsheetml/2009/9/main" uri="{B025F937-C7B1-47D3-B67F-A62EFF666E3E}">
          <x14:id>{4AEC11F9-C778-7146-9908-E94C2F6B948F}</x14:id>
        </ext>
      </extLst>
    </cfRule>
  </conditionalFormatting>
  <conditionalFormatting sqref="Q23:Q25">
    <cfRule type="dataBar" priority="5">
      <dataBar>
        <cfvo type="min"/>
        <cfvo type="max"/>
        <color rgb="FF3FCDFF"/>
      </dataBar>
      <extLst>
        <ext xmlns:x14="http://schemas.microsoft.com/office/spreadsheetml/2009/9/main" uri="{B025F937-C7B1-47D3-B67F-A62EFF666E3E}">
          <x14:id>{87137587-B409-C342-A249-DABFA989770B}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A852ECC-B7A3-42F5-BE42-993BD15CC836}">
            <x14:dataBar minLength="0" maxLength="100" gradient="0">
              <x14:cfvo type="autoMin"/>
              <x14:cfvo type="autoMax"/>
              <x14:negativeFillColor rgb="FFFF0000"/>
              <x14:axisColor rgb="FF000000"/>
            </x14:dataBar>
          </x14:cfRule>
          <xm:sqref>G2:K8</xm:sqref>
        </x14:conditionalFormatting>
        <x14:conditionalFormatting xmlns:xm="http://schemas.microsoft.com/office/excel/2006/main">
          <x14:cfRule type="dataBar" id="{D934075A-A01F-468D-83EE-A1B2A163E577}">
            <x14:dataBar minLength="0" maxLength="100" gradient="0">
              <x14:cfvo type="autoMin"/>
              <x14:cfvo type="autoMax"/>
              <x14:negativeFillColor rgb="FFFF0000"/>
              <x14:axisColor rgb="FF000000"/>
            </x14:dataBar>
          </x14:cfRule>
          <xm:sqref>L2:L8</xm:sqref>
        </x14:conditionalFormatting>
        <x14:conditionalFormatting xmlns:xm="http://schemas.microsoft.com/office/excel/2006/main">
          <x14:cfRule type="dataBar" id="{0692D0AF-C330-40EE-B4CF-A2D645F73DAA}">
            <x14:dataBar minLength="0" maxLength="100" border="1" negativeBarBorderColorSameAsPositive="0">
              <x14:cfvo type="autoMin"/>
              <x14:cfvo type="autoMax"/>
              <x14:borderColor rgb="FFD6007B"/>
              <x14:negativeFillColor rgb="FFFF0000"/>
              <x14:negativeBorderColor rgb="FFFF0000"/>
              <x14:axisColor rgb="FF000000"/>
            </x14:dataBar>
          </x14:cfRule>
          <xm:sqref>D2:D11</xm:sqref>
        </x14:conditionalFormatting>
        <x14:conditionalFormatting xmlns:xm="http://schemas.microsoft.com/office/excel/2006/main">
          <x14:cfRule type="dataBar" id="{392F15EB-30F3-4679-8DD3-3A094149EB04}">
            <x14:dataBar minLength="0" maxLength="100" gradient="0">
              <x14:cfvo type="autoMin"/>
              <x14:cfvo type="autoMax"/>
              <x14:negativeFillColor rgb="FFFF0000"/>
              <x14:axisColor rgb="FF000000"/>
            </x14:dataBar>
          </x14:cfRule>
          <xm:sqref>G9:K11</xm:sqref>
        </x14:conditionalFormatting>
        <x14:conditionalFormatting xmlns:xm="http://schemas.microsoft.com/office/excel/2006/main">
          <x14:cfRule type="dataBar" id="{6580BFDB-8576-4C13-84CC-18B8D6D3C230}">
            <x14:dataBar minLength="0" maxLength="100" gradient="0">
              <x14:cfvo type="autoMin"/>
              <x14:cfvo type="autoMax"/>
              <x14:negativeFillColor rgb="FFFF0000"/>
              <x14:axisColor rgb="FF000000"/>
            </x14:dataBar>
          </x14:cfRule>
          <xm:sqref>L9:L11</xm:sqref>
        </x14:conditionalFormatting>
        <x14:conditionalFormatting xmlns:xm="http://schemas.microsoft.com/office/excel/2006/main">
          <x14:cfRule type="dataBar" id="{078295D1-35CD-D04E-A02E-C496CCFAA555}">
            <x14:dataBar minLength="0" maxLength="100" gradient="0">
              <x14:cfvo type="autoMin"/>
              <x14:cfvo type="autoMax"/>
              <x14:negativeFillColor rgb="FFFF0000"/>
              <x14:axisColor rgb="FF000000"/>
            </x14:dataBar>
          </x14:cfRule>
          <xm:sqref>L16:P22</xm:sqref>
        </x14:conditionalFormatting>
        <x14:conditionalFormatting xmlns:xm="http://schemas.microsoft.com/office/excel/2006/main">
          <x14:cfRule type="dataBar" id="{6E95FB54-970A-CB43-916C-2A6BDB0C681D}">
            <x14:dataBar minLength="0" maxLength="100" gradient="0">
              <x14:cfvo type="autoMin"/>
              <x14:cfvo type="autoMax"/>
              <x14:negativeFillColor rgb="FFFF0000"/>
              <x14:axisColor rgb="FF000000"/>
            </x14:dataBar>
          </x14:cfRule>
          <xm:sqref>Q16:Q22</xm:sqref>
        </x14:conditionalFormatting>
        <x14:conditionalFormatting xmlns:xm="http://schemas.microsoft.com/office/excel/2006/main">
          <x14:cfRule type="dataBar" id="{209A1327-1B57-A14C-8AD1-45B63D331CE2}">
            <x14:dataBar minLength="0" maxLength="100" border="1" negativeBarBorderColorSameAsPositive="0">
              <x14:cfvo type="autoMin"/>
              <x14:cfvo type="autoMax"/>
              <x14:borderColor rgb="FFD6007B"/>
              <x14:negativeFillColor rgb="FFFF0000"/>
              <x14:negativeBorderColor rgb="FFFF0000"/>
              <x14:axisColor rgb="FF000000"/>
            </x14:dataBar>
          </x14:cfRule>
          <xm:sqref>K16:K25</xm:sqref>
        </x14:conditionalFormatting>
        <x14:conditionalFormatting xmlns:xm="http://schemas.microsoft.com/office/excel/2006/main">
          <x14:cfRule type="dataBar" id="{4AEC11F9-C778-7146-9908-E94C2F6B948F}">
            <x14:dataBar minLength="0" maxLength="100" gradient="0">
              <x14:cfvo type="autoMin"/>
              <x14:cfvo type="autoMax"/>
              <x14:negativeFillColor rgb="FFFF0000"/>
              <x14:axisColor rgb="FF000000"/>
            </x14:dataBar>
          </x14:cfRule>
          <xm:sqref>L23:P25</xm:sqref>
        </x14:conditionalFormatting>
        <x14:conditionalFormatting xmlns:xm="http://schemas.microsoft.com/office/excel/2006/main">
          <x14:cfRule type="dataBar" id="{87137587-B409-C342-A249-DABFA989770B}">
            <x14:dataBar minLength="0" maxLength="100" gradient="0">
              <x14:cfvo type="autoMin"/>
              <x14:cfvo type="autoMax"/>
              <x14:negativeFillColor rgb="FFFF0000"/>
              <x14:axisColor rgb="FF000000"/>
            </x14:dataBar>
          </x14:cfRule>
          <xm:sqref>Q23:Q25</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1A828"/>
  </sheetPr>
  <dimension ref="A1:M3"/>
  <sheetViews>
    <sheetView workbookViewId="0">
      <selection activeCell="M40" sqref="M40"/>
    </sheetView>
  </sheetViews>
  <sheetFormatPr baseColWidth="10" defaultColWidth="9.1640625" defaultRowHeight="15" x14ac:dyDescent="0.2"/>
  <cols>
    <col min="1" max="1" width="15.5" style="135" customWidth="1"/>
    <col min="2" max="2" width="23.83203125" style="103" bestFit="1" customWidth="1"/>
    <col min="3" max="3" width="10.33203125" style="135" customWidth="1"/>
    <col min="4" max="4" width="10.33203125" style="27" bestFit="1" customWidth="1"/>
    <col min="5" max="5" width="18.5" style="103" customWidth="1"/>
    <col min="6" max="6" width="1.83203125" style="136" customWidth="1"/>
    <col min="7" max="10" width="6.1640625" style="27" customWidth="1"/>
    <col min="11" max="11" width="6.1640625" style="134" customWidth="1"/>
    <col min="12" max="12" width="7" style="134" customWidth="1"/>
    <col min="13" max="13" width="42.6640625" style="133" customWidth="1"/>
    <col min="14" max="16384" width="9.1640625" style="26"/>
  </cols>
  <sheetData>
    <row r="1" spans="1:13" s="159" customFormat="1" ht="16" x14ac:dyDescent="0.2">
      <c r="A1" s="169" t="s">
        <v>0</v>
      </c>
      <c r="B1" s="168" t="s">
        <v>1</v>
      </c>
      <c r="C1" s="167" t="s">
        <v>58</v>
      </c>
      <c r="D1" s="166" t="s">
        <v>304</v>
      </c>
      <c r="E1" s="165" t="s">
        <v>57</v>
      </c>
      <c r="F1" s="164"/>
      <c r="G1" s="163" t="s">
        <v>64</v>
      </c>
      <c r="H1" s="163" t="s">
        <v>60</v>
      </c>
      <c r="I1" s="163" t="s">
        <v>61</v>
      </c>
      <c r="J1" s="163" t="s">
        <v>62</v>
      </c>
      <c r="K1" s="162" t="s">
        <v>63</v>
      </c>
      <c r="L1" s="161" t="s">
        <v>116</v>
      </c>
      <c r="M1" s="160" t="s">
        <v>68</v>
      </c>
    </row>
    <row r="2" spans="1:13" x14ac:dyDescent="0.2">
      <c r="A2" s="49" t="s">
        <v>520</v>
      </c>
      <c r="B2" s="196" t="s">
        <v>745</v>
      </c>
      <c r="C2" s="277" t="s">
        <v>712</v>
      </c>
      <c r="D2" s="127">
        <v>0.01</v>
      </c>
      <c r="E2" s="144" t="s">
        <v>711</v>
      </c>
      <c r="F2" s="136" t="s">
        <v>78</v>
      </c>
      <c r="G2" s="290">
        <v>2</v>
      </c>
      <c r="H2" s="58">
        <v>2</v>
      </c>
      <c r="I2" s="58">
        <v>3</v>
      </c>
      <c r="J2" s="58">
        <v>3</v>
      </c>
      <c r="K2" s="262">
        <v>2</v>
      </c>
      <c r="L2" s="149">
        <f t="shared" ref="L2" si="0">IF( OR( ISBLANK(G2),ISBLANK(H2), ISBLANK(I2), ISBLANK(J2), ISBLANK(K2) ), "", 1.5*SQRT(   EXP(2.21*(G2-1)) + EXP(2.21*(H2-1)) + EXP(2.21*(I2-1)) + EXP(2.21*(J2-1)) + EXP(2.21*K2)   )/100*2.45 )</f>
        <v>0.60108474454521421</v>
      </c>
      <c r="M2" s="158" t="s">
        <v>519</v>
      </c>
    </row>
    <row r="3" spans="1:13" s="27" customFormat="1" x14ac:dyDescent="0.2">
      <c r="A3" s="50" t="s">
        <v>520</v>
      </c>
      <c r="B3" s="181" t="s">
        <v>746</v>
      </c>
      <c r="C3" s="135" t="s">
        <v>712</v>
      </c>
      <c r="D3" s="127">
        <f>14.12*0.728/1000</f>
        <v>1.027936E-2</v>
      </c>
      <c r="E3" s="144" t="s">
        <v>711</v>
      </c>
      <c r="F3" s="136" t="s">
        <v>78</v>
      </c>
      <c r="G3" s="57">
        <v>2</v>
      </c>
      <c r="H3" s="57">
        <v>2</v>
      </c>
      <c r="I3" s="57">
        <v>3</v>
      </c>
      <c r="J3" s="57">
        <v>3</v>
      </c>
      <c r="K3" s="150">
        <v>2</v>
      </c>
      <c r="L3" s="149">
        <f t="shared" ref="L3" si="1">IF( OR( ISBLANK(G3),ISBLANK(H3), ISBLANK(I3), ISBLANK(J3), ISBLANK(K3) ), "", 1.5*SQRT(   EXP(2.21*(G3-1)) + EXP(2.21*(H3-1)) + EXP(2.21*(I3-1)) + EXP(2.21*(J3-1)) + EXP(2.21*K3)   )/100*2.45 )</f>
        <v>0.60108474454521421</v>
      </c>
      <c r="M3" s="158" t="s">
        <v>519</v>
      </c>
    </row>
  </sheetData>
  <conditionalFormatting sqref="D2:D3">
    <cfRule type="dataBar" priority="1025">
      <dataBar>
        <cfvo type="min"/>
        <cfvo type="max"/>
        <color rgb="FFFF555A"/>
      </dataBar>
      <extLst>
        <ext xmlns:x14="http://schemas.microsoft.com/office/spreadsheetml/2009/9/main" uri="{B025F937-C7B1-47D3-B67F-A62EFF666E3E}">
          <x14:id>{5BA1192F-585F-4A7C-8416-1D9577D3B89B}</x14:id>
        </ext>
      </extLst>
    </cfRule>
  </conditionalFormatting>
  <conditionalFormatting sqref="G2:K3">
    <cfRule type="dataBar" priority="1026">
      <dataBar>
        <cfvo type="min"/>
        <cfvo type="max"/>
        <color rgb="FFFFB628"/>
      </dataBar>
      <extLst>
        <ext xmlns:x14="http://schemas.microsoft.com/office/spreadsheetml/2009/9/main" uri="{B025F937-C7B1-47D3-B67F-A62EFF666E3E}">
          <x14:id>{F3A6B64E-6152-4484-9D42-01ABC76C9074}</x14:id>
        </ext>
      </extLst>
    </cfRule>
  </conditionalFormatting>
  <conditionalFormatting sqref="L2:L3">
    <cfRule type="dataBar" priority="1027">
      <dataBar>
        <cfvo type="min"/>
        <cfvo type="max"/>
        <color rgb="FF3FCDFF"/>
      </dataBar>
      <extLst>
        <ext xmlns:x14="http://schemas.microsoft.com/office/spreadsheetml/2009/9/main" uri="{B025F937-C7B1-47D3-B67F-A62EFF666E3E}">
          <x14:id>{9CA028A6-2335-4B73-99D3-13B9C6EDAADE}</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BA1192F-585F-4A7C-8416-1D9577D3B89B}">
            <x14:dataBar minLength="0" maxLength="100" border="1" negativeBarBorderColorSameAsPositive="0">
              <x14:cfvo type="autoMin"/>
              <x14:cfvo type="autoMax"/>
              <x14:borderColor rgb="FFFF555A"/>
              <x14:negativeFillColor rgb="FFFF0000"/>
              <x14:negativeBorderColor rgb="FFFF0000"/>
              <x14:axisColor rgb="FF000000"/>
            </x14:dataBar>
          </x14:cfRule>
          <xm:sqref>D2:D3</xm:sqref>
        </x14:conditionalFormatting>
        <x14:conditionalFormatting xmlns:xm="http://schemas.microsoft.com/office/excel/2006/main">
          <x14:cfRule type="dataBar" id="{F3A6B64E-6152-4484-9D42-01ABC76C9074}">
            <x14:dataBar minLength="0" maxLength="100" gradient="0">
              <x14:cfvo type="autoMin"/>
              <x14:cfvo type="autoMax"/>
              <x14:negativeFillColor rgb="FFFF0000"/>
              <x14:axisColor rgb="FF000000"/>
            </x14:dataBar>
          </x14:cfRule>
          <xm:sqref>G2:K3</xm:sqref>
        </x14:conditionalFormatting>
        <x14:conditionalFormatting xmlns:xm="http://schemas.microsoft.com/office/excel/2006/main">
          <x14:cfRule type="dataBar" id="{9CA028A6-2335-4B73-99D3-13B9C6EDAADE}">
            <x14:dataBar minLength="0" maxLength="100" gradient="0">
              <x14:cfvo type="autoMin"/>
              <x14:cfvo type="autoMax"/>
              <x14:negativeFillColor rgb="FFFF0000"/>
              <x14:axisColor rgb="FF000000"/>
            </x14:dataBar>
          </x14:cfRule>
          <xm:sqref>L2:L3</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38"/>
  <sheetViews>
    <sheetView tabSelected="1" zoomScale="84" workbookViewId="0">
      <selection activeCell="C22" sqref="C22"/>
    </sheetView>
  </sheetViews>
  <sheetFormatPr baseColWidth="10" defaultColWidth="9.1640625" defaultRowHeight="15" x14ac:dyDescent="0.2"/>
  <cols>
    <col min="1" max="1" width="30.5" style="188" bestFit="1" customWidth="1"/>
    <col min="2" max="2" width="32.83203125" style="188" customWidth="1"/>
    <col min="3" max="3" width="15.5" style="188" bestFit="1" customWidth="1"/>
    <col min="4" max="4" width="25" style="188" bestFit="1" customWidth="1"/>
    <col min="5" max="5" width="22.5" style="188" bestFit="1" customWidth="1"/>
    <col min="6" max="16384" width="9.1640625" style="188"/>
  </cols>
  <sheetData>
    <row r="1" spans="1:5" s="265" customFormat="1" ht="16" thickBot="1" x14ac:dyDescent="0.25">
      <c r="A1" s="266" t="s">
        <v>659</v>
      </c>
      <c r="B1" s="265" t="s">
        <v>118</v>
      </c>
      <c r="C1" s="265" t="s">
        <v>117</v>
      </c>
      <c r="D1" s="265" t="s">
        <v>658</v>
      </c>
      <c r="E1" s="265" t="s">
        <v>660</v>
      </c>
    </row>
    <row r="2" spans="1:5" x14ac:dyDescent="0.2">
      <c r="A2" s="371" t="s">
        <v>2</v>
      </c>
      <c r="B2" s="371" t="s">
        <v>121</v>
      </c>
      <c r="C2" s="371" t="s">
        <v>175</v>
      </c>
      <c r="D2" s="371" t="s">
        <v>271</v>
      </c>
      <c r="E2" s="371" t="s">
        <v>663</v>
      </c>
    </row>
    <row r="3" spans="1:5" x14ac:dyDescent="0.2">
      <c r="A3" s="371" t="s">
        <v>104</v>
      </c>
      <c r="B3" s="371" t="s">
        <v>119</v>
      </c>
      <c r="C3" s="371" t="s">
        <v>120</v>
      </c>
      <c r="D3" s="371" t="s">
        <v>277</v>
      </c>
      <c r="E3" s="371" t="s">
        <v>662</v>
      </c>
    </row>
    <row r="4" spans="1:5" x14ac:dyDescent="0.2">
      <c r="A4" s="371" t="s">
        <v>3</v>
      </c>
      <c r="B4" s="371" t="s">
        <v>3</v>
      </c>
      <c r="C4" s="371" t="s">
        <v>233</v>
      </c>
      <c r="D4" s="371" t="s">
        <v>3</v>
      </c>
      <c r="E4" s="371" t="s">
        <v>3</v>
      </c>
    </row>
    <row r="5" spans="1:5" x14ac:dyDescent="0.2">
      <c r="A5" s="371" t="s">
        <v>4</v>
      </c>
      <c r="B5" s="371" t="s">
        <v>122</v>
      </c>
      <c r="C5" s="371" t="s">
        <v>174</v>
      </c>
      <c r="D5" s="371" t="s">
        <v>270</v>
      </c>
      <c r="E5" s="371" t="s">
        <v>661</v>
      </c>
    </row>
    <row r="6" spans="1:5" x14ac:dyDescent="0.2">
      <c r="A6" s="372" t="s">
        <v>656</v>
      </c>
      <c r="B6" s="372" t="s">
        <v>657</v>
      </c>
      <c r="C6" s="372" t="s">
        <v>656</v>
      </c>
      <c r="D6" s="372" t="s">
        <v>656</v>
      </c>
      <c r="E6" s="372" t="s">
        <v>656</v>
      </c>
    </row>
    <row r="7" spans="1:5" x14ac:dyDescent="0.2">
      <c r="A7" s="373" t="s">
        <v>6</v>
      </c>
      <c r="B7" s="373" t="s">
        <v>123</v>
      </c>
      <c r="C7" s="373" t="s">
        <v>176</v>
      </c>
      <c r="D7" s="373" t="s">
        <v>278</v>
      </c>
      <c r="E7" s="373" t="s">
        <v>664</v>
      </c>
    </row>
    <row r="8" spans="1:5" x14ac:dyDescent="0.2">
      <c r="A8" s="373" t="s">
        <v>5</v>
      </c>
      <c r="B8" s="373" t="s">
        <v>124</v>
      </c>
      <c r="C8" s="373" t="s">
        <v>177</v>
      </c>
      <c r="D8" s="373" t="s">
        <v>279</v>
      </c>
      <c r="E8" s="373" t="s">
        <v>665</v>
      </c>
    </row>
    <row r="9" spans="1:5" x14ac:dyDescent="0.2">
      <c r="A9" s="374" t="s">
        <v>7</v>
      </c>
      <c r="B9" s="374" t="s">
        <v>7</v>
      </c>
      <c r="C9" s="374" t="s">
        <v>178</v>
      </c>
      <c r="D9" s="374" t="s">
        <v>7</v>
      </c>
      <c r="E9" s="374" t="s">
        <v>7</v>
      </c>
    </row>
    <row r="10" spans="1:5" x14ac:dyDescent="0.2">
      <c r="A10" s="374" t="s">
        <v>8</v>
      </c>
      <c r="B10" s="374" t="s">
        <v>125</v>
      </c>
      <c r="C10" s="374" t="s">
        <v>179</v>
      </c>
      <c r="D10" s="374" t="s">
        <v>234</v>
      </c>
      <c r="E10" s="374" t="s">
        <v>234</v>
      </c>
    </row>
    <row r="11" spans="1:5" x14ac:dyDescent="0.2">
      <c r="A11" s="374" t="s">
        <v>9</v>
      </c>
      <c r="B11" s="374" t="s">
        <v>9</v>
      </c>
      <c r="C11" s="374" t="s">
        <v>180</v>
      </c>
      <c r="D11" s="374" t="s">
        <v>9</v>
      </c>
      <c r="E11" s="374" t="s">
        <v>9</v>
      </c>
    </row>
    <row r="12" spans="1:5" x14ac:dyDescent="0.2">
      <c r="A12" s="374" t="s">
        <v>10</v>
      </c>
      <c r="B12" s="374" t="s">
        <v>126</v>
      </c>
      <c r="C12" s="374" t="s">
        <v>10</v>
      </c>
      <c r="D12" s="374" t="s">
        <v>10</v>
      </c>
      <c r="E12" s="374" t="s">
        <v>10</v>
      </c>
    </row>
    <row r="13" spans="1:5" x14ac:dyDescent="0.2">
      <c r="A13" s="374" t="s">
        <v>11</v>
      </c>
      <c r="B13" s="374" t="s">
        <v>11</v>
      </c>
      <c r="C13" s="374" t="s">
        <v>181</v>
      </c>
      <c r="D13" s="374" t="s">
        <v>11</v>
      </c>
      <c r="E13" s="374" t="s">
        <v>11</v>
      </c>
    </row>
    <row r="14" spans="1:5" x14ac:dyDescent="0.2">
      <c r="A14" s="374" t="s">
        <v>12</v>
      </c>
      <c r="B14" s="374" t="s">
        <v>127</v>
      </c>
      <c r="C14" s="374" t="s">
        <v>12</v>
      </c>
      <c r="D14" s="374" t="s">
        <v>235</v>
      </c>
      <c r="E14" s="374" t="s">
        <v>666</v>
      </c>
    </row>
    <row r="15" spans="1:5" x14ac:dyDescent="0.2">
      <c r="A15" s="374" t="s">
        <v>86</v>
      </c>
      <c r="B15" s="374" t="s">
        <v>86</v>
      </c>
      <c r="C15" s="374" t="s">
        <v>86</v>
      </c>
      <c r="D15" s="374" t="s">
        <v>86</v>
      </c>
      <c r="E15" s="374" t="s">
        <v>86</v>
      </c>
    </row>
    <row r="16" spans="1:5" x14ac:dyDescent="0.2">
      <c r="A16" s="374" t="s">
        <v>39</v>
      </c>
      <c r="B16" s="374" t="s">
        <v>128</v>
      </c>
      <c r="C16" s="374" t="s">
        <v>182</v>
      </c>
      <c r="D16" s="374" t="s">
        <v>236</v>
      </c>
      <c r="E16" s="374" t="s">
        <v>667</v>
      </c>
    </row>
    <row r="17" spans="1:5" x14ac:dyDescent="0.2">
      <c r="A17" s="374" t="s">
        <v>40</v>
      </c>
      <c r="B17" s="374" t="s">
        <v>129</v>
      </c>
      <c r="C17" s="374" t="s">
        <v>183</v>
      </c>
      <c r="D17" s="374" t="s">
        <v>272</v>
      </c>
      <c r="E17" s="374" t="s">
        <v>668</v>
      </c>
    </row>
    <row r="18" spans="1:5" x14ac:dyDescent="0.2">
      <c r="A18" s="375" t="s">
        <v>13</v>
      </c>
      <c r="B18" s="375" t="s">
        <v>133</v>
      </c>
      <c r="C18" s="375" t="s">
        <v>189</v>
      </c>
      <c r="D18" s="375" t="s">
        <v>248</v>
      </c>
      <c r="E18" s="375" t="s">
        <v>669</v>
      </c>
    </row>
    <row r="19" spans="1:5" x14ac:dyDescent="0.2">
      <c r="A19" s="375" t="s">
        <v>14</v>
      </c>
      <c r="B19" s="375" t="s">
        <v>134</v>
      </c>
      <c r="C19" s="375" t="s">
        <v>188</v>
      </c>
      <c r="D19" s="375" t="s">
        <v>249</v>
      </c>
      <c r="E19" s="375" t="s">
        <v>670</v>
      </c>
    </row>
    <row r="20" spans="1:5" x14ac:dyDescent="0.2">
      <c r="A20" s="375" t="s">
        <v>15</v>
      </c>
      <c r="B20" s="375" t="s">
        <v>135</v>
      </c>
      <c r="C20" s="375" t="s">
        <v>187</v>
      </c>
      <c r="D20" s="375" t="s">
        <v>250</v>
      </c>
      <c r="E20" s="375" t="s">
        <v>671</v>
      </c>
    </row>
    <row r="21" spans="1:5" x14ac:dyDescent="0.2">
      <c r="A21" s="375" t="s">
        <v>16</v>
      </c>
      <c r="B21" s="375" t="s">
        <v>136</v>
      </c>
      <c r="C21" s="375" t="s">
        <v>190</v>
      </c>
      <c r="D21" s="375" t="s">
        <v>283</v>
      </c>
      <c r="E21" s="375" t="s">
        <v>672</v>
      </c>
    </row>
    <row r="22" spans="1:5" x14ac:dyDescent="0.2">
      <c r="A22" s="375" t="s">
        <v>17</v>
      </c>
      <c r="B22" s="375" t="s">
        <v>130</v>
      </c>
      <c r="C22" s="375" t="s">
        <v>184</v>
      </c>
      <c r="D22" s="375" t="s">
        <v>245</v>
      </c>
      <c r="E22" s="375" t="s">
        <v>673</v>
      </c>
    </row>
    <row r="23" spans="1:5" x14ac:dyDescent="0.2">
      <c r="A23" s="375" t="s">
        <v>18</v>
      </c>
      <c r="B23" s="375" t="s">
        <v>131</v>
      </c>
      <c r="C23" s="375" t="s">
        <v>185</v>
      </c>
      <c r="D23" s="375" t="s">
        <v>246</v>
      </c>
      <c r="E23" s="375" t="s">
        <v>674</v>
      </c>
    </row>
    <row r="24" spans="1:5" x14ac:dyDescent="0.2">
      <c r="A24" s="375" t="s">
        <v>19</v>
      </c>
      <c r="B24" s="375" t="s">
        <v>132</v>
      </c>
      <c r="C24" s="375" t="s">
        <v>186</v>
      </c>
      <c r="D24" s="375" t="s">
        <v>247</v>
      </c>
      <c r="E24" s="375" t="s">
        <v>675</v>
      </c>
    </row>
    <row r="25" spans="1:5" x14ac:dyDescent="0.2">
      <c r="A25" s="375" t="s">
        <v>20</v>
      </c>
      <c r="B25" s="375" t="s">
        <v>137</v>
      </c>
      <c r="C25" s="375" t="s">
        <v>191</v>
      </c>
      <c r="D25" s="375" t="s">
        <v>251</v>
      </c>
      <c r="E25" s="375" t="s">
        <v>676</v>
      </c>
    </row>
    <row r="26" spans="1:5" x14ac:dyDescent="0.2">
      <c r="A26" s="375" t="s">
        <v>21</v>
      </c>
      <c r="B26" s="375" t="s">
        <v>138</v>
      </c>
      <c r="C26" s="375" t="s">
        <v>192</v>
      </c>
      <c r="D26" s="375" t="s">
        <v>268</v>
      </c>
      <c r="E26" s="375" t="s">
        <v>677</v>
      </c>
    </row>
    <row r="27" spans="1:5" x14ac:dyDescent="0.2">
      <c r="A27" s="375" t="s">
        <v>22</v>
      </c>
      <c r="B27" s="375" t="s">
        <v>139</v>
      </c>
      <c r="C27" s="375" t="s">
        <v>193</v>
      </c>
      <c r="D27" s="375" t="s">
        <v>284</v>
      </c>
      <c r="E27" s="375" t="s">
        <v>678</v>
      </c>
    </row>
    <row r="28" spans="1:5" x14ac:dyDescent="0.2">
      <c r="A28" s="375" t="s">
        <v>23</v>
      </c>
      <c r="B28" s="375" t="s">
        <v>140</v>
      </c>
      <c r="C28" s="375" t="s">
        <v>194</v>
      </c>
      <c r="D28" s="375" t="s">
        <v>289</v>
      </c>
      <c r="E28" s="375" t="s">
        <v>679</v>
      </c>
    </row>
    <row r="29" spans="1:5" x14ac:dyDescent="0.2">
      <c r="A29" s="375" t="s">
        <v>24</v>
      </c>
      <c r="B29" s="375" t="s">
        <v>24</v>
      </c>
      <c r="C29" s="375" t="s">
        <v>24</v>
      </c>
      <c r="D29" s="375" t="s">
        <v>292</v>
      </c>
      <c r="E29" s="375" t="s">
        <v>680</v>
      </c>
    </row>
    <row r="30" spans="1:5" x14ac:dyDescent="0.2">
      <c r="A30" s="375" t="s">
        <v>25</v>
      </c>
      <c r="B30" s="375" t="s">
        <v>141</v>
      </c>
      <c r="C30" s="375" t="s">
        <v>195</v>
      </c>
      <c r="D30" s="375" t="s">
        <v>290</v>
      </c>
      <c r="E30" s="375" t="s">
        <v>681</v>
      </c>
    </row>
    <row r="31" spans="1:5" x14ac:dyDescent="0.2">
      <c r="A31" s="375" t="s">
        <v>26</v>
      </c>
      <c r="B31" s="375" t="s">
        <v>142</v>
      </c>
      <c r="C31" s="375" t="s">
        <v>196</v>
      </c>
      <c r="D31" s="375" t="s">
        <v>655</v>
      </c>
      <c r="E31" s="375" t="s">
        <v>682</v>
      </c>
    </row>
    <row r="32" spans="1:5" x14ac:dyDescent="0.2">
      <c r="A32" s="375" t="s">
        <v>27</v>
      </c>
      <c r="B32" s="375" t="s">
        <v>27</v>
      </c>
      <c r="C32" s="375" t="s">
        <v>27</v>
      </c>
      <c r="D32" s="375" t="s">
        <v>291</v>
      </c>
      <c r="E32" s="375" t="s">
        <v>683</v>
      </c>
    </row>
    <row r="33" spans="1:5" x14ac:dyDescent="0.2">
      <c r="A33" s="375" t="s">
        <v>112</v>
      </c>
      <c r="B33" s="375" t="s">
        <v>143</v>
      </c>
      <c r="C33" s="375" t="s">
        <v>197</v>
      </c>
      <c r="D33" s="375" t="s">
        <v>9</v>
      </c>
      <c r="E33" s="375" t="s">
        <v>9</v>
      </c>
    </row>
    <row r="34" spans="1:5" x14ac:dyDescent="0.2">
      <c r="A34" s="375" t="s">
        <v>113</v>
      </c>
      <c r="B34" s="375" t="s">
        <v>144</v>
      </c>
      <c r="C34" s="375" t="s">
        <v>113</v>
      </c>
      <c r="D34" s="375" t="s">
        <v>10</v>
      </c>
      <c r="E34" s="375" t="s">
        <v>10</v>
      </c>
    </row>
    <row r="35" spans="1:5" x14ac:dyDescent="0.2">
      <c r="A35" s="375" t="s">
        <v>31</v>
      </c>
      <c r="B35" s="375" t="s">
        <v>145</v>
      </c>
      <c r="C35" s="375" t="s">
        <v>198</v>
      </c>
      <c r="D35" s="375" t="s">
        <v>252</v>
      </c>
      <c r="E35" s="375" t="s">
        <v>684</v>
      </c>
    </row>
    <row r="36" spans="1:5" x14ac:dyDescent="0.2">
      <c r="A36" s="375" t="s">
        <v>32</v>
      </c>
      <c r="B36" s="375" t="s">
        <v>146</v>
      </c>
      <c r="C36" s="375" t="s">
        <v>654</v>
      </c>
      <c r="D36" s="375" t="s">
        <v>253</v>
      </c>
      <c r="E36" s="375" t="s">
        <v>685</v>
      </c>
    </row>
    <row r="37" spans="1:5" x14ac:dyDescent="0.2">
      <c r="A37" s="375" t="s">
        <v>33</v>
      </c>
      <c r="B37" s="375" t="s">
        <v>147</v>
      </c>
      <c r="C37" s="375" t="s">
        <v>199</v>
      </c>
      <c r="D37" s="375" t="s">
        <v>254</v>
      </c>
      <c r="E37" s="375" t="s">
        <v>686</v>
      </c>
    </row>
    <row r="38" spans="1:5" x14ac:dyDescent="0.2">
      <c r="A38" s="375" t="s">
        <v>34</v>
      </c>
      <c r="B38" s="375" t="s">
        <v>276</v>
      </c>
      <c r="C38" s="375" t="s">
        <v>200</v>
      </c>
      <c r="D38" s="375" t="s">
        <v>276</v>
      </c>
      <c r="E38" s="375" t="s">
        <v>276</v>
      </c>
    </row>
    <row r="39" spans="1:5" x14ac:dyDescent="0.2">
      <c r="A39" s="375" t="s">
        <v>696</v>
      </c>
      <c r="B39" s="375" t="s">
        <v>696</v>
      </c>
      <c r="C39" s="375" t="s">
        <v>696</v>
      </c>
      <c r="D39" s="375" t="s">
        <v>696</v>
      </c>
      <c r="E39" s="375" t="s">
        <v>696</v>
      </c>
    </row>
    <row r="40" spans="1:5" x14ac:dyDescent="0.2">
      <c r="A40" s="375" t="s">
        <v>697</v>
      </c>
      <c r="B40" s="375" t="s">
        <v>697</v>
      </c>
      <c r="C40" s="375" t="s">
        <v>697</v>
      </c>
      <c r="D40" s="375" t="s">
        <v>697</v>
      </c>
      <c r="E40" s="375" t="s">
        <v>697</v>
      </c>
    </row>
    <row r="41" spans="1:5" x14ac:dyDescent="0.2">
      <c r="A41" s="375" t="s">
        <v>303</v>
      </c>
      <c r="B41" s="375" t="s">
        <v>316</v>
      </c>
      <c r="C41" s="375" t="s">
        <v>317</v>
      </c>
      <c r="D41" s="375" t="s">
        <v>689</v>
      </c>
      <c r="E41" s="375" t="s">
        <v>689</v>
      </c>
    </row>
    <row r="42" spans="1:5" x14ac:dyDescent="0.2">
      <c r="A42" s="375" t="s">
        <v>302</v>
      </c>
      <c r="B42" s="375" t="s">
        <v>314</v>
      </c>
      <c r="C42" s="375" t="s">
        <v>315</v>
      </c>
      <c r="D42" s="375" t="s">
        <v>688</v>
      </c>
      <c r="E42" s="375" t="s">
        <v>688</v>
      </c>
    </row>
    <row r="43" spans="1:5" x14ac:dyDescent="0.2">
      <c r="A43" s="375" t="s">
        <v>35</v>
      </c>
      <c r="B43" s="375" t="s">
        <v>35</v>
      </c>
      <c r="C43" s="375" t="s">
        <v>35</v>
      </c>
      <c r="D43" s="375" t="s">
        <v>35</v>
      </c>
      <c r="E43" s="375" t="s">
        <v>35</v>
      </c>
    </row>
    <row r="44" spans="1:5" x14ac:dyDescent="0.2">
      <c r="A44" s="375" t="s">
        <v>36</v>
      </c>
      <c r="B44" s="375" t="s">
        <v>151</v>
      </c>
      <c r="C44" s="375" t="s">
        <v>36</v>
      </c>
      <c r="D44" s="375" t="s">
        <v>273</v>
      </c>
      <c r="E44" s="375" t="s">
        <v>273</v>
      </c>
    </row>
    <row r="45" spans="1:5" x14ac:dyDescent="0.2">
      <c r="A45" s="375" t="s">
        <v>37</v>
      </c>
      <c r="B45" s="375" t="s">
        <v>37</v>
      </c>
      <c r="C45" s="375" t="s">
        <v>269</v>
      </c>
      <c r="D45" s="375" t="s">
        <v>269</v>
      </c>
      <c r="E45" s="375" t="s">
        <v>269</v>
      </c>
    </row>
    <row r="46" spans="1:5" x14ac:dyDescent="0.2">
      <c r="A46" s="375" t="s">
        <v>713</v>
      </c>
      <c r="B46" s="375" t="s">
        <v>714</v>
      </c>
      <c r="C46" s="375" t="s">
        <v>715</v>
      </c>
      <c r="D46" s="375" t="s">
        <v>716</v>
      </c>
      <c r="E46" s="375" t="s">
        <v>714</v>
      </c>
    </row>
    <row r="47" spans="1:5" x14ac:dyDescent="0.2">
      <c r="A47" s="375" t="s">
        <v>38</v>
      </c>
      <c r="B47" s="375" t="s">
        <v>148</v>
      </c>
      <c r="C47" s="375" t="s">
        <v>201</v>
      </c>
      <c r="D47" s="375" t="s">
        <v>293</v>
      </c>
      <c r="E47" s="375" t="s">
        <v>687</v>
      </c>
    </row>
    <row r="48" spans="1:5" x14ac:dyDescent="0.2">
      <c r="A48" s="375" t="s">
        <v>114</v>
      </c>
      <c r="B48" s="375" t="s">
        <v>286</v>
      </c>
      <c r="C48" s="375" t="s">
        <v>114</v>
      </c>
      <c r="D48" s="375" t="s">
        <v>285</v>
      </c>
      <c r="E48" s="375" t="s">
        <v>285</v>
      </c>
    </row>
    <row r="49" spans="1:5" x14ac:dyDescent="0.2">
      <c r="A49" s="375" t="s">
        <v>92</v>
      </c>
      <c r="B49" s="375" t="s">
        <v>152</v>
      </c>
      <c r="C49" s="375" t="s">
        <v>203</v>
      </c>
      <c r="D49" s="375" t="s">
        <v>274</v>
      </c>
      <c r="E49" s="375" t="s">
        <v>274</v>
      </c>
    </row>
    <row r="50" spans="1:5" x14ac:dyDescent="0.2">
      <c r="A50" s="375" t="s">
        <v>115</v>
      </c>
      <c r="B50" s="375" t="s">
        <v>150</v>
      </c>
      <c r="C50" s="375" t="s">
        <v>202</v>
      </c>
      <c r="D50" s="375" t="s">
        <v>236</v>
      </c>
      <c r="E50" s="375" t="s">
        <v>236</v>
      </c>
    </row>
    <row r="51" spans="1:5" x14ac:dyDescent="0.2">
      <c r="A51" s="375" t="s">
        <v>95</v>
      </c>
      <c r="B51" s="375" t="s">
        <v>153</v>
      </c>
      <c r="C51" s="375" t="s">
        <v>204</v>
      </c>
      <c r="D51" s="375" t="s">
        <v>275</v>
      </c>
      <c r="E51" s="375" t="s">
        <v>759</v>
      </c>
    </row>
    <row r="52" spans="1:5" x14ac:dyDescent="0.2">
      <c r="A52" s="375" t="s">
        <v>87</v>
      </c>
      <c r="B52" s="375" t="s">
        <v>149</v>
      </c>
      <c r="C52" s="375" t="s">
        <v>653</v>
      </c>
      <c r="D52" s="375" t="s">
        <v>255</v>
      </c>
      <c r="E52" s="375" t="s">
        <v>760</v>
      </c>
    </row>
    <row r="53" spans="1:5" x14ac:dyDescent="0.2">
      <c r="A53" s="375" t="s">
        <v>300</v>
      </c>
      <c r="B53" s="375" t="s">
        <v>313</v>
      </c>
      <c r="C53" s="375" t="s">
        <v>652</v>
      </c>
      <c r="D53" s="375" t="s">
        <v>651</v>
      </c>
      <c r="E53" s="375" t="s">
        <v>651</v>
      </c>
    </row>
    <row r="54" spans="1:5" x14ac:dyDescent="0.2">
      <c r="A54" s="375" t="s">
        <v>299</v>
      </c>
      <c r="B54" s="375" t="s">
        <v>312</v>
      </c>
      <c r="C54" s="375" t="s">
        <v>650</v>
      </c>
      <c r="D54" s="375" t="s">
        <v>649</v>
      </c>
      <c r="E54" s="375" t="s">
        <v>649</v>
      </c>
    </row>
    <row r="55" spans="1:5" x14ac:dyDescent="0.2">
      <c r="A55" s="375" t="s">
        <v>298</v>
      </c>
      <c r="B55" s="375" t="s">
        <v>298</v>
      </c>
      <c r="C55" s="375" t="s">
        <v>298</v>
      </c>
      <c r="D55" s="375" t="s">
        <v>298</v>
      </c>
      <c r="E55" s="375" t="s">
        <v>298</v>
      </c>
    </row>
    <row r="56" spans="1:5" x14ac:dyDescent="0.2">
      <c r="A56" s="375" t="s">
        <v>297</v>
      </c>
      <c r="B56" s="375" t="s">
        <v>311</v>
      </c>
      <c r="C56" s="375" t="s">
        <v>648</v>
      </c>
      <c r="D56" s="375" t="s">
        <v>647</v>
      </c>
      <c r="E56" s="375" t="s">
        <v>647</v>
      </c>
    </row>
    <row r="57" spans="1:5" x14ac:dyDescent="0.2">
      <c r="A57" s="375" t="s">
        <v>296</v>
      </c>
      <c r="B57" s="375" t="s">
        <v>310</v>
      </c>
      <c r="C57" s="375" t="s">
        <v>646</v>
      </c>
      <c r="D57" s="375" t="s">
        <v>645</v>
      </c>
      <c r="E57" s="375" t="s">
        <v>645</v>
      </c>
    </row>
    <row r="58" spans="1:5" x14ac:dyDescent="0.2">
      <c r="A58" s="375" t="s">
        <v>88</v>
      </c>
      <c r="B58" s="375" t="s">
        <v>88</v>
      </c>
      <c r="C58" s="375" t="s">
        <v>206</v>
      </c>
      <c r="D58" s="375" t="s">
        <v>88</v>
      </c>
      <c r="E58" s="375" t="s">
        <v>88</v>
      </c>
    </row>
    <row r="59" spans="1:5" x14ac:dyDescent="0.2">
      <c r="A59" s="375" t="s">
        <v>89</v>
      </c>
      <c r="B59" s="375" t="s">
        <v>154</v>
      </c>
      <c r="C59" s="375" t="s">
        <v>205</v>
      </c>
      <c r="D59" s="375" t="s">
        <v>287</v>
      </c>
      <c r="E59" s="375" t="s">
        <v>287</v>
      </c>
    </row>
    <row r="60" spans="1:5" x14ac:dyDescent="0.2">
      <c r="A60" s="375" t="s">
        <v>90</v>
      </c>
      <c r="B60" s="375" t="s">
        <v>90</v>
      </c>
      <c r="C60" s="375" t="s">
        <v>207</v>
      </c>
      <c r="D60" s="375" t="s">
        <v>90</v>
      </c>
      <c r="E60" s="375" t="s">
        <v>90</v>
      </c>
    </row>
    <row r="61" spans="1:5" x14ac:dyDescent="0.2">
      <c r="A61" s="375" t="s">
        <v>91</v>
      </c>
      <c r="B61" s="375" t="s">
        <v>155</v>
      </c>
      <c r="C61" s="375" t="s">
        <v>208</v>
      </c>
      <c r="D61" s="375" t="s">
        <v>256</v>
      </c>
      <c r="E61" s="375" t="s">
        <v>256</v>
      </c>
    </row>
    <row r="62" spans="1:5" x14ac:dyDescent="0.2">
      <c r="A62" s="375" t="s">
        <v>93</v>
      </c>
      <c r="B62" s="375" t="s">
        <v>156</v>
      </c>
      <c r="C62" s="375" t="s">
        <v>209</v>
      </c>
      <c r="D62" s="375" t="s">
        <v>257</v>
      </c>
      <c r="E62" s="375" t="s">
        <v>778</v>
      </c>
    </row>
    <row r="63" spans="1:5" x14ac:dyDescent="0.2">
      <c r="A63" s="376" t="s">
        <v>295</v>
      </c>
      <c r="B63" s="376" t="s">
        <v>309</v>
      </c>
      <c r="C63" s="376" t="s">
        <v>217</v>
      </c>
      <c r="D63" s="376" t="s">
        <v>308</v>
      </c>
      <c r="E63" s="376" t="s">
        <v>761</v>
      </c>
    </row>
    <row r="64" spans="1:5" x14ac:dyDescent="0.2">
      <c r="A64" s="376" t="s">
        <v>294</v>
      </c>
      <c r="B64" s="376" t="s">
        <v>307</v>
      </c>
      <c r="C64" s="376" t="s">
        <v>306</v>
      </c>
      <c r="D64" s="376" t="s">
        <v>305</v>
      </c>
      <c r="E64" s="376" t="s">
        <v>762</v>
      </c>
    </row>
    <row r="65" spans="1:5" x14ac:dyDescent="0.2">
      <c r="A65" s="376" t="s">
        <v>41</v>
      </c>
      <c r="B65" s="376" t="s">
        <v>157</v>
      </c>
      <c r="C65" s="376" t="s">
        <v>210</v>
      </c>
      <c r="D65" s="376" t="s">
        <v>258</v>
      </c>
      <c r="E65" s="376" t="s">
        <v>763</v>
      </c>
    </row>
    <row r="66" spans="1:5" x14ac:dyDescent="0.2">
      <c r="A66" s="376" t="s">
        <v>29</v>
      </c>
      <c r="B66" s="376" t="s">
        <v>158</v>
      </c>
      <c r="C66" s="376" t="s">
        <v>159</v>
      </c>
      <c r="D66" s="376" t="s">
        <v>259</v>
      </c>
      <c r="E66" s="376" t="s">
        <v>764</v>
      </c>
    </row>
    <row r="67" spans="1:5" x14ac:dyDescent="0.2">
      <c r="A67" s="376" t="s">
        <v>43</v>
      </c>
      <c r="B67" s="376" t="s">
        <v>160</v>
      </c>
      <c r="C67" s="376" t="s">
        <v>161</v>
      </c>
      <c r="D67" s="376" t="s">
        <v>280</v>
      </c>
      <c r="E67" s="376" t="s">
        <v>765</v>
      </c>
    </row>
    <row r="68" spans="1:5" x14ac:dyDescent="0.2">
      <c r="A68" s="376" t="s">
        <v>101</v>
      </c>
      <c r="B68" s="376" t="s">
        <v>162</v>
      </c>
      <c r="C68" s="376" t="s">
        <v>211</v>
      </c>
      <c r="D68" s="376" t="s">
        <v>281</v>
      </c>
      <c r="E68" s="376" t="s">
        <v>766</v>
      </c>
    </row>
    <row r="69" spans="1:5" x14ac:dyDescent="0.2">
      <c r="A69" s="376" t="s">
        <v>28</v>
      </c>
      <c r="B69" s="376" t="s">
        <v>163</v>
      </c>
      <c r="C69" s="376" t="s">
        <v>212</v>
      </c>
      <c r="D69" s="376" t="s">
        <v>237</v>
      </c>
      <c r="E69" s="376" t="s">
        <v>767</v>
      </c>
    </row>
    <row r="70" spans="1:5" x14ac:dyDescent="0.2">
      <c r="A70" s="376" t="s">
        <v>100</v>
      </c>
      <c r="B70" s="376" t="s">
        <v>164</v>
      </c>
      <c r="C70" s="376" t="s">
        <v>213</v>
      </c>
      <c r="D70" s="376" t="s">
        <v>260</v>
      </c>
      <c r="E70" s="376" t="s">
        <v>768</v>
      </c>
    </row>
    <row r="71" spans="1:5" x14ac:dyDescent="0.2">
      <c r="A71" s="376" t="s">
        <v>30</v>
      </c>
      <c r="B71" s="376" t="s">
        <v>165</v>
      </c>
      <c r="C71" s="376" t="s">
        <v>214</v>
      </c>
      <c r="D71" s="376" t="s">
        <v>238</v>
      </c>
      <c r="E71" s="376" t="s">
        <v>769</v>
      </c>
    </row>
    <row r="72" spans="1:5" x14ac:dyDescent="0.2">
      <c r="A72" s="376" t="s">
        <v>42</v>
      </c>
      <c r="B72" s="376" t="s">
        <v>166</v>
      </c>
      <c r="C72" s="376" t="s">
        <v>215</v>
      </c>
      <c r="D72" s="376" t="s">
        <v>239</v>
      </c>
      <c r="E72" s="376" t="s">
        <v>770</v>
      </c>
    </row>
    <row r="73" spans="1:5" x14ac:dyDescent="0.2">
      <c r="A73" s="376" t="s">
        <v>44</v>
      </c>
      <c r="B73" s="376" t="s">
        <v>167</v>
      </c>
      <c r="C73" s="376" t="s">
        <v>216</v>
      </c>
      <c r="D73" s="376" t="s">
        <v>240</v>
      </c>
      <c r="E73" s="376" t="s">
        <v>771</v>
      </c>
    </row>
    <row r="74" spans="1:5" x14ac:dyDescent="0.2">
      <c r="A74" s="377" t="s">
        <v>45</v>
      </c>
      <c r="B74" s="377" t="s">
        <v>168</v>
      </c>
      <c r="C74" s="377" t="s">
        <v>218</v>
      </c>
      <c r="D74" s="377" t="s">
        <v>243</v>
      </c>
      <c r="E74" s="377" t="s">
        <v>772</v>
      </c>
    </row>
    <row r="75" spans="1:5" x14ac:dyDescent="0.2">
      <c r="A75" s="377" t="s">
        <v>48</v>
      </c>
      <c r="B75" s="377" t="s">
        <v>169</v>
      </c>
      <c r="C75" s="377" t="s">
        <v>219</v>
      </c>
      <c r="D75" s="377" t="s">
        <v>282</v>
      </c>
      <c r="E75" s="377" t="s">
        <v>773</v>
      </c>
    </row>
    <row r="76" spans="1:5" x14ac:dyDescent="0.2">
      <c r="A76" s="377" t="s">
        <v>49</v>
      </c>
      <c r="B76" s="377" t="s">
        <v>170</v>
      </c>
      <c r="C76" s="377" t="s">
        <v>220</v>
      </c>
      <c r="D76" s="377" t="s">
        <v>261</v>
      </c>
      <c r="E76" s="377" t="s">
        <v>774</v>
      </c>
    </row>
    <row r="77" spans="1:5" x14ac:dyDescent="0.2">
      <c r="A77" s="377" t="s">
        <v>50</v>
      </c>
      <c r="B77" s="377" t="s">
        <v>171</v>
      </c>
      <c r="C77" s="377" t="s">
        <v>221</v>
      </c>
      <c r="D77" s="377" t="s">
        <v>242</v>
      </c>
      <c r="E77" s="377" t="s">
        <v>775</v>
      </c>
    </row>
    <row r="78" spans="1:5" x14ac:dyDescent="0.2">
      <c r="A78" s="377" t="s">
        <v>51</v>
      </c>
      <c r="B78" s="377" t="s">
        <v>172</v>
      </c>
      <c r="C78" s="377" t="s">
        <v>222</v>
      </c>
      <c r="D78" s="377" t="s">
        <v>241</v>
      </c>
      <c r="E78" s="377" t="s">
        <v>776</v>
      </c>
    </row>
    <row r="79" spans="1:5" x14ac:dyDescent="0.2">
      <c r="A79" s="377" t="s">
        <v>52</v>
      </c>
      <c r="B79" s="377" t="s">
        <v>173</v>
      </c>
      <c r="C79" s="377" t="s">
        <v>223</v>
      </c>
      <c r="D79" s="377" t="s">
        <v>262</v>
      </c>
      <c r="E79" s="377" t="s">
        <v>777</v>
      </c>
    </row>
    <row r="80" spans="1:5" x14ac:dyDescent="0.2">
      <c r="A80" s="372" t="s">
        <v>47</v>
      </c>
      <c r="B80" s="378" t="s">
        <v>47</v>
      </c>
      <c r="C80" s="378" t="s">
        <v>224</v>
      </c>
      <c r="D80" s="378" t="s">
        <v>47</v>
      </c>
      <c r="E80" s="378" t="s">
        <v>47</v>
      </c>
    </row>
    <row r="81" spans="1:5" x14ac:dyDescent="0.2">
      <c r="A81" s="372" t="s">
        <v>54</v>
      </c>
      <c r="B81" s="378" t="s">
        <v>54</v>
      </c>
      <c r="C81" s="378" t="s">
        <v>244</v>
      </c>
      <c r="D81" s="378" t="s">
        <v>54</v>
      </c>
      <c r="E81" s="378" t="s">
        <v>54</v>
      </c>
    </row>
    <row r="82" spans="1:5" x14ac:dyDescent="0.2">
      <c r="A82" s="372" t="s">
        <v>67</v>
      </c>
      <c r="B82" s="372" t="s">
        <v>67</v>
      </c>
      <c r="C82" s="372" t="s">
        <v>226</v>
      </c>
      <c r="D82" s="372" t="s">
        <v>67</v>
      </c>
      <c r="E82" s="372" t="s">
        <v>67</v>
      </c>
    </row>
    <row r="83" spans="1:5" x14ac:dyDescent="0.2">
      <c r="A83" s="372" t="s">
        <v>46</v>
      </c>
      <c r="B83" s="372" t="s">
        <v>644</v>
      </c>
      <c r="C83" s="372" t="s">
        <v>225</v>
      </c>
      <c r="D83" s="372" t="s">
        <v>46</v>
      </c>
      <c r="E83" s="372" t="s">
        <v>46</v>
      </c>
    </row>
    <row r="84" spans="1:5" x14ac:dyDescent="0.2">
      <c r="A84" s="372" t="s">
        <v>53</v>
      </c>
      <c r="B84" s="372" t="s">
        <v>227</v>
      </c>
      <c r="C84" s="372" t="s">
        <v>228</v>
      </c>
      <c r="D84" s="372" t="s">
        <v>717</v>
      </c>
      <c r="E84" s="372" t="s">
        <v>288</v>
      </c>
    </row>
    <row r="85" spans="1:5" x14ac:dyDescent="0.2">
      <c r="A85" s="372" t="s">
        <v>79</v>
      </c>
      <c r="B85" s="372" t="s">
        <v>232</v>
      </c>
      <c r="C85" s="372" t="s">
        <v>229</v>
      </c>
      <c r="D85" s="372" t="s">
        <v>718</v>
      </c>
      <c r="E85" s="372" t="s">
        <v>232</v>
      </c>
    </row>
    <row r="86" spans="1:5" x14ac:dyDescent="0.2">
      <c r="A86" s="372" t="s">
        <v>55</v>
      </c>
      <c r="B86" s="372" t="s">
        <v>231</v>
      </c>
      <c r="C86" s="372" t="s">
        <v>230</v>
      </c>
      <c r="D86" s="372" t="s">
        <v>719</v>
      </c>
      <c r="E86" s="372" t="s">
        <v>231</v>
      </c>
    </row>
    <row r="87" spans="1:5" x14ac:dyDescent="0.2">
      <c r="A87" s="379" t="s">
        <v>420</v>
      </c>
      <c r="B87" s="380" t="s">
        <v>643</v>
      </c>
      <c r="C87" s="380" t="s">
        <v>420</v>
      </c>
      <c r="D87" s="380" t="s">
        <v>642</v>
      </c>
      <c r="E87" s="380" t="s">
        <v>642</v>
      </c>
    </row>
    <row r="88" spans="1:5" x14ac:dyDescent="0.2">
      <c r="A88" s="379" t="s">
        <v>417</v>
      </c>
      <c r="B88" s="380" t="s">
        <v>641</v>
      </c>
      <c r="C88" s="380" t="s">
        <v>640</v>
      </c>
      <c r="D88" s="380" t="s">
        <v>639</v>
      </c>
      <c r="E88" s="380" t="s">
        <v>639</v>
      </c>
    </row>
    <row r="89" spans="1:5" x14ac:dyDescent="0.2">
      <c r="A89" s="379" t="s">
        <v>415</v>
      </c>
      <c r="B89" s="380" t="s">
        <v>638</v>
      </c>
      <c r="C89" s="380" t="s">
        <v>637</v>
      </c>
      <c r="D89" s="380" t="s">
        <v>636</v>
      </c>
      <c r="E89" s="380" t="s">
        <v>780</v>
      </c>
    </row>
    <row r="90" spans="1:5" x14ac:dyDescent="0.2">
      <c r="A90" s="379" t="s">
        <v>410</v>
      </c>
      <c r="B90" s="380" t="s">
        <v>635</v>
      </c>
      <c r="C90" s="380" t="s">
        <v>634</v>
      </c>
      <c r="D90" s="380" t="s">
        <v>633</v>
      </c>
      <c r="E90" s="380" t="s">
        <v>779</v>
      </c>
    </row>
    <row r="91" spans="1:5" x14ac:dyDescent="0.2">
      <c r="A91" s="381" t="s">
        <v>409</v>
      </c>
      <c r="B91" s="264" t="s">
        <v>409</v>
      </c>
      <c r="C91" s="264" t="s">
        <v>409</v>
      </c>
      <c r="D91" s="264" t="s">
        <v>409</v>
      </c>
      <c r="E91" s="264" t="s">
        <v>409</v>
      </c>
    </row>
    <row r="92" spans="1:5" x14ac:dyDescent="0.2">
      <c r="A92" s="381" t="s">
        <v>404</v>
      </c>
      <c r="B92" s="264" t="s">
        <v>632</v>
      </c>
      <c r="C92" s="264" t="s">
        <v>631</v>
      </c>
      <c r="D92" s="264" t="s">
        <v>630</v>
      </c>
      <c r="E92" s="264" t="s">
        <v>630</v>
      </c>
    </row>
    <row r="93" spans="1:5" x14ac:dyDescent="0.2">
      <c r="A93" s="381" t="s">
        <v>403</v>
      </c>
      <c r="B93" s="264" t="s">
        <v>629</v>
      </c>
      <c r="C93" s="264" t="s">
        <v>628</v>
      </c>
      <c r="D93" s="264" t="s">
        <v>627</v>
      </c>
      <c r="E93" s="264" t="s">
        <v>627</v>
      </c>
    </row>
    <row r="94" spans="1:5" x14ac:dyDescent="0.2">
      <c r="A94" s="381" t="s">
        <v>399</v>
      </c>
      <c r="B94" s="264" t="s">
        <v>626</v>
      </c>
      <c r="C94" s="264" t="s">
        <v>625</v>
      </c>
      <c r="D94" s="264" t="s">
        <v>624</v>
      </c>
      <c r="E94" s="264" t="s">
        <v>624</v>
      </c>
    </row>
    <row r="95" spans="1:5" x14ac:dyDescent="0.2">
      <c r="A95" s="381" t="s">
        <v>745</v>
      </c>
      <c r="B95" s="264" t="s">
        <v>751</v>
      </c>
      <c r="C95" s="264" t="s">
        <v>754</v>
      </c>
      <c r="D95" s="264" t="s">
        <v>755</v>
      </c>
      <c r="E95" s="264" t="s">
        <v>781</v>
      </c>
    </row>
    <row r="96" spans="1:5" x14ac:dyDescent="0.2">
      <c r="A96" s="381" t="s">
        <v>746</v>
      </c>
      <c r="B96" s="264" t="s">
        <v>752</v>
      </c>
      <c r="C96" s="264" t="s">
        <v>790</v>
      </c>
      <c r="D96" s="264" t="s">
        <v>756</v>
      </c>
      <c r="E96" s="264" t="s">
        <v>782</v>
      </c>
    </row>
    <row r="97" spans="1:5" x14ac:dyDescent="0.2">
      <c r="A97" s="381" t="s">
        <v>748</v>
      </c>
      <c r="B97" s="264" t="s">
        <v>753</v>
      </c>
      <c r="C97" s="264" t="s">
        <v>757</v>
      </c>
      <c r="D97" s="264" t="s">
        <v>758</v>
      </c>
      <c r="E97" s="264" t="s">
        <v>758</v>
      </c>
    </row>
    <row r="98" spans="1:5" x14ac:dyDescent="0.2">
      <c r="A98" s="381" t="s">
        <v>341</v>
      </c>
      <c r="B98" s="264" t="s">
        <v>623</v>
      </c>
      <c r="C98" s="264" t="s">
        <v>622</v>
      </c>
      <c r="D98" s="264" t="s">
        <v>621</v>
      </c>
      <c r="E98" s="264" t="s">
        <v>621</v>
      </c>
    </row>
    <row r="99" spans="1:5" x14ac:dyDescent="0.2">
      <c r="A99" s="381" t="s">
        <v>338</v>
      </c>
      <c r="B99" s="264" t="s">
        <v>620</v>
      </c>
      <c r="C99" s="264" t="s">
        <v>619</v>
      </c>
      <c r="D99" s="264" t="s">
        <v>618</v>
      </c>
      <c r="E99" s="264" t="s">
        <v>618</v>
      </c>
    </row>
    <row r="100" spans="1:5" x14ac:dyDescent="0.2">
      <c r="A100" s="382" t="s">
        <v>397</v>
      </c>
      <c r="B100" s="382" t="s">
        <v>617</v>
      </c>
      <c r="C100" s="382" t="s">
        <v>616</v>
      </c>
      <c r="D100" s="382" t="s">
        <v>720</v>
      </c>
      <c r="E100" s="382" t="s">
        <v>615</v>
      </c>
    </row>
    <row r="101" spans="1:5" x14ac:dyDescent="0.2">
      <c r="A101" s="382" t="s">
        <v>394</v>
      </c>
      <c r="B101" s="382" t="s">
        <v>614</v>
      </c>
      <c r="C101" s="382" t="s">
        <v>525</v>
      </c>
      <c r="D101" s="382" t="s">
        <v>721</v>
      </c>
      <c r="E101" s="382" t="s">
        <v>613</v>
      </c>
    </row>
    <row r="102" spans="1:5" x14ac:dyDescent="0.2">
      <c r="A102" s="382" t="s">
        <v>392</v>
      </c>
      <c r="B102" s="382" t="s">
        <v>612</v>
      </c>
      <c r="C102" s="382" t="s">
        <v>522</v>
      </c>
      <c r="D102" s="382" t="s">
        <v>722</v>
      </c>
      <c r="E102" s="382" t="s">
        <v>611</v>
      </c>
    </row>
    <row r="103" spans="1:5" x14ac:dyDescent="0.2">
      <c r="A103" s="382" t="s">
        <v>391</v>
      </c>
      <c r="B103" s="382" t="s">
        <v>610</v>
      </c>
      <c r="C103" s="382" t="s">
        <v>609</v>
      </c>
      <c r="D103" s="382" t="s">
        <v>723</v>
      </c>
      <c r="E103" s="382" t="s">
        <v>608</v>
      </c>
    </row>
    <row r="104" spans="1:5" x14ac:dyDescent="0.2">
      <c r="A104" s="382" t="s">
        <v>692</v>
      </c>
      <c r="B104" s="382" t="s">
        <v>699</v>
      </c>
      <c r="C104" s="382" t="s">
        <v>700</v>
      </c>
      <c r="D104" s="382" t="s">
        <v>724</v>
      </c>
      <c r="E104" s="382" t="s">
        <v>701</v>
      </c>
    </row>
    <row r="105" spans="1:5" x14ac:dyDescent="0.2">
      <c r="A105" s="382" t="s">
        <v>301</v>
      </c>
      <c r="B105" s="382" t="s">
        <v>607</v>
      </c>
      <c r="C105" s="382" t="s">
        <v>606</v>
      </c>
      <c r="D105" s="382" t="s">
        <v>725</v>
      </c>
      <c r="E105" s="382" t="s">
        <v>605</v>
      </c>
    </row>
    <row r="106" spans="1:5" x14ac:dyDescent="0.2">
      <c r="A106" s="382" t="s">
        <v>386</v>
      </c>
      <c r="B106" s="263" t="s">
        <v>604</v>
      </c>
      <c r="C106" s="263" t="s">
        <v>603</v>
      </c>
      <c r="D106" s="263" t="s">
        <v>602</v>
      </c>
      <c r="E106" s="263" t="s">
        <v>602</v>
      </c>
    </row>
    <row r="107" spans="1:5" x14ac:dyDescent="0.2">
      <c r="A107" s="382" t="s">
        <v>385</v>
      </c>
      <c r="B107" s="263" t="s">
        <v>601</v>
      </c>
      <c r="C107" s="263" t="s">
        <v>600</v>
      </c>
      <c r="D107" s="263" t="s">
        <v>599</v>
      </c>
      <c r="E107" s="263" t="s">
        <v>599</v>
      </c>
    </row>
    <row r="108" spans="1:5" x14ac:dyDescent="0.2">
      <c r="A108" s="382" t="s">
        <v>382</v>
      </c>
      <c r="B108" s="263" t="s">
        <v>598</v>
      </c>
      <c r="C108" s="263" t="s">
        <v>597</v>
      </c>
      <c r="D108" s="263" t="s">
        <v>596</v>
      </c>
      <c r="E108" s="263" t="s">
        <v>596</v>
      </c>
    </row>
    <row r="109" spans="1:5" x14ac:dyDescent="0.2">
      <c r="A109" s="382" t="s">
        <v>693</v>
      </c>
      <c r="B109" s="263" t="s">
        <v>702</v>
      </c>
      <c r="C109" s="263" t="s">
        <v>703</v>
      </c>
      <c r="D109" s="263" t="s">
        <v>704</v>
      </c>
      <c r="E109" s="263" t="s">
        <v>704</v>
      </c>
    </row>
    <row r="110" spans="1:5" x14ac:dyDescent="0.2">
      <c r="A110" s="382" t="s">
        <v>376</v>
      </c>
      <c r="B110" s="263" t="s">
        <v>595</v>
      </c>
      <c r="C110" s="263" t="s">
        <v>594</v>
      </c>
      <c r="D110" s="263" t="s">
        <v>593</v>
      </c>
      <c r="E110" s="263" t="s">
        <v>593</v>
      </c>
    </row>
    <row r="111" spans="1:5" x14ac:dyDescent="0.2">
      <c r="A111" s="382" t="s">
        <v>374</v>
      </c>
      <c r="B111" s="263" t="s">
        <v>592</v>
      </c>
      <c r="C111" s="263" t="s">
        <v>591</v>
      </c>
      <c r="D111" s="263" t="s">
        <v>590</v>
      </c>
      <c r="E111" s="263" t="s">
        <v>590</v>
      </c>
    </row>
    <row r="112" spans="1:5" x14ac:dyDescent="0.2">
      <c r="A112" s="382" t="s">
        <v>694</v>
      </c>
      <c r="B112" s="263" t="s">
        <v>705</v>
      </c>
      <c r="C112" s="263" t="s">
        <v>706</v>
      </c>
      <c r="D112" s="263" t="s">
        <v>707</v>
      </c>
      <c r="E112" s="263" t="s">
        <v>707</v>
      </c>
    </row>
    <row r="113" spans="1:5" x14ac:dyDescent="0.2">
      <c r="A113" s="382" t="s">
        <v>373</v>
      </c>
      <c r="B113" s="263" t="s">
        <v>589</v>
      </c>
      <c r="C113" s="263" t="s">
        <v>588</v>
      </c>
      <c r="D113" s="263" t="s">
        <v>587</v>
      </c>
      <c r="E113" s="263" t="s">
        <v>587</v>
      </c>
    </row>
    <row r="114" spans="1:5" x14ac:dyDescent="0.2">
      <c r="A114" s="382" t="s">
        <v>370</v>
      </c>
      <c r="B114" s="263" t="s">
        <v>586</v>
      </c>
      <c r="C114" s="263" t="s">
        <v>585</v>
      </c>
      <c r="D114" s="263" t="s">
        <v>584</v>
      </c>
      <c r="E114" s="263" t="s">
        <v>584</v>
      </c>
    </row>
    <row r="115" spans="1:5" x14ac:dyDescent="0.2">
      <c r="A115" s="382" t="s">
        <v>695</v>
      </c>
      <c r="B115" s="263" t="s">
        <v>708</v>
      </c>
      <c r="C115" s="263" t="s">
        <v>709</v>
      </c>
      <c r="D115" s="263" t="s">
        <v>710</v>
      </c>
      <c r="E115" s="263" t="s">
        <v>710</v>
      </c>
    </row>
    <row r="116" spans="1:5" x14ac:dyDescent="0.2">
      <c r="A116" s="382" t="s">
        <v>363</v>
      </c>
      <c r="B116" s="263" t="s">
        <v>583</v>
      </c>
      <c r="C116" s="263" t="s">
        <v>582</v>
      </c>
      <c r="D116" s="263" t="s">
        <v>581</v>
      </c>
      <c r="E116" s="263" t="s">
        <v>581</v>
      </c>
    </row>
    <row r="117" spans="1:5" x14ac:dyDescent="0.2">
      <c r="A117" s="382" t="s">
        <v>360</v>
      </c>
      <c r="B117" s="263" t="s">
        <v>580</v>
      </c>
      <c r="C117" s="263" t="s">
        <v>579</v>
      </c>
      <c r="D117" s="263" t="s">
        <v>578</v>
      </c>
      <c r="E117" s="263" t="s">
        <v>578</v>
      </c>
    </row>
    <row r="118" spans="1:5" x14ac:dyDescent="0.2">
      <c r="A118" s="382" t="s">
        <v>734</v>
      </c>
      <c r="B118" s="263" t="s">
        <v>740</v>
      </c>
      <c r="C118" s="263" t="s">
        <v>741</v>
      </c>
      <c r="D118" s="263" t="s">
        <v>742</v>
      </c>
      <c r="E118" s="263" t="s">
        <v>742</v>
      </c>
    </row>
    <row r="119" spans="1:5" x14ac:dyDescent="0.2">
      <c r="A119" s="382" t="s">
        <v>357</v>
      </c>
      <c r="B119" s="263" t="s">
        <v>577</v>
      </c>
      <c r="C119" s="263" t="s">
        <v>576</v>
      </c>
      <c r="D119" s="263" t="s">
        <v>575</v>
      </c>
      <c r="E119" s="263" t="s">
        <v>575</v>
      </c>
    </row>
    <row r="120" spans="1:5" x14ac:dyDescent="0.2">
      <c r="A120" s="382" t="s">
        <v>354</v>
      </c>
      <c r="B120" s="263" t="s">
        <v>574</v>
      </c>
      <c r="C120" s="263" t="s">
        <v>573</v>
      </c>
      <c r="D120" s="263" t="s">
        <v>572</v>
      </c>
      <c r="E120" s="263" t="s">
        <v>572</v>
      </c>
    </row>
    <row r="121" spans="1:5" x14ac:dyDescent="0.2">
      <c r="A121" s="382" t="s">
        <v>344</v>
      </c>
      <c r="B121" s="263" t="s">
        <v>571</v>
      </c>
      <c r="C121" s="263" t="s">
        <v>570</v>
      </c>
      <c r="D121" s="263" t="s">
        <v>569</v>
      </c>
      <c r="E121" s="263" t="s">
        <v>569</v>
      </c>
    </row>
    <row r="122" spans="1:5" x14ac:dyDescent="0.2">
      <c r="A122" s="382" t="s">
        <v>342</v>
      </c>
      <c r="B122" s="263" t="s">
        <v>568</v>
      </c>
      <c r="C122" s="263" t="s">
        <v>567</v>
      </c>
      <c r="D122" s="263" t="s">
        <v>566</v>
      </c>
      <c r="E122" s="263" t="s">
        <v>566</v>
      </c>
    </row>
    <row r="123" spans="1:5" x14ac:dyDescent="0.2">
      <c r="A123" s="382" t="s">
        <v>339</v>
      </c>
      <c r="B123" s="263" t="s">
        <v>565</v>
      </c>
      <c r="C123" s="263" t="s">
        <v>564</v>
      </c>
      <c r="D123" s="263" t="s">
        <v>563</v>
      </c>
      <c r="E123" s="263" t="s">
        <v>563</v>
      </c>
    </row>
    <row r="124" spans="1:5" x14ac:dyDescent="0.2">
      <c r="A124" s="383" t="s">
        <v>332</v>
      </c>
      <c r="B124" s="383" t="s">
        <v>562</v>
      </c>
      <c r="C124" s="383" t="s">
        <v>561</v>
      </c>
      <c r="D124" s="383" t="s">
        <v>560</v>
      </c>
      <c r="E124" s="383" t="s">
        <v>560</v>
      </c>
    </row>
    <row r="125" spans="1:5" x14ac:dyDescent="0.2">
      <c r="A125" s="379" t="s">
        <v>329</v>
      </c>
      <c r="B125" s="384" t="s">
        <v>559</v>
      </c>
      <c r="C125" s="384" t="s">
        <v>558</v>
      </c>
      <c r="D125" s="384" t="s">
        <v>557</v>
      </c>
      <c r="E125" s="384" t="s">
        <v>557</v>
      </c>
    </row>
    <row r="126" spans="1:5" x14ac:dyDescent="0.2">
      <c r="A126" s="383" t="s">
        <v>321</v>
      </c>
      <c r="B126" s="383" t="s">
        <v>556</v>
      </c>
      <c r="C126" s="383" t="s">
        <v>555</v>
      </c>
      <c r="D126" s="383" t="s">
        <v>554</v>
      </c>
      <c r="E126" s="383" t="s">
        <v>554</v>
      </c>
    </row>
    <row r="127" spans="1:5" x14ac:dyDescent="0.2">
      <c r="A127" s="383" t="s">
        <v>398</v>
      </c>
      <c r="B127" s="383" t="s">
        <v>553</v>
      </c>
      <c r="C127" s="383" t="s">
        <v>552</v>
      </c>
      <c r="D127" s="383" t="s">
        <v>726</v>
      </c>
      <c r="E127" s="383" t="s">
        <v>551</v>
      </c>
    </row>
    <row r="128" spans="1:5" x14ac:dyDescent="0.2">
      <c r="A128" s="383" t="s">
        <v>328</v>
      </c>
      <c r="B128" s="383" t="s">
        <v>550</v>
      </c>
      <c r="C128" s="383" t="s">
        <v>549</v>
      </c>
      <c r="D128" s="383" t="s">
        <v>727</v>
      </c>
      <c r="E128" s="383" t="s">
        <v>548</v>
      </c>
    </row>
    <row r="129" spans="1:5" x14ac:dyDescent="0.2">
      <c r="A129" s="383" t="s">
        <v>343</v>
      </c>
      <c r="B129" s="383" t="s">
        <v>547</v>
      </c>
      <c r="C129" s="383" t="s">
        <v>546</v>
      </c>
      <c r="D129" s="383" t="s">
        <v>728</v>
      </c>
      <c r="E129" s="383" t="s">
        <v>545</v>
      </c>
    </row>
    <row r="130" spans="1:5" x14ac:dyDescent="0.2">
      <c r="A130" s="383" t="s">
        <v>323</v>
      </c>
      <c r="B130" s="383" t="s">
        <v>544</v>
      </c>
      <c r="C130" s="383" t="s">
        <v>543</v>
      </c>
      <c r="D130" s="383" t="s">
        <v>729</v>
      </c>
      <c r="E130" s="383" t="s">
        <v>542</v>
      </c>
    </row>
    <row r="131" spans="1:5" x14ac:dyDescent="0.2">
      <c r="A131" s="383" t="s">
        <v>384</v>
      </c>
      <c r="B131" s="383" t="s">
        <v>541</v>
      </c>
      <c r="C131" s="383" t="s">
        <v>540</v>
      </c>
      <c r="D131" s="383" t="s">
        <v>539</v>
      </c>
      <c r="E131" s="383" t="s">
        <v>539</v>
      </c>
    </row>
    <row r="132" spans="1:5" x14ac:dyDescent="0.2">
      <c r="A132" s="383" t="s">
        <v>401</v>
      </c>
      <c r="B132" s="383" t="s">
        <v>538</v>
      </c>
      <c r="C132" s="383" t="s">
        <v>537</v>
      </c>
      <c r="D132" s="383" t="s">
        <v>730</v>
      </c>
      <c r="E132" s="383" t="s">
        <v>536</v>
      </c>
    </row>
    <row r="133" spans="1:5" x14ac:dyDescent="0.2">
      <c r="A133" s="383" t="s">
        <v>326</v>
      </c>
      <c r="B133" s="383" t="s">
        <v>535</v>
      </c>
      <c r="C133" s="383" t="s">
        <v>534</v>
      </c>
      <c r="D133" s="383" t="s">
        <v>731</v>
      </c>
      <c r="E133" s="383" t="s">
        <v>533</v>
      </c>
    </row>
    <row r="134" spans="1:5" x14ac:dyDescent="0.2">
      <c r="A134" s="383" t="s">
        <v>395</v>
      </c>
      <c r="B134" s="385" t="s">
        <v>532</v>
      </c>
      <c r="C134" s="385" t="s">
        <v>531</v>
      </c>
      <c r="D134" s="385" t="s">
        <v>530</v>
      </c>
      <c r="E134" s="385" t="s">
        <v>530</v>
      </c>
    </row>
    <row r="135" spans="1:5" x14ac:dyDescent="0.2">
      <c r="A135" s="383" t="s">
        <v>393</v>
      </c>
      <c r="B135" s="385" t="s">
        <v>529</v>
      </c>
      <c r="C135" s="385" t="s">
        <v>528</v>
      </c>
      <c r="D135" s="385" t="s">
        <v>527</v>
      </c>
      <c r="E135" s="385" t="s">
        <v>527</v>
      </c>
    </row>
    <row r="136" spans="1:5" x14ac:dyDescent="0.2">
      <c r="A136" s="383" t="s">
        <v>353</v>
      </c>
      <c r="B136" s="383" t="s">
        <v>526</v>
      </c>
      <c r="C136" s="383" t="s">
        <v>525</v>
      </c>
      <c r="D136" s="383" t="s">
        <v>732</v>
      </c>
      <c r="E136" s="383" t="s">
        <v>524</v>
      </c>
    </row>
    <row r="137" spans="1:5" x14ac:dyDescent="0.2">
      <c r="A137" s="383" t="s">
        <v>320</v>
      </c>
      <c r="B137" s="383" t="s">
        <v>523</v>
      </c>
      <c r="C137" s="383" t="s">
        <v>522</v>
      </c>
      <c r="D137" s="383" t="s">
        <v>733</v>
      </c>
      <c r="E137" s="383" t="s">
        <v>521</v>
      </c>
    </row>
    <row r="138" spans="1:5" x14ac:dyDescent="0.2">
      <c r="A138" s="172" t="s">
        <v>596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482A3-CA53-EC46-95A1-F2F23ABFC21A}">
  <sheetPr>
    <tabColor rgb="FF92D050"/>
  </sheetPr>
  <dimension ref="A1:DN259"/>
  <sheetViews>
    <sheetView zoomScale="75" zoomScaleNormal="85" workbookViewId="0">
      <pane xSplit="1" ySplit="1" topLeftCell="B2" activePane="bottomRight" state="frozen"/>
      <selection pane="topRight" activeCell="C1" sqref="C1"/>
      <selection pane="bottomLeft" activeCell="A3" sqref="A3"/>
      <selection pane="bottomRight" activeCell="D8" sqref="D8"/>
    </sheetView>
  </sheetViews>
  <sheetFormatPr baseColWidth="10" defaultColWidth="9.1640625" defaultRowHeight="15" x14ac:dyDescent="0.2"/>
  <cols>
    <col min="1" max="1" width="16" style="518" customWidth="1"/>
    <col min="2" max="2" width="10.6640625" style="519" bestFit="1" customWidth="1"/>
    <col min="3" max="3" width="9.5" style="372" customWidth="1"/>
    <col min="4" max="4" width="53.83203125" style="520" customWidth="1"/>
    <col min="5" max="8" width="7.5" style="309" customWidth="1"/>
    <col min="9" max="9" width="7.5" style="66" customWidth="1"/>
    <col min="10" max="10" width="14.5" style="521" customWidth="1"/>
    <col min="11" max="11" width="76.6640625" style="517" bestFit="1" customWidth="1"/>
    <col min="12" max="16384" width="9.1640625" style="486"/>
  </cols>
  <sheetData>
    <row r="1" spans="1:118" s="481" customFormat="1" ht="30" customHeight="1" x14ac:dyDescent="0.2">
      <c r="A1" s="475" t="s">
        <v>59</v>
      </c>
      <c r="B1" s="476" t="s">
        <v>58</v>
      </c>
      <c r="C1" s="476" t="s">
        <v>85</v>
      </c>
      <c r="D1" s="477" t="s">
        <v>57</v>
      </c>
      <c r="E1" s="478" t="s">
        <v>64</v>
      </c>
      <c r="F1" s="478" t="s">
        <v>60</v>
      </c>
      <c r="G1" s="478" t="s">
        <v>61</v>
      </c>
      <c r="H1" s="478" t="s">
        <v>62</v>
      </c>
      <c r="I1" s="478" t="s">
        <v>63</v>
      </c>
      <c r="J1" s="216" t="s">
        <v>116</v>
      </c>
      <c r="K1" s="479" t="s">
        <v>75</v>
      </c>
      <c r="L1" s="480"/>
      <c r="M1" s="480"/>
      <c r="N1" s="480"/>
      <c r="O1" s="480"/>
      <c r="P1" s="480"/>
      <c r="Q1" s="480"/>
      <c r="R1" s="480"/>
      <c r="S1" s="480"/>
      <c r="T1" s="480"/>
      <c r="U1" s="480"/>
      <c r="V1" s="480"/>
      <c r="W1" s="480"/>
      <c r="X1" s="480"/>
      <c r="Y1" s="480"/>
      <c r="Z1" s="480"/>
      <c r="AA1" s="480"/>
      <c r="AB1" s="480"/>
      <c r="AC1" s="480"/>
      <c r="AD1" s="480"/>
      <c r="AE1" s="480"/>
      <c r="AF1" s="480"/>
      <c r="AG1" s="480"/>
      <c r="AH1" s="480"/>
      <c r="AI1" s="480"/>
      <c r="AJ1" s="480"/>
      <c r="AK1" s="480"/>
      <c r="AL1" s="480"/>
      <c r="AM1" s="480"/>
      <c r="AN1" s="480"/>
      <c r="AO1" s="480"/>
      <c r="AP1" s="480"/>
      <c r="AQ1" s="480"/>
      <c r="AR1" s="480"/>
      <c r="AS1" s="480"/>
      <c r="AT1" s="480"/>
      <c r="AU1" s="480"/>
      <c r="AV1" s="480"/>
      <c r="AW1" s="480"/>
      <c r="AX1" s="480"/>
      <c r="AY1" s="480"/>
      <c r="AZ1" s="480"/>
      <c r="BA1" s="480"/>
      <c r="BB1" s="480"/>
      <c r="BC1" s="480"/>
      <c r="BD1" s="480"/>
      <c r="BE1" s="480"/>
      <c r="BF1" s="480"/>
      <c r="BG1" s="480"/>
      <c r="BH1" s="480"/>
      <c r="BI1" s="480"/>
      <c r="BJ1" s="480"/>
      <c r="BK1" s="480"/>
      <c r="BL1" s="480"/>
      <c r="BM1" s="480"/>
      <c r="BN1" s="480"/>
      <c r="BO1" s="480"/>
      <c r="BP1" s="480"/>
      <c r="BQ1" s="480"/>
      <c r="BR1" s="480"/>
      <c r="BS1" s="480"/>
      <c r="BT1" s="480"/>
      <c r="BU1" s="480"/>
      <c r="BV1" s="480"/>
      <c r="BW1" s="480"/>
      <c r="BX1" s="480"/>
      <c r="BY1" s="480"/>
      <c r="BZ1" s="480"/>
      <c r="CA1" s="480"/>
      <c r="CB1" s="480"/>
      <c r="CC1" s="480"/>
      <c r="CD1" s="480"/>
      <c r="CE1" s="480"/>
      <c r="CF1" s="480"/>
      <c r="CG1" s="480"/>
      <c r="CH1" s="480"/>
      <c r="CI1" s="480"/>
      <c r="CJ1" s="480"/>
      <c r="CK1" s="480"/>
      <c r="CL1" s="480"/>
      <c r="CM1" s="480"/>
      <c r="CN1" s="480"/>
      <c r="CO1" s="480"/>
      <c r="CP1" s="480"/>
      <c r="CQ1" s="480"/>
      <c r="CR1" s="480"/>
      <c r="CS1" s="480"/>
      <c r="CT1" s="480"/>
      <c r="CU1" s="480"/>
      <c r="CV1" s="480"/>
      <c r="CW1" s="480"/>
      <c r="CX1" s="480"/>
      <c r="CY1" s="480"/>
      <c r="CZ1" s="480"/>
      <c r="DA1" s="480"/>
      <c r="DB1" s="480"/>
      <c r="DC1" s="480"/>
      <c r="DD1" s="480"/>
      <c r="DE1" s="480"/>
      <c r="DF1" s="480"/>
      <c r="DG1" s="480"/>
      <c r="DH1" s="480"/>
      <c r="DI1" s="480"/>
      <c r="DJ1" s="480"/>
      <c r="DK1" s="480"/>
      <c r="DL1" s="480"/>
      <c r="DM1" s="480"/>
      <c r="DN1" s="480"/>
    </row>
    <row r="2" spans="1:118" x14ac:dyDescent="0.2">
      <c r="A2" s="348" t="s">
        <v>104</v>
      </c>
      <c r="B2" s="482" t="s">
        <v>809</v>
      </c>
      <c r="C2" s="483">
        <v>596</v>
      </c>
      <c r="D2" s="484" t="s">
        <v>838</v>
      </c>
      <c r="E2" s="309">
        <v>1</v>
      </c>
      <c r="F2" s="309">
        <v>1</v>
      </c>
      <c r="G2" s="309">
        <v>3</v>
      </c>
      <c r="H2" s="309">
        <v>1</v>
      </c>
      <c r="I2" s="309">
        <v>2</v>
      </c>
      <c r="J2" s="34">
        <f>IF( OR( ISBLANK(E2),ISBLANK(F2), ISBLANK(G2), ISBLANK(H2), ISBLANK(I2) ), "", 1.5*SQRT(   EXP(2.21*(E2-1)) + EXP(2.21*(F2-1)) + EXP(2.21*(G2-1)) + EXP(2.21*(H2-1)) + EXP(2.21*I2)   )/100*2.45 )</f>
        <v>0.47802211380704585</v>
      </c>
      <c r="K2" s="485" t="s">
        <v>839</v>
      </c>
    </row>
    <row r="3" spans="1:118" x14ac:dyDescent="0.2">
      <c r="A3" s="348" t="s">
        <v>104</v>
      </c>
      <c r="B3" s="487" t="s">
        <v>810</v>
      </c>
      <c r="C3" s="483">
        <v>50</v>
      </c>
      <c r="D3" s="484" t="s">
        <v>838</v>
      </c>
      <c r="E3" s="309">
        <v>1</v>
      </c>
      <c r="F3" s="309">
        <v>1</v>
      </c>
      <c r="G3" s="309">
        <v>3</v>
      </c>
      <c r="H3" s="309">
        <v>1</v>
      </c>
      <c r="I3" s="309">
        <v>2</v>
      </c>
      <c r="J3" s="34">
        <f t="shared" ref="J3:J71" si="0">IF( OR( ISBLANK(E3),ISBLANK(F3), ISBLANK(G3), ISBLANK(H3), ISBLANK(I3) ), "", 1.5*SQRT(   EXP(2.21*(E3-1)) + EXP(2.21*(F3-1)) + EXP(2.21*(G3-1)) + EXP(2.21*(H3-1)) + EXP(2.21*I3)   )/100*2.45 )</f>
        <v>0.47802211380704585</v>
      </c>
      <c r="K3" s="485" t="s">
        <v>839</v>
      </c>
    </row>
    <row r="4" spans="1:118" x14ac:dyDescent="0.2">
      <c r="A4" s="348" t="s">
        <v>104</v>
      </c>
      <c r="B4" s="488" t="s">
        <v>811</v>
      </c>
      <c r="C4" s="483">
        <v>486.19472999999994</v>
      </c>
      <c r="D4" s="484" t="s">
        <v>838</v>
      </c>
      <c r="E4" s="309">
        <v>1</v>
      </c>
      <c r="F4" s="309">
        <v>1</v>
      </c>
      <c r="G4" s="309">
        <v>3</v>
      </c>
      <c r="H4" s="309">
        <v>1</v>
      </c>
      <c r="I4" s="309">
        <v>2</v>
      </c>
      <c r="J4" s="34">
        <f t="shared" si="0"/>
        <v>0.47802211380704585</v>
      </c>
      <c r="K4" s="485" t="s">
        <v>839</v>
      </c>
    </row>
    <row r="5" spans="1:118" x14ac:dyDescent="0.2">
      <c r="A5" s="348" t="s">
        <v>104</v>
      </c>
      <c r="B5" s="489" t="s">
        <v>812</v>
      </c>
      <c r="C5" s="483">
        <v>153.72511800000001</v>
      </c>
      <c r="D5" s="484" t="s">
        <v>838</v>
      </c>
      <c r="E5" s="309">
        <v>1</v>
      </c>
      <c r="F5" s="309">
        <v>1</v>
      </c>
      <c r="G5" s="309">
        <v>3</v>
      </c>
      <c r="H5" s="309">
        <v>1</v>
      </c>
      <c r="I5" s="309">
        <v>2</v>
      </c>
      <c r="J5" s="34">
        <f t="shared" si="0"/>
        <v>0.47802211380704585</v>
      </c>
      <c r="K5" s="485" t="s">
        <v>839</v>
      </c>
    </row>
    <row r="6" spans="1:118" ht="16" thickBot="1" x14ac:dyDescent="0.25">
      <c r="A6" s="348" t="s">
        <v>104</v>
      </c>
      <c r="B6" s="490" t="s">
        <v>813</v>
      </c>
      <c r="C6" s="483">
        <v>35.385756000000001</v>
      </c>
      <c r="D6" s="484" t="s">
        <v>838</v>
      </c>
      <c r="E6" s="309">
        <v>1</v>
      </c>
      <c r="F6" s="309">
        <v>1</v>
      </c>
      <c r="G6" s="309">
        <v>3</v>
      </c>
      <c r="H6" s="309">
        <v>1</v>
      </c>
      <c r="I6" s="309">
        <v>2</v>
      </c>
      <c r="J6" s="34">
        <f t="shared" si="0"/>
        <v>0.47802211380704585</v>
      </c>
      <c r="K6" s="485" t="s">
        <v>839</v>
      </c>
    </row>
    <row r="7" spans="1:118" s="497" customFormat="1" x14ac:dyDescent="0.2">
      <c r="A7" s="491" t="s">
        <v>2</v>
      </c>
      <c r="B7" s="492" t="s">
        <v>809</v>
      </c>
      <c r="C7" s="493">
        <v>3509.6909999999998</v>
      </c>
      <c r="D7" s="494" t="s">
        <v>840</v>
      </c>
      <c r="E7" s="495">
        <v>1</v>
      </c>
      <c r="F7" s="495">
        <v>1</v>
      </c>
      <c r="G7" s="495">
        <v>1</v>
      </c>
      <c r="H7" s="495">
        <v>1</v>
      </c>
      <c r="I7" s="495">
        <v>2</v>
      </c>
      <c r="J7" s="496">
        <f t="shared" si="0"/>
        <v>0.34297081055722239</v>
      </c>
      <c r="K7" s="485"/>
      <c r="L7" s="486"/>
      <c r="M7" s="486"/>
      <c r="N7" s="486"/>
      <c r="O7" s="486"/>
      <c r="P7" s="486"/>
      <c r="Q7" s="486"/>
      <c r="R7" s="486"/>
      <c r="S7" s="486"/>
      <c r="T7" s="486"/>
      <c r="U7" s="486"/>
      <c r="V7" s="486"/>
      <c r="W7" s="486"/>
      <c r="X7" s="486"/>
      <c r="Y7" s="486"/>
      <c r="Z7" s="486"/>
      <c r="AA7" s="486"/>
      <c r="AB7" s="486"/>
      <c r="AC7" s="486"/>
      <c r="AD7" s="486"/>
      <c r="AE7" s="486"/>
      <c r="AF7" s="486"/>
      <c r="AG7" s="486"/>
      <c r="AH7" s="486"/>
      <c r="AI7" s="486"/>
      <c r="AJ7" s="486"/>
      <c r="AK7" s="486"/>
      <c r="AL7" s="486"/>
      <c r="AM7" s="486"/>
      <c r="AN7" s="486"/>
      <c r="AO7" s="486"/>
      <c r="AP7" s="486"/>
      <c r="AQ7" s="486"/>
      <c r="AR7" s="486"/>
      <c r="AS7" s="486"/>
      <c r="AT7" s="486"/>
      <c r="AU7" s="486"/>
      <c r="AV7" s="486"/>
      <c r="AW7" s="486"/>
      <c r="AX7" s="486"/>
      <c r="AY7" s="486"/>
      <c r="AZ7" s="486"/>
      <c r="BA7" s="486"/>
      <c r="BB7" s="486"/>
      <c r="BC7" s="486"/>
      <c r="BD7" s="486"/>
      <c r="BE7" s="486"/>
      <c r="BF7" s="486"/>
      <c r="BG7" s="486"/>
      <c r="BH7" s="486"/>
      <c r="BI7" s="486"/>
      <c r="BJ7" s="486"/>
      <c r="BK7" s="486"/>
      <c r="BL7" s="486"/>
      <c r="BM7" s="486"/>
      <c r="BN7" s="486"/>
      <c r="BO7" s="486"/>
      <c r="BP7" s="486"/>
      <c r="BQ7" s="486"/>
      <c r="BR7" s="486"/>
      <c r="BS7" s="486"/>
      <c r="BT7" s="486"/>
      <c r="BU7" s="486"/>
      <c r="BV7" s="486"/>
      <c r="BW7" s="486"/>
      <c r="BX7" s="486"/>
      <c r="BY7" s="486"/>
      <c r="BZ7" s="486"/>
      <c r="CA7" s="486"/>
      <c r="CB7" s="486"/>
      <c r="CC7" s="486"/>
      <c r="CD7" s="486"/>
      <c r="CE7" s="486"/>
      <c r="CF7" s="486"/>
      <c r="CG7" s="486"/>
      <c r="CH7" s="486"/>
      <c r="CI7" s="486"/>
      <c r="CJ7" s="486"/>
      <c r="CK7" s="486"/>
      <c r="CL7" s="486"/>
      <c r="CM7" s="486"/>
      <c r="CN7" s="486"/>
      <c r="CO7" s="486"/>
      <c r="CP7" s="486"/>
      <c r="CQ7" s="486"/>
      <c r="CR7" s="486"/>
      <c r="CS7" s="486"/>
      <c r="CT7" s="486"/>
      <c r="CU7" s="486"/>
      <c r="CV7" s="486"/>
      <c r="CW7" s="486"/>
      <c r="CX7" s="486"/>
      <c r="CY7" s="486"/>
      <c r="CZ7" s="486"/>
      <c r="DA7" s="486"/>
      <c r="DB7" s="486"/>
      <c r="DC7" s="486"/>
      <c r="DD7" s="486"/>
      <c r="DE7" s="486"/>
      <c r="DF7" s="486"/>
      <c r="DG7" s="486"/>
      <c r="DH7" s="486"/>
      <c r="DI7" s="486"/>
      <c r="DJ7" s="486"/>
      <c r="DK7" s="486"/>
      <c r="DL7" s="486"/>
      <c r="DM7" s="486"/>
      <c r="DN7" s="486"/>
    </row>
    <row r="8" spans="1:118" x14ac:dyDescent="0.2">
      <c r="A8" s="348" t="s">
        <v>2</v>
      </c>
      <c r="B8" s="482" t="s">
        <v>809</v>
      </c>
      <c r="C8" s="483">
        <v>3777.2460000000001</v>
      </c>
      <c r="D8" s="484" t="s">
        <v>99</v>
      </c>
      <c r="E8" s="309">
        <v>1</v>
      </c>
      <c r="F8" s="309">
        <v>2</v>
      </c>
      <c r="G8" s="309">
        <v>1</v>
      </c>
      <c r="H8" s="309">
        <v>1</v>
      </c>
      <c r="I8" s="309">
        <v>2</v>
      </c>
      <c r="J8" s="34">
        <f t="shared" si="0"/>
        <v>0.35859414261160716</v>
      </c>
      <c r="K8" s="485"/>
    </row>
    <row r="9" spans="1:118" x14ac:dyDescent="0.2">
      <c r="A9" s="348" t="s">
        <v>2</v>
      </c>
      <c r="B9" s="487" t="s">
        <v>810</v>
      </c>
      <c r="C9" s="483">
        <v>920.35</v>
      </c>
      <c r="D9" s="484" t="s">
        <v>840</v>
      </c>
      <c r="E9" s="309">
        <v>1</v>
      </c>
      <c r="F9" s="309">
        <v>1</v>
      </c>
      <c r="G9" s="309">
        <v>1</v>
      </c>
      <c r="H9" s="309">
        <v>1</v>
      </c>
      <c r="I9" s="309">
        <v>2</v>
      </c>
      <c r="J9" s="34">
        <f t="shared" si="0"/>
        <v>0.34297081055722239</v>
      </c>
      <c r="K9" s="485"/>
    </row>
    <row r="10" spans="1:118" x14ac:dyDescent="0.2">
      <c r="A10" s="348" t="s">
        <v>2</v>
      </c>
      <c r="B10" s="487" t="s">
        <v>810</v>
      </c>
      <c r="C10" s="483">
        <v>825</v>
      </c>
      <c r="D10" s="484" t="s">
        <v>99</v>
      </c>
      <c r="E10" s="309">
        <v>1</v>
      </c>
      <c r="F10" s="309">
        <v>2</v>
      </c>
      <c r="G10" s="309">
        <v>1</v>
      </c>
      <c r="H10" s="309">
        <v>1</v>
      </c>
      <c r="I10" s="309">
        <v>2</v>
      </c>
      <c r="J10" s="34">
        <f t="shared" si="0"/>
        <v>0.35859414261160716</v>
      </c>
      <c r="K10" s="485"/>
    </row>
    <row r="11" spans="1:118" x14ac:dyDescent="0.2">
      <c r="A11" s="348" t="s">
        <v>2</v>
      </c>
      <c r="B11" s="488" t="s">
        <v>811</v>
      </c>
      <c r="C11" s="483">
        <v>2467.73</v>
      </c>
      <c r="D11" s="484" t="s">
        <v>840</v>
      </c>
      <c r="E11" s="309">
        <v>1</v>
      </c>
      <c r="F11" s="309">
        <v>1</v>
      </c>
      <c r="G11" s="309">
        <v>1</v>
      </c>
      <c r="H11" s="309">
        <v>1</v>
      </c>
      <c r="I11" s="309">
        <v>2</v>
      </c>
      <c r="J11" s="34">
        <f t="shared" si="0"/>
        <v>0.34297081055722239</v>
      </c>
      <c r="K11" s="485"/>
    </row>
    <row r="12" spans="1:118" x14ac:dyDescent="0.2">
      <c r="A12" s="348" t="s">
        <v>2</v>
      </c>
      <c r="B12" s="488" t="s">
        <v>811</v>
      </c>
      <c r="C12" s="483">
        <f>1087+1075.696</f>
        <v>2162.6959999999999</v>
      </c>
      <c r="D12" s="484" t="s">
        <v>99</v>
      </c>
      <c r="E12" s="309">
        <v>1</v>
      </c>
      <c r="F12" s="309">
        <v>2</v>
      </c>
      <c r="G12" s="309">
        <v>1</v>
      </c>
      <c r="H12" s="309">
        <v>1</v>
      </c>
      <c r="I12" s="309">
        <v>2</v>
      </c>
      <c r="J12" s="34">
        <f t="shared" si="0"/>
        <v>0.35859414261160716</v>
      </c>
      <c r="K12" s="485"/>
    </row>
    <row r="13" spans="1:118" x14ac:dyDescent="0.2">
      <c r="A13" s="348" t="s">
        <v>2</v>
      </c>
      <c r="B13" s="489" t="s">
        <v>812</v>
      </c>
      <c r="C13" s="483">
        <v>1482.8679999999999</v>
      </c>
      <c r="D13" s="484" t="s">
        <v>840</v>
      </c>
      <c r="E13" s="309">
        <v>1</v>
      </c>
      <c r="F13" s="309">
        <v>1</v>
      </c>
      <c r="G13" s="309">
        <v>1</v>
      </c>
      <c r="H13" s="309">
        <v>1</v>
      </c>
      <c r="I13" s="309">
        <v>2</v>
      </c>
      <c r="J13" s="34">
        <f t="shared" si="0"/>
        <v>0.34297081055722239</v>
      </c>
      <c r="K13" s="485"/>
    </row>
    <row r="14" spans="1:118" x14ac:dyDescent="0.2">
      <c r="A14" s="348" t="s">
        <v>2</v>
      </c>
      <c r="B14" s="489" t="s">
        <v>812</v>
      </c>
      <c r="C14" s="483">
        <v>938</v>
      </c>
      <c r="D14" s="484" t="s">
        <v>99</v>
      </c>
      <c r="E14" s="309">
        <v>1</v>
      </c>
      <c r="F14" s="309">
        <v>2</v>
      </c>
      <c r="G14" s="309">
        <v>1</v>
      </c>
      <c r="H14" s="309">
        <v>1</v>
      </c>
      <c r="I14" s="309">
        <v>2</v>
      </c>
      <c r="J14" s="34">
        <f t="shared" si="0"/>
        <v>0.35859414261160716</v>
      </c>
      <c r="K14" s="485"/>
    </row>
    <row r="15" spans="1:118" x14ac:dyDescent="0.2">
      <c r="A15" s="348" t="s">
        <v>2</v>
      </c>
      <c r="B15" s="490" t="s">
        <v>813</v>
      </c>
      <c r="C15" s="483">
        <v>245.256</v>
      </c>
      <c r="D15" s="484" t="s">
        <v>840</v>
      </c>
      <c r="E15" s="309">
        <v>1</v>
      </c>
      <c r="F15" s="309">
        <v>1</v>
      </c>
      <c r="G15" s="309">
        <v>1</v>
      </c>
      <c r="H15" s="309">
        <v>1</v>
      </c>
      <c r="I15" s="309">
        <v>2</v>
      </c>
      <c r="J15" s="34">
        <f t="shared" si="0"/>
        <v>0.34297081055722239</v>
      </c>
      <c r="K15" s="485"/>
    </row>
    <row r="16" spans="1:118" s="505" customFormat="1" ht="16" thickBot="1" x14ac:dyDescent="0.25">
      <c r="A16" s="498" t="s">
        <v>2</v>
      </c>
      <c r="B16" s="499" t="s">
        <v>813</v>
      </c>
      <c r="C16" s="500">
        <v>312</v>
      </c>
      <c r="D16" s="501" t="s">
        <v>99</v>
      </c>
      <c r="E16" s="502">
        <v>1</v>
      </c>
      <c r="F16" s="502">
        <v>2</v>
      </c>
      <c r="G16" s="502">
        <v>1</v>
      </c>
      <c r="H16" s="502">
        <v>1</v>
      </c>
      <c r="I16" s="502">
        <v>2</v>
      </c>
      <c r="J16" s="503">
        <f t="shared" si="0"/>
        <v>0.35859414261160716</v>
      </c>
      <c r="K16" s="504"/>
      <c r="L16" s="486"/>
      <c r="M16" s="486"/>
      <c r="N16" s="486"/>
      <c r="O16" s="486"/>
      <c r="P16" s="486"/>
      <c r="Q16" s="486"/>
      <c r="R16" s="486"/>
      <c r="S16" s="486"/>
      <c r="T16" s="486"/>
      <c r="U16" s="486"/>
      <c r="V16" s="486"/>
      <c r="W16" s="486"/>
      <c r="X16" s="486"/>
      <c r="Y16" s="486"/>
      <c r="Z16" s="486"/>
      <c r="AA16" s="486"/>
      <c r="AB16" s="486"/>
      <c r="AC16" s="486"/>
      <c r="AD16" s="486"/>
      <c r="AE16" s="486"/>
      <c r="AF16" s="486"/>
      <c r="AG16" s="486"/>
      <c r="AH16" s="486"/>
      <c r="AI16" s="486"/>
      <c r="AJ16" s="486"/>
      <c r="AK16" s="486"/>
      <c r="AL16" s="486"/>
      <c r="AM16" s="486"/>
      <c r="AN16" s="486"/>
      <c r="AO16" s="486"/>
      <c r="AP16" s="486"/>
      <c r="AQ16" s="486"/>
      <c r="AR16" s="486"/>
      <c r="AS16" s="486"/>
      <c r="AT16" s="486"/>
      <c r="AU16" s="486"/>
      <c r="AV16" s="486"/>
      <c r="AW16" s="486"/>
      <c r="AX16" s="486"/>
      <c r="AY16" s="486"/>
      <c r="AZ16" s="486"/>
      <c r="BA16" s="486"/>
      <c r="BB16" s="486"/>
      <c r="BC16" s="486"/>
      <c r="BD16" s="486"/>
      <c r="BE16" s="486"/>
      <c r="BF16" s="486"/>
      <c r="BG16" s="486"/>
      <c r="BH16" s="486"/>
      <c r="BI16" s="486"/>
      <c r="BJ16" s="486"/>
      <c r="BK16" s="486"/>
      <c r="BL16" s="486"/>
      <c r="BM16" s="486"/>
      <c r="BN16" s="486"/>
      <c r="BO16" s="486"/>
      <c r="BP16" s="486"/>
      <c r="BQ16" s="486"/>
      <c r="BR16" s="486"/>
      <c r="BS16" s="486"/>
      <c r="BT16" s="486"/>
      <c r="BU16" s="486"/>
      <c r="BV16" s="486"/>
      <c r="BW16" s="486"/>
      <c r="BX16" s="486"/>
      <c r="BY16" s="486"/>
      <c r="BZ16" s="486"/>
      <c r="CA16" s="486"/>
      <c r="CB16" s="486"/>
      <c r="CC16" s="486"/>
      <c r="CD16" s="486"/>
      <c r="CE16" s="486"/>
      <c r="CF16" s="486"/>
      <c r="CG16" s="486"/>
      <c r="CH16" s="486"/>
      <c r="CI16" s="486"/>
      <c r="CJ16" s="486"/>
      <c r="CK16" s="486"/>
      <c r="CL16" s="486"/>
      <c r="CM16" s="486"/>
      <c r="CN16" s="486"/>
      <c r="CO16" s="486"/>
      <c r="CP16" s="486"/>
      <c r="CQ16" s="486"/>
      <c r="CR16" s="486"/>
      <c r="CS16" s="486"/>
      <c r="CT16" s="486"/>
      <c r="CU16" s="486"/>
      <c r="CV16" s="486"/>
      <c r="CW16" s="486"/>
      <c r="CX16" s="486"/>
      <c r="CY16" s="486"/>
      <c r="CZ16" s="486"/>
      <c r="DA16" s="486"/>
      <c r="DB16" s="486"/>
      <c r="DC16" s="486"/>
      <c r="DD16" s="486"/>
      <c r="DE16" s="486"/>
      <c r="DF16" s="486"/>
      <c r="DG16" s="486"/>
      <c r="DH16" s="486"/>
      <c r="DI16" s="486"/>
      <c r="DJ16" s="486"/>
      <c r="DK16" s="486"/>
      <c r="DL16" s="486"/>
      <c r="DM16" s="486"/>
      <c r="DN16" s="486"/>
    </row>
    <row r="17" spans="1:118" s="497" customFormat="1" x14ac:dyDescent="0.2">
      <c r="A17" s="491" t="s">
        <v>3</v>
      </c>
      <c r="B17" s="492" t="s">
        <v>809</v>
      </c>
      <c r="C17" s="493">
        <v>-394.68450000000001</v>
      </c>
      <c r="D17" s="494" t="s">
        <v>841</v>
      </c>
      <c r="E17" s="495">
        <v>1</v>
      </c>
      <c r="F17" s="495">
        <v>1</v>
      </c>
      <c r="G17" s="495">
        <v>1</v>
      </c>
      <c r="H17" s="495">
        <v>1</v>
      </c>
      <c r="I17" s="495">
        <v>2</v>
      </c>
      <c r="J17" s="496">
        <f t="shared" si="0"/>
        <v>0.34297081055722239</v>
      </c>
      <c r="K17" s="485"/>
      <c r="L17" s="486"/>
      <c r="M17" s="486"/>
      <c r="N17" s="486"/>
      <c r="O17" s="486"/>
      <c r="P17" s="486"/>
      <c r="Q17" s="486"/>
      <c r="R17" s="486"/>
      <c r="S17" s="486"/>
      <c r="T17" s="486"/>
      <c r="U17" s="486"/>
      <c r="V17" s="486"/>
      <c r="W17" s="486"/>
      <c r="X17" s="486"/>
      <c r="Y17" s="486"/>
      <c r="Z17" s="486"/>
      <c r="AA17" s="486"/>
      <c r="AB17" s="486"/>
      <c r="AC17" s="486"/>
      <c r="AD17" s="486"/>
      <c r="AE17" s="486"/>
      <c r="AF17" s="486"/>
      <c r="AG17" s="486"/>
      <c r="AH17" s="486"/>
      <c r="AI17" s="486"/>
      <c r="AJ17" s="486"/>
      <c r="AK17" s="486"/>
      <c r="AL17" s="486"/>
      <c r="AM17" s="486"/>
      <c r="AN17" s="486"/>
      <c r="AO17" s="486"/>
      <c r="AP17" s="486"/>
      <c r="AQ17" s="486"/>
      <c r="AR17" s="486"/>
      <c r="AS17" s="486"/>
      <c r="AT17" s="486"/>
      <c r="AU17" s="486"/>
      <c r="AV17" s="486"/>
      <c r="AW17" s="486"/>
      <c r="AX17" s="486"/>
      <c r="AY17" s="486"/>
      <c r="AZ17" s="486"/>
      <c r="BA17" s="486"/>
      <c r="BB17" s="486"/>
      <c r="BC17" s="486"/>
      <c r="BD17" s="486"/>
      <c r="BE17" s="486"/>
      <c r="BF17" s="486"/>
      <c r="BG17" s="486"/>
      <c r="BH17" s="486"/>
      <c r="BI17" s="486"/>
      <c r="BJ17" s="486"/>
      <c r="BK17" s="486"/>
      <c r="BL17" s="486"/>
      <c r="BM17" s="486"/>
      <c r="BN17" s="486"/>
      <c r="BO17" s="486"/>
      <c r="BP17" s="486"/>
      <c r="BQ17" s="486"/>
      <c r="BR17" s="486"/>
      <c r="BS17" s="486"/>
      <c r="BT17" s="486"/>
      <c r="BU17" s="486"/>
      <c r="BV17" s="486"/>
      <c r="BW17" s="486"/>
      <c r="BX17" s="486"/>
      <c r="BY17" s="486"/>
      <c r="BZ17" s="486"/>
      <c r="CA17" s="486"/>
      <c r="CB17" s="486"/>
      <c r="CC17" s="486"/>
      <c r="CD17" s="486"/>
      <c r="CE17" s="486"/>
      <c r="CF17" s="486"/>
      <c r="CG17" s="486"/>
      <c r="CH17" s="486"/>
      <c r="CI17" s="486"/>
      <c r="CJ17" s="486"/>
      <c r="CK17" s="486"/>
      <c r="CL17" s="486"/>
      <c r="CM17" s="486"/>
      <c r="CN17" s="486"/>
      <c r="CO17" s="486"/>
      <c r="CP17" s="486"/>
      <c r="CQ17" s="486"/>
      <c r="CR17" s="486"/>
      <c r="CS17" s="486"/>
      <c r="CT17" s="486"/>
      <c r="CU17" s="486"/>
      <c r="CV17" s="486"/>
      <c r="CW17" s="486"/>
      <c r="CX17" s="486"/>
      <c r="CY17" s="486"/>
      <c r="CZ17" s="486"/>
      <c r="DA17" s="486"/>
      <c r="DB17" s="486"/>
      <c r="DC17" s="486"/>
      <c r="DD17" s="486"/>
      <c r="DE17" s="486"/>
      <c r="DF17" s="486"/>
      <c r="DG17" s="486"/>
      <c r="DH17" s="486"/>
      <c r="DI17" s="486"/>
      <c r="DJ17" s="486"/>
      <c r="DK17" s="486"/>
      <c r="DL17" s="486"/>
      <c r="DM17" s="486"/>
      <c r="DN17" s="486"/>
    </row>
    <row r="18" spans="1:118" x14ac:dyDescent="0.2">
      <c r="A18" s="348" t="s">
        <v>3</v>
      </c>
      <c r="B18" s="487" t="s">
        <v>810</v>
      </c>
      <c r="C18" s="483">
        <v>98.777000000000001</v>
      </c>
      <c r="D18" s="484" t="s">
        <v>841</v>
      </c>
      <c r="E18" s="309">
        <v>1</v>
      </c>
      <c r="F18" s="309">
        <v>1</v>
      </c>
      <c r="G18" s="309">
        <v>1</v>
      </c>
      <c r="H18" s="309">
        <v>1</v>
      </c>
      <c r="I18" s="309">
        <v>2</v>
      </c>
      <c r="J18" s="34">
        <f t="shared" si="0"/>
        <v>0.34297081055722239</v>
      </c>
      <c r="K18" s="485"/>
    </row>
    <row r="19" spans="1:118" x14ac:dyDescent="0.2">
      <c r="A19" s="348" t="s">
        <v>3</v>
      </c>
      <c r="B19" s="488" t="s">
        <v>811</v>
      </c>
      <c r="C19" s="483">
        <v>-214.85830000000001</v>
      </c>
      <c r="D19" s="484" t="s">
        <v>841</v>
      </c>
      <c r="E19" s="309">
        <v>1</v>
      </c>
      <c r="F19" s="309">
        <v>1</v>
      </c>
      <c r="G19" s="309">
        <v>1</v>
      </c>
      <c r="H19" s="309">
        <v>1</v>
      </c>
      <c r="I19" s="309">
        <v>2</v>
      </c>
      <c r="J19" s="34">
        <f t="shared" si="0"/>
        <v>0.34297081055722239</v>
      </c>
      <c r="K19" s="485"/>
    </row>
    <row r="20" spans="1:118" x14ac:dyDescent="0.2">
      <c r="A20" s="348" t="s">
        <v>3</v>
      </c>
      <c r="B20" s="489" t="s">
        <v>812</v>
      </c>
      <c r="C20" s="483">
        <v>-124.1156</v>
      </c>
      <c r="D20" s="484" t="s">
        <v>841</v>
      </c>
      <c r="E20" s="309">
        <v>1</v>
      </c>
      <c r="F20" s="309">
        <v>1</v>
      </c>
      <c r="G20" s="309">
        <v>1</v>
      </c>
      <c r="H20" s="309">
        <v>1</v>
      </c>
      <c r="I20" s="309">
        <v>2</v>
      </c>
      <c r="J20" s="34">
        <f t="shared" si="0"/>
        <v>0.34297081055722239</v>
      </c>
      <c r="K20" s="485"/>
    </row>
    <row r="21" spans="1:118" ht="16" thickBot="1" x14ac:dyDescent="0.25">
      <c r="A21" s="498" t="s">
        <v>3</v>
      </c>
      <c r="B21" s="499" t="s">
        <v>813</v>
      </c>
      <c r="C21" s="500">
        <v>25.593299999999999</v>
      </c>
      <c r="D21" s="501" t="s">
        <v>841</v>
      </c>
      <c r="E21" s="506">
        <v>1</v>
      </c>
      <c r="F21" s="502">
        <v>1</v>
      </c>
      <c r="G21" s="502">
        <v>1</v>
      </c>
      <c r="H21" s="502">
        <v>1</v>
      </c>
      <c r="I21" s="502">
        <v>2</v>
      </c>
      <c r="J21" s="503">
        <f t="shared" si="0"/>
        <v>0.34297081055722239</v>
      </c>
      <c r="K21" s="485"/>
    </row>
    <row r="22" spans="1:118" s="497" customFormat="1" x14ac:dyDescent="0.2">
      <c r="A22" s="491" t="s">
        <v>4</v>
      </c>
      <c r="B22" s="492" t="s">
        <v>809</v>
      </c>
      <c r="C22" s="493">
        <v>0.98013740000000005</v>
      </c>
      <c r="D22" s="494" t="s">
        <v>842</v>
      </c>
      <c r="E22" s="495">
        <v>1</v>
      </c>
      <c r="F22" s="495">
        <v>1</v>
      </c>
      <c r="G22" s="495">
        <v>2</v>
      </c>
      <c r="H22" s="495">
        <v>1</v>
      </c>
      <c r="I22" s="495">
        <v>2</v>
      </c>
      <c r="J22" s="496">
        <f t="shared" si="0"/>
        <v>0.35859414261160716</v>
      </c>
      <c r="K22" s="507"/>
      <c r="L22" s="486"/>
      <c r="M22" s="486"/>
      <c r="N22" s="486"/>
      <c r="O22" s="486"/>
      <c r="P22" s="486"/>
      <c r="Q22" s="486"/>
      <c r="R22" s="486"/>
      <c r="S22" s="486"/>
      <c r="T22" s="486"/>
      <c r="U22" s="486"/>
      <c r="V22" s="486"/>
      <c r="W22" s="486"/>
      <c r="X22" s="486"/>
      <c r="Y22" s="486"/>
      <c r="Z22" s="486"/>
      <c r="AA22" s="486"/>
      <c r="AB22" s="486"/>
      <c r="AC22" s="486"/>
      <c r="AD22" s="486"/>
      <c r="AE22" s="486"/>
      <c r="AF22" s="486"/>
      <c r="AG22" s="486"/>
      <c r="AH22" s="486"/>
      <c r="AI22" s="486"/>
      <c r="AJ22" s="486"/>
      <c r="AK22" s="486"/>
      <c r="AL22" s="486"/>
      <c r="AM22" s="486"/>
      <c r="AN22" s="486"/>
      <c r="AO22" s="486"/>
      <c r="AP22" s="486"/>
      <c r="AQ22" s="486"/>
      <c r="AR22" s="486"/>
      <c r="AS22" s="486"/>
      <c r="AT22" s="486"/>
      <c r="AU22" s="486"/>
      <c r="AV22" s="486"/>
      <c r="AW22" s="486"/>
      <c r="AX22" s="486"/>
      <c r="AY22" s="486"/>
      <c r="AZ22" s="486"/>
      <c r="BA22" s="486"/>
      <c r="BB22" s="486"/>
      <c r="BC22" s="486"/>
      <c r="BD22" s="486"/>
      <c r="BE22" s="486"/>
      <c r="BF22" s="486"/>
      <c r="BG22" s="486"/>
      <c r="BH22" s="486"/>
      <c r="BI22" s="486"/>
      <c r="BJ22" s="486"/>
      <c r="BK22" s="486"/>
      <c r="BL22" s="486"/>
      <c r="BM22" s="486"/>
      <c r="BN22" s="486"/>
      <c r="BO22" s="486"/>
      <c r="BP22" s="486"/>
      <c r="BQ22" s="486"/>
      <c r="BR22" s="486"/>
      <c r="BS22" s="486"/>
      <c r="BT22" s="486"/>
      <c r="BU22" s="486"/>
      <c r="BV22" s="486"/>
      <c r="BW22" s="486"/>
      <c r="BX22" s="486"/>
      <c r="BY22" s="486"/>
      <c r="BZ22" s="486"/>
      <c r="CA22" s="486"/>
      <c r="CB22" s="486"/>
      <c r="CC22" s="486"/>
      <c r="CD22" s="486"/>
      <c r="CE22" s="486"/>
      <c r="CF22" s="486"/>
      <c r="CG22" s="486"/>
      <c r="CH22" s="486"/>
      <c r="CI22" s="486"/>
      <c r="CJ22" s="486"/>
      <c r="CK22" s="486"/>
      <c r="CL22" s="486"/>
      <c r="CM22" s="486"/>
      <c r="CN22" s="486"/>
      <c r="CO22" s="486"/>
      <c r="CP22" s="486"/>
      <c r="CQ22" s="486"/>
      <c r="CR22" s="486"/>
      <c r="CS22" s="486"/>
      <c r="CT22" s="486"/>
      <c r="CU22" s="486"/>
      <c r="CV22" s="486"/>
      <c r="CW22" s="486"/>
      <c r="CX22" s="486"/>
      <c r="CY22" s="486"/>
      <c r="CZ22" s="486"/>
      <c r="DA22" s="486"/>
      <c r="DB22" s="486"/>
      <c r="DC22" s="486"/>
      <c r="DD22" s="486"/>
      <c r="DE22" s="486"/>
      <c r="DF22" s="486"/>
      <c r="DG22" s="486"/>
      <c r="DH22" s="486"/>
      <c r="DI22" s="486"/>
      <c r="DJ22" s="486"/>
      <c r="DK22" s="486"/>
      <c r="DL22" s="486"/>
      <c r="DM22" s="486"/>
      <c r="DN22" s="486"/>
    </row>
    <row r="23" spans="1:118" x14ac:dyDescent="0.2">
      <c r="A23" s="348" t="s">
        <v>4</v>
      </c>
      <c r="B23" s="487" t="s">
        <v>810</v>
      </c>
      <c r="C23" s="483">
        <v>0</v>
      </c>
      <c r="D23" s="484"/>
      <c r="I23" s="309"/>
      <c r="J23" s="34" t="str">
        <f t="shared" si="0"/>
        <v/>
      </c>
      <c r="K23" s="507"/>
    </row>
    <row r="24" spans="1:118" x14ac:dyDescent="0.2">
      <c r="A24" s="348" t="s">
        <v>4</v>
      </c>
      <c r="B24" s="488" t="s">
        <v>811</v>
      </c>
      <c r="C24" s="483">
        <v>5.79026</v>
      </c>
      <c r="D24" s="484" t="s">
        <v>842</v>
      </c>
      <c r="E24" s="309">
        <v>1</v>
      </c>
      <c r="F24" s="309">
        <v>2</v>
      </c>
      <c r="G24" s="309">
        <v>2</v>
      </c>
      <c r="H24" s="309">
        <v>1</v>
      </c>
      <c r="I24" s="309">
        <v>2</v>
      </c>
      <c r="J24" s="34">
        <f t="shared" si="0"/>
        <v>0.37356464144298934</v>
      </c>
      <c r="K24" s="507"/>
    </row>
    <row r="25" spans="1:118" x14ac:dyDescent="0.2">
      <c r="A25" s="348" t="s">
        <v>4</v>
      </c>
      <c r="B25" s="489" t="s">
        <v>812</v>
      </c>
      <c r="C25" s="483">
        <v>0</v>
      </c>
      <c r="D25" s="484"/>
      <c r="I25" s="309"/>
      <c r="J25" s="34" t="str">
        <f t="shared" si="0"/>
        <v/>
      </c>
      <c r="K25" s="507"/>
    </row>
    <row r="26" spans="1:118" ht="16" thickBot="1" x14ac:dyDescent="0.25">
      <c r="A26" s="498" t="s">
        <v>4</v>
      </c>
      <c r="B26" s="499" t="s">
        <v>813</v>
      </c>
      <c r="C26" s="500">
        <v>0</v>
      </c>
      <c r="D26" s="501"/>
      <c r="E26" s="502"/>
      <c r="F26" s="502"/>
      <c r="G26" s="502"/>
      <c r="H26" s="502"/>
      <c r="I26" s="502"/>
      <c r="J26" s="503" t="str">
        <f t="shared" si="0"/>
        <v/>
      </c>
      <c r="K26" s="507"/>
    </row>
    <row r="27" spans="1:118" s="497" customFormat="1" x14ac:dyDescent="0.2">
      <c r="A27" s="508" t="s">
        <v>6</v>
      </c>
      <c r="B27" s="492" t="s">
        <v>809</v>
      </c>
      <c r="C27" s="493">
        <v>-0.30110599999999998</v>
      </c>
      <c r="D27" s="494" t="s">
        <v>843</v>
      </c>
      <c r="E27" s="68">
        <v>1</v>
      </c>
      <c r="F27" s="68">
        <v>1</v>
      </c>
      <c r="G27" s="68">
        <v>2</v>
      </c>
      <c r="H27" s="68">
        <v>1</v>
      </c>
      <c r="I27" s="83">
        <v>2</v>
      </c>
      <c r="J27" s="509">
        <f t="shared" si="0"/>
        <v>0.35859414261160716</v>
      </c>
      <c r="K27" s="485"/>
      <c r="L27" s="486"/>
      <c r="M27" s="486"/>
      <c r="N27" s="486"/>
      <c r="O27" s="486"/>
      <c r="P27" s="486"/>
      <c r="Q27" s="486"/>
      <c r="R27" s="486"/>
      <c r="S27" s="486"/>
      <c r="T27" s="486"/>
      <c r="U27" s="486"/>
      <c r="V27" s="486"/>
      <c r="W27" s="486"/>
      <c r="X27" s="486"/>
      <c r="Y27" s="486"/>
      <c r="Z27" s="486"/>
      <c r="AA27" s="486"/>
      <c r="AB27" s="486"/>
      <c r="AC27" s="486"/>
      <c r="AD27" s="486"/>
      <c r="AE27" s="486"/>
      <c r="AF27" s="486"/>
      <c r="AG27" s="486"/>
      <c r="AH27" s="486"/>
      <c r="AI27" s="486"/>
      <c r="AJ27" s="486"/>
      <c r="AK27" s="486"/>
      <c r="AL27" s="486"/>
      <c r="AM27" s="486"/>
      <c r="AN27" s="486"/>
      <c r="AO27" s="486"/>
      <c r="AP27" s="486"/>
      <c r="AQ27" s="486"/>
      <c r="AR27" s="486"/>
      <c r="AS27" s="486"/>
      <c r="AT27" s="486"/>
      <c r="AU27" s="486"/>
      <c r="AV27" s="486"/>
      <c r="AW27" s="486"/>
      <c r="AX27" s="486"/>
      <c r="AY27" s="486"/>
      <c r="AZ27" s="486"/>
      <c r="BA27" s="486"/>
      <c r="BB27" s="486"/>
      <c r="BC27" s="486"/>
      <c r="BD27" s="486"/>
      <c r="BE27" s="486"/>
      <c r="BF27" s="486"/>
      <c r="BG27" s="486"/>
      <c r="BH27" s="486"/>
      <c r="BI27" s="486"/>
      <c r="BJ27" s="486"/>
      <c r="BK27" s="486"/>
      <c r="BL27" s="486"/>
      <c r="BM27" s="486"/>
      <c r="BN27" s="486"/>
      <c r="BO27" s="486"/>
      <c r="BP27" s="486"/>
      <c r="BQ27" s="486"/>
      <c r="BR27" s="486"/>
      <c r="BS27" s="486"/>
      <c r="BT27" s="486"/>
      <c r="BU27" s="486"/>
      <c r="BV27" s="486"/>
      <c r="BW27" s="486"/>
      <c r="BX27" s="486"/>
      <c r="BY27" s="486"/>
      <c r="BZ27" s="486"/>
      <c r="CA27" s="486"/>
      <c r="CB27" s="486"/>
      <c r="CC27" s="486"/>
      <c r="CD27" s="486"/>
      <c r="CE27" s="486"/>
      <c r="CF27" s="486"/>
      <c r="CG27" s="486"/>
      <c r="CH27" s="486"/>
      <c r="CI27" s="486"/>
      <c r="CJ27" s="486"/>
      <c r="CK27" s="486"/>
      <c r="CL27" s="486"/>
      <c r="CM27" s="486"/>
      <c r="CN27" s="486"/>
      <c r="CO27" s="486"/>
      <c r="CP27" s="486"/>
      <c r="CQ27" s="486"/>
      <c r="CR27" s="486"/>
      <c r="CS27" s="486"/>
      <c r="CT27" s="486"/>
      <c r="CU27" s="486"/>
      <c r="CV27" s="486"/>
      <c r="CW27" s="486"/>
      <c r="CX27" s="486"/>
      <c r="CY27" s="486"/>
      <c r="CZ27" s="486"/>
      <c r="DA27" s="486"/>
      <c r="DB27" s="486"/>
      <c r="DC27" s="486"/>
      <c r="DD27" s="486"/>
      <c r="DE27" s="486"/>
      <c r="DF27" s="486"/>
      <c r="DG27" s="486"/>
      <c r="DH27" s="486"/>
      <c r="DI27" s="486"/>
      <c r="DJ27" s="486"/>
      <c r="DK27" s="486"/>
      <c r="DL27" s="486"/>
      <c r="DM27" s="486"/>
      <c r="DN27" s="486"/>
    </row>
    <row r="28" spans="1:118" x14ac:dyDescent="0.2">
      <c r="A28" s="353" t="s">
        <v>6</v>
      </c>
      <c r="B28" s="487" t="s">
        <v>810</v>
      </c>
      <c r="C28" s="483">
        <v>-7.3582400000000003</v>
      </c>
      <c r="D28" s="484" t="s">
        <v>843</v>
      </c>
      <c r="E28" s="309">
        <v>1</v>
      </c>
      <c r="F28" s="309">
        <v>1</v>
      </c>
      <c r="G28" s="309">
        <v>2</v>
      </c>
      <c r="H28" s="309">
        <v>1</v>
      </c>
      <c r="I28" s="66">
        <v>2</v>
      </c>
      <c r="J28" s="510">
        <f t="shared" si="0"/>
        <v>0.35859414261160716</v>
      </c>
      <c r="K28" s="485"/>
    </row>
    <row r="29" spans="1:118" x14ac:dyDescent="0.2">
      <c r="A29" s="353" t="s">
        <v>6</v>
      </c>
      <c r="B29" s="488" t="s">
        <v>811</v>
      </c>
      <c r="C29" s="483">
        <v>-10.89963</v>
      </c>
      <c r="D29" s="484" t="s">
        <v>843</v>
      </c>
      <c r="E29" s="309">
        <v>1</v>
      </c>
      <c r="F29" s="309">
        <v>1</v>
      </c>
      <c r="G29" s="309">
        <v>2</v>
      </c>
      <c r="H29" s="309">
        <v>1</v>
      </c>
      <c r="I29" s="66">
        <v>2</v>
      </c>
      <c r="J29" s="510">
        <f t="shared" si="0"/>
        <v>0.35859414261160716</v>
      </c>
      <c r="K29" s="485"/>
    </row>
    <row r="30" spans="1:118" x14ac:dyDescent="0.2">
      <c r="A30" s="353" t="s">
        <v>6</v>
      </c>
      <c r="B30" s="489" t="s">
        <v>812</v>
      </c>
      <c r="C30" s="483">
        <v>-0.72342090000000003</v>
      </c>
      <c r="D30" s="484" t="s">
        <v>843</v>
      </c>
      <c r="E30" s="309">
        <v>1</v>
      </c>
      <c r="F30" s="309">
        <v>1</v>
      </c>
      <c r="G30" s="309">
        <v>2</v>
      </c>
      <c r="H30" s="309">
        <v>1</v>
      </c>
      <c r="I30" s="66">
        <v>2</v>
      </c>
      <c r="J30" s="510">
        <f t="shared" si="0"/>
        <v>0.35859414261160716</v>
      </c>
      <c r="K30" s="485"/>
    </row>
    <row r="31" spans="1:118" ht="16" thickBot="1" x14ac:dyDescent="0.25">
      <c r="A31" s="511" t="s">
        <v>6</v>
      </c>
      <c r="B31" s="499" t="s">
        <v>813</v>
      </c>
      <c r="C31" s="500">
        <v>0.33258280000000001</v>
      </c>
      <c r="D31" s="501" t="s">
        <v>843</v>
      </c>
      <c r="E31" s="309">
        <v>1</v>
      </c>
      <c r="F31" s="309">
        <v>1</v>
      </c>
      <c r="G31" s="309">
        <v>2</v>
      </c>
      <c r="H31" s="309">
        <v>1</v>
      </c>
      <c r="I31" s="66">
        <v>2</v>
      </c>
      <c r="J31" s="510">
        <f t="shared" si="0"/>
        <v>0.35859414261160716</v>
      </c>
      <c r="K31" s="485"/>
    </row>
    <row r="32" spans="1:118" x14ac:dyDescent="0.2">
      <c r="A32" s="508" t="s">
        <v>5</v>
      </c>
      <c r="B32" s="492" t="s">
        <v>809</v>
      </c>
      <c r="C32" s="493">
        <v>3.99579</v>
      </c>
      <c r="D32" s="494" t="s">
        <v>843</v>
      </c>
      <c r="E32" s="309">
        <v>1</v>
      </c>
      <c r="F32" s="309">
        <v>1</v>
      </c>
      <c r="G32" s="309">
        <v>2</v>
      </c>
      <c r="H32" s="309">
        <v>1</v>
      </c>
      <c r="I32" s="66">
        <v>2</v>
      </c>
      <c r="J32" s="510">
        <f t="shared" si="0"/>
        <v>0.35859414261160716</v>
      </c>
      <c r="K32" s="485"/>
    </row>
    <row r="33" spans="1:118" x14ac:dyDescent="0.2">
      <c r="A33" s="353" t="s">
        <v>5</v>
      </c>
      <c r="B33" s="487" t="s">
        <v>810</v>
      </c>
      <c r="C33" s="483">
        <v>0</v>
      </c>
      <c r="D33" s="484"/>
      <c r="I33" s="309"/>
      <c r="J33" s="34" t="str">
        <f t="shared" si="0"/>
        <v/>
      </c>
      <c r="K33" s="485"/>
    </row>
    <row r="34" spans="1:118" x14ac:dyDescent="0.2">
      <c r="A34" s="353" t="s">
        <v>5</v>
      </c>
      <c r="B34" s="488" t="s">
        <v>811</v>
      </c>
      <c r="C34" s="483">
        <v>47.900239999999997</v>
      </c>
      <c r="D34" s="484" t="s">
        <v>844</v>
      </c>
      <c r="E34" s="309">
        <v>1</v>
      </c>
      <c r="F34" s="309">
        <v>1</v>
      </c>
      <c r="G34" s="309">
        <v>2</v>
      </c>
      <c r="H34" s="309">
        <v>1</v>
      </c>
      <c r="I34" s="66">
        <v>2</v>
      </c>
      <c r="J34" s="510">
        <f t="shared" si="0"/>
        <v>0.35859414261160716</v>
      </c>
      <c r="K34" s="485"/>
    </row>
    <row r="35" spans="1:118" x14ac:dyDescent="0.2">
      <c r="A35" s="353" t="s">
        <v>5</v>
      </c>
      <c r="B35" s="489" t="s">
        <v>812</v>
      </c>
      <c r="C35" s="483">
        <v>0</v>
      </c>
      <c r="D35" s="484"/>
      <c r="I35" s="309"/>
      <c r="J35" s="34" t="str">
        <f t="shared" si="0"/>
        <v/>
      </c>
      <c r="K35" s="485"/>
    </row>
    <row r="36" spans="1:118" ht="16" thickBot="1" x14ac:dyDescent="0.25">
      <c r="A36" s="511" t="s">
        <v>5</v>
      </c>
      <c r="B36" s="499" t="s">
        <v>813</v>
      </c>
      <c r="C36" s="500">
        <v>0</v>
      </c>
      <c r="D36" s="501"/>
      <c r="E36" s="502"/>
      <c r="F36" s="502"/>
      <c r="G36" s="502"/>
      <c r="H36" s="502"/>
      <c r="I36" s="502"/>
      <c r="J36" s="503" t="str">
        <f>IF( OR( ISBLANK(E36),ISBLANK(F36), ISBLANK(G36), ISBLANK(H36), ISBLANK(I36) ), "", 1.5*SQRT(   EXP(2.21*(E36-1)) + EXP(2.21*(F36-1)) + EXP(2.21*(G36-1)) + EXP(2.21*(H36-1)) + EXP(2.21*I36)   )/100*2.45 )</f>
        <v/>
      </c>
      <c r="K36" s="485"/>
    </row>
    <row r="37" spans="1:118" s="497" customFormat="1" x14ac:dyDescent="0.2">
      <c r="A37" s="512" t="s">
        <v>7</v>
      </c>
      <c r="B37" s="492" t="s">
        <v>809</v>
      </c>
      <c r="C37" s="493">
        <v>0.58596800000000004</v>
      </c>
      <c r="D37" s="494" t="s">
        <v>845</v>
      </c>
      <c r="E37" s="495">
        <v>1</v>
      </c>
      <c r="F37" s="495">
        <v>1</v>
      </c>
      <c r="G37" s="495">
        <v>2</v>
      </c>
      <c r="H37" s="495">
        <v>1</v>
      </c>
      <c r="I37" s="495">
        <v>3</v>
      </c>
      <c r="J37" s="496">
        <f t="shared" si="0"/>
        <v>1.0195048044558224</v>
      </c>
      <c r="K37" s="485"/>
      <c r="L37" s="486"/>
      <c r="M37" s="486"/>
      <c r="N37" s="486"/>
      <c r="O37" s="486"/>
      <c r="P37" s="486"/>
      <c r="Q37" s="486"/>
      <c r="R37" s="486"/>
      <c r="S37" s="486"/>
      <c r="T37" s="486"/>
      <c r="U37" s="486"/>
      <c r="V37" s="486"/>
      <c r="W37" s="486"/>
      <c r="X37" s="486"/>
      <c r="Y37" s="486"/>
      <c r="Z37" s="486"/>
      <c r="AA37" s="486"/>
      <c r="AB37" s="486"/>
      <c r="AC37" s="486"/>
      <c r="AD37" s="486"/>
      <c r="AE37" s="486"/>
      <c r="AF37" s="486"/>
      <c r="AG37" s="486"/>
      <c r="AH37" s="486"/>
      <c r="AI37" s="486"/>
      <c r="AJ37" s="486"/>
      <c r="AK37" s="486"/>
      <c r="AL37" s="486"/>
      <c r="AM37" s="486"/>
      <c r="AN37" s="486"/>
      <c r="AO37" s="486"/>
      <c r="AP37" s="486"/>
      <c r="AQ37" s="486"/>
      <c r="AR37" s="486"/>
      <c r="AS37" s="486"/>
      <c r="AT37" s="486"/>
      <c r="AU37" s="486"/>
      <c r="AV37" s="486"/>
      <c r="AW37" s="486"/>
      <c r="AX37" s="486"/>
      <c r="AY37" s="486"/>
      <c r="AZ37" s="486"/>
      <c r="BA37" s="486"/>
      <c r="BB37" s="486"/>
      <c r="BC37" s="486"/>
      <c r="BD37" s="486"/>
      <c r="BE37" s="486"/>
      <c r="BF37" s="486"/>
      <c r="BG37" s="486"/>
      <c r="BH37" s="486"/>
      <c r="BI37" s="486"/>
      <c r="BJ37" s="486"/>
      <c r="BK37" s="486"/>
      <c r="BL37" s="486"/>
      <c r="BM37" s="486"/>
      <c r="BN37" s="486"/>
      <c r="BO37" s="486"/>
      <c r="BP37" s="486"/>
      <c r="BQ37" s="486"/>
      <c r="BR37" s="486"/>
      <c r="BS37" s="486"/>
      <c r="BT37" s="486"/>
      <c r="BU37" s="486"/>
      <c r="BV37" s="486"/>
      <c r="BW37" s="486"/>
      <c r="BX37" s="486"/>
      <c r="BY37" s="486"/>
      <c r="BZ37" s="486"/>
      <c r="CA37" s="486"/>
      <c r="CB37" s="486"/>
      <c r="CC37" s="486"/>
      <c r="CD37" s="486"/>
      <c r="CE37" s="486"/>
      <c r="CF37" s="486"/>
      <c r="CG37" s="486"/>
      <c r="CH37" s="486"/>
      <c r="CI37" s="486"/>
      <c r="CJ37" s="486"/>
      <c r="CK37" s="486"/>
      <c r="CL37" s="486"/>
      <c r="CM37" s="486"/>
      <c r="CN37" s="486"/>
      <c r="CO37" s="486"/>
      <c r="CP37" s="486"/>
      <c r="CQ37" s="486"/>
      <c r="CR37" s="486"/>
      <c r="CS37" s="486"/>
      <c r="CT37" s="486"/>
      <c r="CU37" s="486"/>
      <c r="CV37" s="486"/>
      <c r="CW37" s="486"/>
      <c r="CX37" s="486"/>
      <c r="CY37" s="486"/>
      <c r="CZ37" s="486"/>
      <c r="DA37" s="486"/>
      <c r="DB37" s="486"/>
      <c r="DC37" s="486"/>
      <c r="DD37" s="486"/>
      <c r="DE37" s="486"/>
      <c r="DF37" s="486"/>
      <c r="DG37" s="486"/>
      <c r="DH37" s="486"/>
      <c r="DI37" s="486"/>
      <c r="DJ37" s="486"/>
      <c r="DK37" s="486"/>
      <c r="DL37" s="486"/>
      <c r="DM37" s="486"/>
      <c r="DN37" s="486"/>
    </row>
    <row r="38" spans="1:118" x14ac:dyDescent="0.2">
      <c r="A38" s="1" t="s">
        <v>7</v>
      </c>
      <c r="B38" s="482" t="s">
        <v>809</v>
      </c>
      <c r="C38" s="483">
        <v>1.7579039999999999</v>
      </c>
      <c r="D38" s="484" t="s">
        <v>845</v>
      </c>
      <c r="E38" s="309">
        <v>1</v>
      </c>
      <c r="F38" s="309">
        <v>1</v>
      </c>
      <c r="G38" s="309">
        <v>2</v>
      </c>
      <c r="H38" s="309">
        <v>1</v>
      </c>
      <c r="I38" s="309">
        <v>3</v>
      </c>
      <c r="J38" s="34">
        <f t="shared" si="0"/>
        <v>1.0195048044558224</v>
      </c>
      <c r="K38" s="485"/>
    </row>
    <row r="39" spans="1:118" x14ac:dyDescent="0.2">
      <c r="A39" s="1" t="s">
        <v>7</v>
      </c>
      <c r="B39" s="487" t="s">
        <v>810</v>
      </c>
      <c r="C39" s="483">
        <v>0.32343280000000002</v>
      </c>
      <c r="D39" s="484" t="s">
        <v>845</v>
      </c>
      <c r="E39" s="309">
        <v>1</v>
      </c>
      <c r="F39" s="309">
        <v>1</v>
      </c>
      <c r="G39" s="309">
        <v>2</v>
      </c>
      <c r="H39" s="309">
        <v>1</v>
      </c>
      <c r="I39" s="309">
        <v>3</v>
      </c>
      <c r="J39" s="34">
        <f t="shared" si="0"/>
        <v>1.0195048044558224</v>
      </c>
      <c r="K39" s="485"/>
    </row>
    <row r="40" spans="1:118" x14ac:dyDescent="0.2">
      <c r="A40" s="1" t="s">
        <v>7</v>
      </c>
      <c r="B40" s="487" t="s">
        <v>810</v>
      </c>
      <c r="C40" s="483">
        <v>0.97029829999999995</v>
      </c>
      <c r="D40" s="484" t="s">
        <v>845</v>
      </c>
      <c r="E40" s="309">
        <v>1</v>
      </c>
      <c r="F40" s="309">
        <v>1</v>
      </c>
      <c r="G40" s="309">
        <v>2</v>
      </c>
      <c r="H40" s="309">
        <v>1</v>
      </c>
      <c r="I40" s="309">
        <v>3</v>
      </c>
      <c r="J40" s="34">
        <f t="shared" si="0"/>
        <v>1.0195048044558224</v>
      </c>
      <c r="K40" s="485"/>
    </row>
    <row r="41" spans="1:118" x14ac:dyDescent="0.2">
      <c r="A41" s="1" t="s">
        <v>7</v>
      </c>
      <c r="B41" s="488" t="s">
        <v>811</v>
      </c>
      <c r="C41" s="483">
        <v>0.9949249</v>
      </c>
      <c r="D41" s="484" t="s">
        <v>845</v>
      </c>
      <c r="E41" s="309">
        <v>1</v>
      </c>
      <c r="F41" s="309">
        <v>1</v>
      </c>
      <c r="G41" s="309">
        <v>2</v>
      </c>
      <c r="H41" s="309">
        <v>1</v>
      </c>
      <c r="I41" s="309">
        <v>3</v>
      </c>
      <c r="J41" s="34">
        <f t="shared" si="0"/>
        <v>1.0195048044558224</v>
      </c>
      <c r="K41" s="485"/>
    </row>
    <row r="42" spans="1:118" x14ac:dyDescent="0.2">
      <c r="A42" s="1" t="s">
        <v>7</v>
      </c>
      <c r="B42" s="488" t="s">
        <v>811</v>
      </c>
      <c r="C42" s="483">
        <v>2.9847746000000002</v>
      </c>
      <c r="D42" s="484" t="s">
        <v>845</v>
      </c>
      <c r="E42" s="309">
        <v>1</v>
      </c>
      <c r="F42" s="309">
        <v>1</v>
      </c>
      <c r="G42" s="309">
        <v>2</v>
      </c>
      <c r="H42" s="309">
        <v>1</v>
      </c>
      <c r="I42" s="309">
        <v>3</v>
      </c>
      <c r="J42" s="34">
        <f t="shared" si="0"/>
        <v>1.0195048044558224</v>
      </c>
      <c r="K42" s="485"/>
    </row>
    <row r="43" spans="1:118" x14ac:dyDescent="0.2">
      <c r="A43" s="1" t="s">
        <v>7</v>
      </c>
      <c r="B43" s="489" t="s">
        <v>812</v>
      </c>
      <c r="C43" s="483">
        <v>0.100948</v>
      </c>
      <c r="D43" s="484" t="s">
        <v>845</v>
      </c>
      <c r="E43" s="309">
        <v>1</v>
      </c>
      <c r="F43" s="309">
        <v>1</v>
      </c>
      <c r="G43" s="309">
        <v>2</v>
      </c>
      <c r="H43" s="309">
        <v>1</v>
      </c>
      <c r="I43" s="309">
        <v>3</v>
      </c>
      <c r="J43" s="34">
        <f t="shared" si="0"/>
        <v>1.0195048044558224</v>
      </c>
      <c r="K43" s="485"/>
    </row>
    <row r="44" spans="1:118" x14ac:dyDescent="0.2">
      <c r="A44" s="1" t="s">
        <v>7</v>
      </c>
      <c r="B44" s="489" t="s">
        <v>812</v>
      </c>
      <c r="C44" s="483">
        <v>0.3028441</v>
      </c>
      <c r="D44" s="484" t="s">
        <v>845</v>
      </c>
      <c r="E44" s="309">
        <v>1</v>
      </c>
      <c r="F44" s="309">
        <v>1</v>
      </c>
      <c r="G44" s="309">
        <v>2</v>
      </c>
      <c r="H44" s="309">
        <v>1</v>
      </c>
      <c r="I44" s="309">
        <v>3</v>
      </c>
      <c r="J44" s="34">
        <f t="shared" si="0"/>
        <v>1.0195048044558224</v>
      </c>
      <c r="K44" s="485"/>
    </row>
    <row r="45" spans="1:118" x14ac:dyDescent="0.2">
      <c r="A45" s="1" t="s">
        <v>7</v>
      </c>
      <c r="B45" s="489" t="s">
        <v>813</v>
      </c>
      <c r="C45" s="483">
        <v>0</v>
      </c>
      <c r="D45" s="484"/>
      <c r="I45" s="309"/>
      <c r="J45" s="34"/>
      <c r="K45" s="485"/>
    </row>
    <row r="46" spans="1:118" ht="16" thickBot="1" x14ac:dyDescent="0.25">
      <c r="A46" s="513" t="s">
        <v>7</v>
      </c>
      <c r="B46" s="499" t="s">
        <v>813</v>
      </c>
      <c r="C46" s="500">
        <v>0</v>
      </c>
      <c r="D46" s="501"/>
      <c r="E46" s="502"/>
      <c r="F46" s="502"/>
      <c r="G46" s="502"/>
      <c r="H46" s="502"/>
      <c r="I46" s="502"/>
      <c r="J46" s="503" t="str">
        <f t="shared" si="0"/>
        <v/>
      </c>
      <c r="K46" s="485"/>
    </row>
    <row r="47" spans="1:118" s="497" customFormat="1" x14ac:dyDescent="0.2">
      <c r="A47" s="512" t="s">
        <v>8</v>
      </c>
      <c r="B47" s="492" t="s">
        <v>809</v>
      </c>
      <c r="C47" s="493">
        <v>0</v>
      </c>
      <c r="D47" s="494" t="s">
        <v>844</v>
      </c>
      <c r="E47" s="495"/>
      <c r="F47" s="495"/>
      <c r="G47" s="495"/>
      <c r="H47" s="495"/>
      <c r="I47" s="495"/>
      <c r="J47" s="496" t="str">
        <f t="shared" si="0"/>
        <v/>
      </c>
      <c r="K47" s="485"/>
      <c r="L47" s="486"/>
      <c r="M47" s="486"/>
      <c r="N47" s="486"/>
      <c r="O47" s="486"/>
      <c r="P47" s="486"/>
      <c r="Q47" s="486"/>
      <c r="R47" s="486"/>
      <c r="S47" s="486"/>
      <c r="T47" s="486"/>
      <c r="U47" s="486"/>
      <c r="V47" s="486"/>
      <c r="W47" s="486"/>
      <c r="X47" s="486"/>
      <c r="Y47" s="486"/>
      <c r="Z47" s="486"/>
      <c r="AA47" s="486"/>
      <c r="AB47" s="486"/>
      <c r="AC47" s="486"/>
      <c r="AD47" s="486"/>
      <c r="AE47" s="486"/>
      <c r="AF47" s="486"/>
      <c r="AG47" s="486"/>
      <c r="AH47" s="486"/>
      <c r="AI47" s="486"/>
      <c r="AJ47" s="486"/>
      <c r="AK47" s="486"/>
      <c r="AL47" s="486"/>
      <c r="AM47" s="486"/>
      <c r="AN47" s="486"/>
      <c r="AO47" s="486"/>
      <c r="AP47" s="486"/>
      <c r="AQ47" s="486"/>
      <c r="AR47" s="486"/>
      <c r="AS47" s="486"/>
      <c r="AT47" s="486"/>
      <c r="AU47" s="486"/>
      <c r="AV47" s="486"/>
      <c r="AW47" s="486"/>
      <c r="AX47" s="486"/>
      <c r="AY47" s="486"/>
      <c r="AZ47" s="486"/>
      <c r="BA47" s="486"/>
      <c r="BB47" s="486"/>
      <c r="BC47" s="486"/>
      <c r="BD47" s="486"/>
      <c r="BE47" s="486"/>
      <c r="BF47" s="486"/>
      <c r="BG47" s="486"/>
      <c r="BH47" s="486"/>
      <c r="BI47" s="486"/>
      <c r="BJ47" s="486"/>
      <c r="BK47" s="486"/>
      <c r="BL47" s="486"/>
      <c r="BM47" s="486"/>
      <c r="BN47" s="486"/>
      <c r="BO47" s="486"/>
      <c r="BP47" s="486"/>
      <c r="BQ47" s="486"/>
      <c r="BR47" s="486"/>
      <c r="BS47" s="486"/>
      <c r="BT47" s="486"/>
      <c r="BU47" s="486"/>
      <c r="BV47" s="486"/>
      <c r="BW47" s="486"/>
      <c r="BX47" s="486"/>
      <c r="BY47" s="486"/>
      <c r="BZ47" s="486"/>
      <c r="CA47" s="486"/>
      <c r="CB47" s="486"/>
      <c r="CC47" s="486"/>
      <c r="CD47" s="486"/>
      <c r="CE47" s="486"/>
      <c r="CF47" s="486"/>
      <c r="CG47" s="486"/>
      <c r="CH47" s="486"/>
      <c r="CI47" s="486"/>
      <c r="CJ47" s="486"/>
      <c r="CK47" s="486"/>
      <c r="CL47" s="486"/>
      <c r="CM47" s="486"/>
      <c r="CN47" s="486"/>
      <c r="CO47" s="486"/>
      <c r="CP47" s="486"/>
      <c r="CQ47" s="486"/>
      <c r="CR47" s="486"/>
      <c r="CS47" s="486"/>
      <c r="CT47" s="486"/>
      <c r="CU47" s="486"/>
      <c r="CV47" s="486"/>
      <c r="CW47" s="486"/>
      <c r="CX47" s="486"/>
      <c r="CY47" s="486"/>
      <c r="CZ47" s="486"/>
      <c r="DA47" s="486"/>
      <c r="DB47" s="486"/>
      <c r="DC47" s="486"/>
      <c r="DD47" s="486"/>
      <c r="DE47" s="486"/>
      <c r="DF47" s="486"/>
      <c r="DG47" s="486"/>
      <c r="DH47" s="486"/>
      <c r="DI47" s="486"/>
      <c r="DJ47" s="486"/>
      <c r="DK47" s="486"/>
      <c r="DL47" s="486"/>
      <c r="DM47" s="486"/>
      <c r="DN47" s="486"/>
    </row>
    <row r="48" spans="1:118" x14ac:dyDescent="0.2">
      <c r="A48" s="1" t="s">
        <v>8</v>
      </c>
      <c r="B48" s="487" t="s">
        <v>810</v>
      </c>
      <c r="C48" s="483">
        <v>0</v>
      </c>
      <c r="D48" s="484" t="s">
        <v>844</v>
      </c>
      <c r="I48" s="309"/>
      <c r="J48" s="34" t="str">
        <f t="shared" si="0"/>
        <v/>
      </c>
      <c r="K48" s="485"/>
    </row>
    <row r="49" spans="1:118" x14ac:dyDescent="0.2">
      <c r="A49" s="1" t="s">
        <v>8</v>
      </c>
      <c r="B49" s="488" t="s">
        <v>811</v>
      </c>
      <c r="C49" s="483">
        <v>0</v>
      </c>
      <c r="D49" s="484" t="s">
        <v>844</v>
      </c>
      <c r="I49" s="309"/>
      <c r="J49" s="34" t="str">
        <f t="shared" si="0"/>
        <v/>
      </c>
      <c r="K49" s="485"/>
    </row>
    <row r="50" spans="1:118" x14ac:dyDescent="0.2">
      <c r="A50" s="1" t="s">
        <v>8</v>
      </c>
      <c r="B50" s="489" t="s">
        <v>812</v>
      </c>
      <c r="C50" s="483">
        <v>0</v>
      </c>
      <c r="D50" s="484" t="s">
        <v>844</v>
      </c>
      <c r="I50" s="309"/>
      <c r="J50" s="34" t="str">
        <f t="shared" si="0"/>
        <v/>
      </c>
      <c r="K50" s="485"/>
    </row>
    <row r="51" spans="1:118" ht="16" thickBot="1" x14ac:dyDescent="0.25">
      <c r="A51" s="513" t="s">
        <v>8</v>
      </c>
      <c r="B51" s="499" t="s">
        <v>813</v>
      </c>
      <c r="C51" s="500">
        <v>0</v>
      </c>
      <c r="D51" s="501" t="s">
        <v>844</v>
      </c>
      <c r="E51" s="502"/>
      <c r="F51" s="502"/>
      <c r="G51" s="502"/>
      <c r="H51" s="502"/>
      <c r="I51" s="502"/>
      <c r="J51" s="503" t="str">
        <f t="shared" si="0"/>
        <v/>
      </c>
      <c r="K51" s="485"/>
      <c r="AG51" s="26"/>
    </row>
    <row r="52" spans="1:118" s="497" customFormat="1" x14ac:dyDescent="0.2">
      <c r="A52" s="512" t="s">
        <v>9</v>
      </c>
      <c r="B52" s="492" t="s">
        <v>809</v>
      </c>
      <c r="C52" s="493">
        <v>-6.0927032926889639</v>
      </c>
      <c r="D52" s="494" t="s">
        <v>846</v>
      </c>
      <c r="E52" s="495">
        <v>1</v>
      </c>
      <c r="F52" s="495">
        <v>1</v>
      </c>
      <c r="G52" s="495">
        <v>3</v>
      </c>
      <c r="H52" s="495">
        <v>1</v>
      </c>
      <c r="I52" s="495">
        <v>2</v>
      </c>
      <c r="J52" s="496">
        <f t="shared" si="0"/>
        <v>0.47802211380704585</v>
      </c>
      <c r="K52" s="485"/>
      <c r="L52" s="486"/>
      <c r="M52" s="486"/>
      <c r="N52" s="486"/>
      <c r="O52" s="486"/>
      <c r="P52" s="486"/>
      <c r="Q52" s="486"/>
      <c r="R52" s="486"/>
      <c r="S52" s="486"/>
      <c r="T52" s="486"/>
      <c r="U52" s="486"/>
      <c r="V52" s="486"/>
      <c r="W52" s="486"/>
      <c r="X52" s="486"/>
      <c r="Y52" s="486"/>
      <c r="Z52" s="486"/>
      <c r="AA52" s="486"/>
      <c r="AB52" s="486"/>
      <c r="AC52" s="486"/>
      <c r="AD52" s="486"/>
      <c r="AE52" s="486"/>
      <c r="AF52" s="486"/>
      <c r="AG52" s="486"/>
      <c r="AH52" s="486"/>
      <c r="AI52" s="486"/>
      <c r="AJ52" s="486"/>
      <c r="AK52" s="486"/>
      <c r="AL52" s="486"/>
      <c r="AM52" s="486"/>
      <c r="AN52" s="486"/>
      <c r="AO52" s="486"/>
      <c r="AP52" s="486"/>
      <c r="AQ52" s="486"/>
      <c r="AR52" s="486"/>
      <c r="AS52" s="486"/>
      <c r="AT52" s="486"/>
      <c r="AU52" s="486"/>
      <c r="AV52" s="486"/>
      <c r="AW52" s="486"/>
      <c r="AX52" s="486"/>
      <c r="AY52" s="486"/>
      <c r="AZ52" s="486"/>
      <c r="BA52" s="486"/>
      <c r="BB52" s="486"/>
      <c r="BC52" s="486"/>
      <c r="BD52" s="486"/>
      <c r="BE52" s="486"/>
      <c r="BF52" s="486"/>
      <c r="BG52" s="486"/>
      <c r="BH52" s="486"/>
      <c r="BI52" s="486"/>
      <c r="BJ52" s="486"/>
      <c r="BK52" s="486"/>
      <c r="BL52" s="486"/>
      <c r="BM52" s="486"/>
      <c r="BN52" s="486"/>
      <c r="BO52" s="486"/>
      <c r="BP52" s="486"/>
      <c r="BQ52" s="486"/>
      <c r="BR52" s="486"/>
      <c r="BS52" s="486"/>
      <c r="BT52" s="486"/>
      <c r="BU52" s="486"/>
      <c r="BV52" s="486"/>
      <c r="BW52" s="486"/>
      <c r="BX52" s="486"/>
      <c r="BY52" s="486"/>
      <c r="BZ52" s="486"/>
      <c r="CA52" s="486"/>
      <c r="CB52" s="486"/>
      <c r="CC52" s="486"/>
      <c r="CD52" s="486"/>
      <c r="CE52" s="486"/>
      <c r="CF52" s="486"/>
      <c r="CG52" s="486"/>
      <c r="CH52" s="486"/>
      <c r="CI52" s="486"/>
      <c r="CJ52" s="486"/>
      <c r="CK52" s="486"/>
      <c r="CL52" s="486"/>
      <c r="CM52" s="486"/>
      <c r="CN52" s="486"/>
      <c r="CO52" s="486"/>
      <c r="CP52" s="486"/>
      <c r="CQ52" s="486"/>
      <c r="CR52" s="486"/>
      <c r="CS52" s="486"/>
      <c r="CT52" s="486"/>
      <c r="CU52" s="486"/>
      <c r="CV52" s="486"/>
      <c r="CW52" s="486"/>
      <c r="CX52" s="486"/>
      <c r="CY52" s="486"/>
      <c r="CZ52" s="486"/>
      <c r="DA52" s="486"/>
      <c r="DB52" s="486"/>
      <c r="DC52" s="486"/>
      <c r="DD52" s="486"/>
      <c r="DE52" s="486"/>
      <c r="DF52" s="486"/>
      <c r="DG52" s="486"/>
      <c r="DH52" s="486"/>
      <c r="DI52" s="486"/>
      <c r="DJ52" s="486"/>
      <c r="DK52" s="486"/>
      <c r="DL52" s="486"/>
      <c r="DM52" s="486"/>
      <c r="DN52" s="486"/>
    </row>
    <row r="53" spans="1:118" x14ac:dyDescent="0.2">
      <c r="A53" s="1" t="s">
        <v>9</v>
      </c>
      <c r="B53" s="487" t="s">
        <v>810</v>
      </c>
      <c r="C53" s="483">
        <v>-22.33524065031169</v>
      </c>
      <c r="D53" s="484" t="s">
        <v>846</v>
      </c>
      <c r="E53" s="309">
        <v>1</v>
      </c>
      <c r="F53" s="309">
        <v>1</v>
      </c>
      <c r="G53" s="309">
        <v>3</v>
      </c>
      <c r="H53" s="309">
        <v>1</v>
      </c>
      <c r="I53" s="309">
        <v>2</v>
      </c>
      <c r="J53" s="34">
        <f t="shared" si="0"/>
        <v>0.47802211380704585</v>
      </c>
      <c r="K53" s="485"/>
    </row>
    <row r="54" spans="1:118" x14ac:dyDescent="0.2">
      <c r="A54" s="1" t="s">
        <v>9</v>
      </c>
      <c r="B54" s="488" t="s">
        <v>811</v>
      </c>
      <c r="C54" s="483">
        <v>-29.561347919529972</v>
      </c>
      <c r="D54" s="484" t="s">
        <v>846</v>
      </c>
      <c r="E54" s="309">
        <v>1</v>
      </c>
      <c r="F54" s="309">
        <v>1</v>
      </c>
      <c r="G54" s="309">
        <v>3</v>
      </c>
      <c r="H54" s="309">
        <v>1</v>
      </c>
      <c r="I54" s="309">
        <v>2</v>
      </c>
      <c r="J54" s="34">
        <f t="shared" si="0"/>
        <v>0.47802211380704585</v>
      </c>
      <c r="K54" s="485"/>
    </row>
    <row r="55" spans="1:118" x14ac:dyDescent="0.2">
      <c r="A55" s="1" t="s">
        <v>9</v>
      </c>
      <c r="B55" s="489" t="s">
        <v>812</v>
      </c>
      <c r="C55" s="483">
        <v>-102.91728534947531</v>
      </c>
      <c r="D55" s="484" t="s">
        <v>846</v>
      </c>
      <c r="E55" s="309">
        <v>1</v>
      </c>
      <c r="F55" s="309">
        <v>1</v>
      </c>
      <c r="G55" s="309">
        <v>3</v>
      </c>
      <c r="H55" s="309">
        <v>1</v>
      </c>
      <c r="I55" s="309">
        <v>2</v>
      </c>
      <c r="J55" s="34">
        <f t="shared" si="0"/>
        <v>0.47802211380704585</v>
      </c>
      <c r="K55" s="485"/>
    </row>
    <row r="56" spans="1:118" ht="16" thickBot="1" x14ac:dyDescent="0.25">
      <c r="A56" s="513" t="s">
        <v>9</v>
      </c>
      <c r="B56" s="499" t="s">
        <v>813</v>
      </c>
      <c r="C56" s="500">
        <v>-3.4159779818123903</v>
      </c>
      <c r="D56" s="501" t="s">
        <v>846</v>
      </c>
      <c r="E56" s="502">
        <v>1</v>
      </c>
      <c r="F56" s="502">
        <v>1</v>
      </c>
      <c r="G56" s="502">
        <v>3</v>
      </c>
      <c r="H56" s="502">
        <v>1</v>
      </c>
      <c r="I56" s="502">
        <v>2</v>
      </c>
      <c r="J56" s="503">
        <f t="shared" si="0"/>
        <v>0.47802211380704585</v>
      </c>
      <c r="K56" s="485"/>
    </row>
    <row r="57" spans="1:118" x14ac:dyDescent="0.2">
      <c r="A57" s="512" t="s">
        <v>10</v>
      </c>
      <c r="B57" s="492" t="s">
        <v>809</v>
      </c>
      <c r="C57" s="493">
        <v>91.953188600000004</v>
      </c>
      <c r="D57" s="494" t="s">
        <v>847</v>
      </c>
      <c r="E57" s="495">
        <v>1</v>
      </c>
      <c r="F57" s="495">
        <v>3</v>
      </c>
      <c r="G57" s="495">
        <v>3</v>
      </c>
      <c r="H57" s="495">
        <v>1</v>
      </c>
      <c r="I57" s="495">
        <v>2</v>
      </c>
      <c r="J57" s="496">
        <f t="shared" si="0"/>
        <v>0.58256442191643876</v>
      </c>
      <c r="K57" s="485"/>
    </row>
    <row r="58" spans="1:118" x14ac:dyDescent="0.2">
      <c r="A58" s="1" t="s">
        <v>10</v>
      </c>
      <c r="B58" s="487" t="s">
        <v>810</v>
      </c>
      <c r="C58" s="483">
        <v>97.92313</v>
      </c>
      <c r="D58" s="484" t="s">
        <v>848</v>
      </c>
      <c r="E58" s="309">
        <v>1</v>
      </c>
      <c r="F58" s="309">
        <v>3</v>
      </c>
      <c r="G58" s="309">
        <v>3</v>
      </c>
      <c r="H58" s="309">
        <v>1</v>
      </c>
      <c r="I58" s="309">
        <v>2</v>
      </c>
      <c r="J58" s="34">
        <f t="shared" si="0"/>
        <v>0.58256442191643876</v>
      </c>
      <c r="K58" s="485"/>
    </row>
    <row r="59" spans="1:118" x14ac:dyDescent="0.2">
      <c r="A59" s="1" t="s">
        <v>10</v>
      </c>
      <c r="B59" s="488" t="s">
        <v>811</v>
      </c>
      <c r="C59" s="483">
        <v>73.322149999999993</v>
      </c>
      <c r="D59" s="484" t="s">
        <v>847</v>
      </c>
      <c r="E59" s="309">
        <v>1</v>
      </c>
      <c r="F59" s="309">
        <v>3</v>
      </c>
      <c r="G59" s="309">
        <v>3</v>
      </c>
      <c r="H59" s="309">
        <v>1</v>
      </c>
      <c r="I59" s="309">
        <v>2</v>
      </c>
      <c r="J59" s="34">
        <f t="shared" si="0"/>
        <v>0.58256442191643876</v>
      </c>
      <c r="K59" s="485"/>
    </row>
    <row r="60" spans="1:118" x14ac:dyDescent="0.2">
      <c r="A60" s="1" t="s">
        <v>10</v>
      </c>
      <c r="B60" s="489" t="s">
        <v>812</v>
      </c>
      <c r="C60" s="483">
        <v>244.80783510000001</v>
      </c>
      <c r="D60" s="484" t="s">
        <v>847</v>
      </c>
      <c r="E60" s="309">
        <v>1</v>
      </c>
      <c r="F60" s="309">
        <v>3</v>
      </c>
      <c r="G60" s="309">
        <v>3</v>
      </c>
      <c r="H60" s="309">
        <v>1</v>
      </c>
      <c r="I60" s="309">
        <v>2</v>
      </c>
      <c r="J60" s="34">
        <f t="shared" si="0"/>
        <v>0.58256442191643876</v>
      </c>
      <c r="K60" s="485"/>
    </row>
    <row r="61" spans="1:118" ht="16" thickBot="1" x14ac:dyDescent="0.25">
      <c r="A61" s="513" t="s">
        <v>10</v>
      </c>
      <c r="B61" s="499" t="s">
        <v>813</v>
      </c>
      <c r="C61" s="500">
        <v>1.5065099</v>
      </c>
      <c r="D61" s="501" t="s">
        <v>847</v>
      </c>
      <c r="E61" s="502">
        <v>1</v>
      </c>
      <c r="F61" s="502">
        <v>3</v>
      </c>
      <c r="G61" s="502">
        <v>3</v>
      </c>
      <c r="H61" s="502">
        <v>1</v>
      </c>
      <c r="I61" s="502">
        <v>2</v>
      </c>
      <c r="J61" s="503">
        <f t="shared" si="0"/>
        <v>0.58256442191643876</v>
      </c>
      <c r="K61" s="485"/>
    </row>
    <row r="62" spans="1:118" s="497" customFormat="1" x14ac:dyDescent="0.2">
      <c r="A62" s="512" t="s">
        <v>11</v>
      </c>
      <c r="B62" s="492" t="s">
        <v>809</v>
      </c>
      <c r="C62" s="493">
        <v>0</v>
      </c>
      <c r="D62" s="494" t="s">
        <v>844</v>
      </c>
      <c r="E62" s="495"/>
      <c r="F62" s="495"/>
      <c r="G62" s="495"/>
      <c r="H62" s="495"/>
      <c r="I62" s="495"/>
      <c r="J62" s="496" t="str">
        <f t="shared" si="0"/>
        <v/>
      </c>
      <c r="K62" s="485"/>
      <c r="L62" s="486"/>
      <c r="M62" s="486"/>
      <c r="N62" s="486"/>
      <c r="O62" s="486"/>
      <c r="P62" s="486"/>
      <c r="Q62" s="486"/>
      <c r="R62" s="486"/>
      <c r="S62" s="486"/>
      <c r="T62" s="486"/>
      <c r="U62" s="486"/>
      <c r="V62" s="486"/>
      <c r="W62" s="486"/>
      <c r="X62" s="486"/>
      <c r="Y62" s="486"/>
      <c r="Z62" s="486"/>
      <c r="AA62" s="486"/>
      <c r="AB62" s="486"/>
      <c r="AC62" s="486"/>
      <c r="AD62" s="486"/>
      <c r="AE62" s="486"/>
      <c r="AF62" s="486"/>
      <c r="AG62" s="486"/>
      <c r="AH62" s="486"/>
      <c r="AI62" s="486"/>
      <c r="AJ62" s="486"/>
      <c r="AK62" s="486"/>
      <c r="AL62" s="486"/>
      <c r="AM62" s="486"/>
      <c r="AN62" s="486"/>
      <c r="AO62" s="486"/>
      <c r="AP62" s="486"/>
      <c r="AQ62" s="486"/>
      <c r="AR62" s="486"/>
      <c r="AS62" s="486"/>
      <c r="AT62" s="486"/>
      <c r="AU62" s="486"/>
      <c r="AV62" s="486"/>
      <c r="AW62" s="486"/>
      <c r="AX62" s="486"/>
      <c r="AY62" s="486"/>
      <c r="AZ62" s="486"/>
      <c r="BA62" s="486"/>
      <c r="BB62" s="486"/>
      <c r="BC62" s="486"/>
      <c r="BD62" s="486"/>
      <c r="BE62" s="486"/>
      <c r="BF62" s="486"/>
      <c r="BG62" s="486"/>
      <c r="BH62" s="486"/>
      <c r="BI62" s="486"/>
      <c r="BJ62" s="486"/>
      <c r="BK62" s="486"/>
      <c r="BL62" s="486"/>
      <c r="BM62" s="486"/>
      <c r="BN62" s="486"/>
      <c r="BO62" s="486"/>
      <c r="BP62" s="486"/>
      <c r="BQ62" s="486"/>
      <c r="BR62" s="486"/>
      <c r="BS62" s="486"/>
      <c r="BT62" s="486"/>
      <c r="BU62" s="486"/>
      <c r="BV62" s="486"/>
      <c r="BW62" s="486"/>
      <c r="BX62" s="486"/>
      <c r="BY62" s="486"/>
      <c r="BZ62" s="486"/>
      <c r="CA62" s="486"/>
      <c r="CB62" s="486"/>
      <c r="CC62" s="486"/>
      <c r="CD62" s="486"/>
      <c r="CE62" s="486"/>
      <c r="CF62" s="486"/>
      <c r="CG62" s="486"/>
      <c r="CH62" s="486"/>
      <c r="CI62" s="486"/>
      <c r="CJ62" s="486"/>
      <c r="CK62" s="486"/>
      <c r="CL62" s="486"/>
      <c r="CM62" s="486"/>
      <c r="CN62" s="486"/>
      <c r="CO62" s="486"/>
      <c r="CP62" s="486"/>
      <c r="CQ62" s="486"/>
      <c r="CR62" s="486"/>
      <c r="CS62" s="486"/>
      <c r="CT62" s="486"/>
      <c r="CU62" s="486"/>
      <c r="CV62" s="486"/>
      <c r="CW62" s="486"/>
      <c r="CX62" s="486"/>
      <c r="CY62" s="486"/>
      <c r="CZ62" s="486"/>
      <c r="DA62" s="486"/>
      <c r="DB62" s="486"/>
      <c r="DC62" s="486"/>
      <c r="DD62" s="486"/>
      <c r="DE62" s="486"/>
      <c r="DF62" s="486"/>
      <c r="DG62" s="486"/>
      <c r="DH62" s="486"/>
      <c r="DI62" s="486"/>
      <c r="DJ62" s="486"/>
      <c r="DK62" s="486"/>
      <c r="DL62" s="486"/>
      <c r="DM62" s="486"/>
      <c r="DN62" s="486"/>
    </row>
    <row r="63" spans="1:118" x14ac:dyDescent="0.2">
      <c r="A63" s="1" t="s">
        <v>11</v>
      </c>
      <c r="B63" s="487" t="s">
        <v>810</v>
      </c>
      <c r="C63" s="483">
        <v>0</v>
      </c>
      <c r="D63" s="484" t="s">
        <v>844</v>
      </c>
      <c r="I63" s="309"/>
      <c r="J63" s="34" t="str">
        <f t="shared" si="0"/>
        <v/>
      </c>
      <c r="K63" s="485"/>
    </row>
    <row r="64" spans="1:118" x14ac:dyDescent="0.2">
      <c r="A64" s="1" t="s">
        <v>11</v>
      </c>
      <c r="B64" s="488" t="s">
        <v>811</v>
      </c>
      <c r="C64" s="483">
        <v>0</v>
      </c>
      <c r="D64" s="484" t="s">
        <v>844</v>
      </c>
      <c r="I64" s="309"/>
      <c r="J64" s="34" t="str">
        <f t="shared" si="0"/>
        <v/>
      </c>
      <c r="K64" s="485"/>
    </row>
    <row r="65" spans="1:118" x14ac:dyDescent="0.2">
      <c r="A65" s="1" t="s">
        <v>11</v>
      </c>
      <c r="B65" s="489" t="s">
        <v>812</v>
      </c>
      <c r="C65" s="483">
        <v>0</v>
      </c>
      <c r="D65" s="484" t="s">
        <v>844</v>
      </c>
      <c r="I65" s="309"/>
      <c r="J65" s="34" t="str">
        <f t="shared" si="0"/>
        <v/>
      </c>
      <c r="K65" s="485"/>
    </row>
    <row r="66" spans="1:118" ht="16" thickBot="1" x14ac:dyDescent="0.25">
      <c r="A66" s="513" t="s">
        <v>11</v>
      </c>
      <c r="B66" s="499" t="s">
        <v>813</v>
      </c>
      <c r="C66" s="500">
        <v>0</v>
      </c>
      <c r="D66" s="501" t="s">
        <v>844</v>
      </c>
      <c r="E66" s="502"/>
      <c r="F66" s="502"/>
      <c r="G66" s="502"/>
      <c r="H66" s="502"/>
      <c r="I66" s="502"/>
      <c r="J66" s="503" t="str">
        <f t="shared" si="0"/>
        <v/>
      </c>
      <c r="K66" s="485"/>
      <c r="AG66" s="26"/>
    </row>
    <row r="67" spans="1:118" x14ac:dyDescent="0.2">
      <c r="A67" s="512" t="s">
        <v>12</v>
      </c>
      <c r="B67" s="492" t="s">
        <v>809</v>
      </c>
      <c r="C67" s="493">
        <v>0</v>
      </c>
      <c r="D67" s="494" t="s">
        <v>844</v>
      </c>
      <c r="E67" s="495"/>
      <c r="F67" s="495"/>
      <c r="G67" s="495"/>
      <c r="H67" s="495"/>
      <c r="I67" s="495"/>
      <c r="J67" s="496" t="str">
        <f t="shared" si="0"/>
        <v/>
      </c>
      <c r="K67" s="485"/>
    </row>
    <row r="68" spans="1:118" x14ac:dyDescent="0.2">
      <c r="A68" s="1" t="s">
        <v>12</v>
      </c>
      <c r="B68" s="487" t="s">
        <v>810</v>
      </c>
      <c r="C68" s="483">
        <v>0</v>
      </c>
      <c r="D68" s="484" t="s">
        <v>844</v>
      </c>
      <c r="I68" s="309"/>
      <c r="J68" s="34" t="str">
        <f t="shared" si="0"/>
        <v/>
      </c>
      <c r="K68" s="485"/>
    </row>
    <row r="69" spans="1:118" x14ac:dyDescent="0.2">
      <c r="A69" s="1" t="s">
        <v>12</v>
      </c>
      <c r="B69" s="488" t="s">
        <v>811</v>
      </c>
      <c r="C69" s="483">
        <v>0</v>
      </c>
      <c r="D69" s="484" t="s">
        <v>844</v>
      </c>
      <c r="I69" s="309"/>
      <c r="J69" s="34" t="str">
        <f t="shared" si="0"/>
        <v/>
      </c>
      <c r="K69" s="485"/>
    </row>
    <row r="70" spans="1:118" x14ac:dyDescent="0.2">
      <c r="A70" s="1" t="s">
        <v>12</v>
      </c>
      <c r="B70" s="489" t="s">
        <v>812</v>
      </c>
      <c r="C70" s="483">
        <v>0</v>
      </c>
      <c r="D70" s="484" t="s">
        <v>844</v>
      </c>
      <c r="I70" s="309"/>
      <c r="J70" s="34" t="str">
        <f t="shared" si="0"/>
        <v/>
      </c>
      <c r="K70" s="485"/>
    </row>
    <row r="71" spans="1:118" ht="16" thickBot="1" x14ac:dyDescent="0.25">
      <c r="A71" s="513" t="s">
        <v>12</v>
      </c>
      <c r="B71" s="499" t="s">
        <v>813</v>
      </c>
      <c r="C71" s="500">
        <v>0</v>
      </c>
      <c r="D71" s="501" t="s">
        <v>844</v>
      </c>
      <c r="E71" s="502"/>
      <c r="F71" s="502"/>
      <c r="G71" s="502"/>
      <c r="H71" s="502"/>
      <c r="I71" s="502"/>
      <c r="J71" s="503" t="str">
        <f t="shared" si="0"/>
        <v/>
      </c>
      <c r="K71" s="485"/>
      <c r="AG71" s="26"/>
    </row>
    <row r="72" spans="1:118" s="497" customFormat="1" x14ac:dyDescent="0.2">
      <c r="A72" s="512" t="s">
        <v>86</v>
      </c>
      <c r="B72" s="492" t="s">
        <v>809</v>
      </c>
      <c r="C72" s="493">
        <v>121.64098250000001</v>
      </c>
      <c r="D72" s="494" t="s">
        <v>845</v>
      </c>
      <c r="E72" s="495">
        <v>1</v>
      </c>
      <c r="F72" s="495">
        <v>1</v>
      </c>
      <c r="G72" s="495">
        <v>1</v>
      </c>
      <c r="H72" s="495">
        <v>1</v>
      </c>
      <c r="I72" s="495">
        <v>2</v>
      </c>
      <c r="J72" s="496">
        <f t="shared" ref="J72:J86" si="1">IF( OR( ISBLANK(E72),ISBLANK(F72), ISBLANK(G72), ISBLANK(H72), ISBLANK(I72) ), "", 1.5*SQRT(   EXP(2.21*(E72-1)) + EXP(2.21*(F72-1)) + EXP(2.21*(G72-1)) + EXP(2.21*(H72-1)) + EXP(2.21*I72)   )/100*2.45 )</f>
        <v>0.34297081055722239</v>
      </c>
      <c r="K72" s="514"/>
      <c r="L72" s="486"/>
      <c r="M72" s="486"/>
      <c r="N72" s="486"/>
      <c r="O72" s="486"/>
      <c r="P72" s="486"/>
      <c r="Q72" s="486"/>
      <c r="R72" s="486"/>
      <c r="S72" s="486"/>
      <c r="T72" s="486"/>
      <c r="U72" s="486"/>
      <c r="V72" s="486"/>
      <c r="W72" s="486"/>
      <c r="X72" s="486"/>
      <c r="Y72" s="486"/>
      <c r="Z72" s="486"/>
      <c r="AA72" s="486"/>
      <c r="AB72" s="486"/>
      <c r="AC72" s="486"/>
      <c r="AD72" s="486"/>
      <c r="AE72" s="486"/>
      <c r="AF72" s="486"/>
      <c r="AG72" s="486"/>
      <c r="AH72" s="486"/>
      <c r="AI72" s="486"/>
      <c r="AJ72" s="486"/>
      <c r="AK72" s="486"/>
      <c r="AL72" s="486"/>
      <c r="AM72" s="486"/>
      <c r="AN72" s="486"/>
      <c r="AO72" s="486"/>
      <c r="AP72" s="486"/>
      <c r="AQ72" s="486"/>
      <c r="AR72" s="486"/>
      <c r="AS72" s="486"/>
      <c r="AT72" s="486"/>
      <c r="AU72" s="486"/>
      <c r="AV72" s="486"/>
      <c r="AW72" s="486"/>
      <c r="AX72" s="486"/>
      <c r="AY72" s="486"/>
      <c r="AZ72" s="486"/>
      <c r="BA72" s="486"/>
      <c r="BB72" s="486"/>
      <c r="BC72" s="486"/>
      <c r="BD72" s="486"/>
      <c r="BE72" s="486"/>
      <c r="BF72" s="486"/>
      <c r="BG72" s="486"/>
      <c r="BH72" s="486"/>
      <c r="BI72" s="486"/>
      <c r="BJ72" s="486"/>
      <c r="BK72" s="486"/>
      <c r="BL72" s="486"/>
      <c r="BM72" s="486"/>
      <c r="BN72" s="486"/>
      <c r="BO72" s="486"/>
      <c r="BP72" s="486"/>
      <c r="BQ72" s="486"/>
      <c r="BR72" s="486"/>
      <c r="BS72" s="486"/>
      <c r="BT72" s="486"/>
      <c r="BU72" s="486"/>
      <c r="BV72" s="486"/>
      <c r="BW72" s="486"/>
      <c r="BX72" s="486"/>
      <c r="BY72" s="486"/>
      <c r="BZ72" s="486"/>
      <c r="CA72" s="486"/>
      <c r="CB72" s="486"/>
      <c r="CC72" s="486"/>
      <c r="CD72" s="486"/>
      <c r="CE72" s="486"/>
      <c r="CF72" s="486"/>
      <c r="CG72" s="486"/>
      <c r="CH72" s="486"/>
      <c r="CI72" s="486"/>
      <c r="CJ72" s="486"/>
      <c r="CK72" s="486"/>
      <c r="CL72" s="486"/>
      <c r="CM72" s="486"/>
      <c r="CN72" s="486"/>
      <c r="CO72" s="486"/>
      <c r="CP72" s="486"/>
      <c r="CQ72" s="486"/>
      <c r="CR72" s="486"/>
      <c r="CS72" s="486"/>
      <c r="CT72" s="486"/>
      <c r="CU72" s="486"/>
      <c r="CV72" s="486"/>
      <c r="CW72" s="486"/>
      <c r="CX72" s="486"/>
      <c r="CY72" s="486"/>
      <c r="CZ72" s="486"/>
      <c r="DA72" s="486"/>
      <c r="DB72" s="486"/>
      <c r="DC72" s="486"/>
      <c r="DD72" s="486"/>
      <c r="DE72" s="486"/>
      <c r="DF72" s="486"/>
      <c r="DG72" s="486"/>
      <c r="DH72" s="486"/>
      <c r="DI72" s="486"/>
      <c r="DJ72" s="486"/>
      <c r="DK72" s="486"/>
      <c r="DL72" s="486"/>
      <c r="DM72" s="486"/>
      <c r="DN72" s="486"/>
    </row>
    <row r="73" spans="1:118" x14ac:dyDescent="0.2">
      <c r="A73" s="1" t="s">
        <v>86</v>
      </c>
      <c r="B73" s="487" t="s">
        <v>810</v>
      </c>
      <c r="C73" s="483">
        <v>0</v>
      </c>
      <c r="D73" s="484"/>
      <c r="I73" s="309"/>
      <c r="J73" s="34" t="str">
        <f t="shared" si="1"/>
        <v/>
      </c>
      <c r="K73" s="514"/>
    </row>
    <row r="74" spans="1:118" x14ac:dyDescent="0.2">
      <c r="A74" s="1" t="s">
        <v>86</v>
      </c>
      <c r="B74" s="488" t="s">
        <v>811</v>
      </c>
      <c r="C74" s="483">
        <v>415.25776999999999</v>
      </c>
      <c r="D74" s="484" t="s">
        <v>845</v>
      </c>
      <c r="E74" s="309">
        <v>1</v>
      </c>
      <c r="F74" s="309">
        <v>1</v>
      </c>
      <c r="G74" s="309">
        <v>1</v>
      </c>
      <c r="H74" s="309">
        <v>1</v>
      </c>
      <c r="I74" s="309">
        <v>2</v>
      </c>
      <c r="J74" s="34">
        <f t="shared" si="1"/>
        <v>0.34297081055722239</v>
      </c>
      <c r="K74" s="514"/>
    </row>
    <row r="75" spans="1:118" x14ac:dyDescent="0.2">
      <c r="A75" s="1" t="s">
        <v>86</v>
      </c>
      <c r="B75" s="489" t="s">
        <v>812</v>
      </c>
      <c r="C75" s="483">
        <v>0</v>
      </c>
      <c r="D75" s="484"/>
      <c r="I75" s="309"/>
      <c r="J75" s="34" t="str">
        <f t="shared" si="1"/>
        <v/>
      </c>
      <c r="K75" s="514"/>
    </row>
    <row r="76" spans="1:118" ht="16" thickBot="1" x14ac:dyDescent="0.25">
      <c r="A76" s="513" t="s">
        <v>86</v>
      </c>
      <c r="B76" s="499" t="s">
        <v>813</v>
      </c>
      <c r="C76" s="500">
        <v>0</v>
      </c>
      <c r="D76" s="501"/>
      <c r="E76" s="502"/>
      <c r="F76" s="502"/>
      <c r="G76" s="502"/>
      <c r="H76" s="502"/>
      <c r="I76" s="502"/>
      <c r="J76" s="503" t="str">
        <f t="shared" si="1"/>
        <v/>
      </c>
      <c r="K76" s="514"/>
    </row>
    <row r="77" spans="1:118" s="497" customFormat="1" x14ac:dyDescent="0.2">
      <c r="A77" s="512" t="s">
        <v>39</v>
      </c>
      <c r="B77" s="492" t="s">
        <v>809</v>
      </c>
      <c r="C77" s="493">
        <v>9.6577207999999999</v>
      </c>
      <c r="D77" s="494" t="s">
        <v>845</v>
      </c>
      <c r="E77" s="495">
        <v>1</v>
      </c>
      <c r="F77" s="495">
        <v>1</v>
      </c>
      <c r="G77" s="495">
        <v>1</v>
      </c>
      <c r="H77" s="495">
        <v>1</v>
      </c>
      <c r="I77" s="495">
        <v>2</v>
      </c>
      <c r="J77" s="496">
        <f t="shared" si="1"/>
        <v>0.34297081055722239</v>
      </c>
      <c r="K77" s="514"/>
      <c r="L77" s="486"/>
      <c r="M77" s="486"/>
      <c r="N77" s="486"/>
      <c r="O77" s="486"/>
      <c r="P77" s="486"/>
      <c r="Q77" s="486"/>
      <c r="R77" s="486"/>
      <c r="S77" s="486"/>
      <c r="T77" s="486"/>
      <c r="U77" s="486"/>
      <c r="V77" s="486"/>
      <c r="W77" s="486"/>
      <c r="X77" s="486"/>
      <c r="Y77" s="486"/>
      <c r="Z77" s="486"/>
      <c r="AA77" s="486"/>
      <c r="AB77" s="486"/>
      <c r="AC77" s="486"/>
      <c r="AD77" s="486"/>
      <c r="AE77" s="486"/>
      <c r="AF77" s="486"/>
      <c r="AG77" s="486"/>
      <c r="AH77" s="486"/>
      <c r="AI77" s="486"/>
      <c r="AJ77" s="486"/>
      <c r="AK77" s="486"/>
      <c r="AL77" s="486"/>
      <c r="AM77" s="486"/>
      <c r="AN77" s="486"/>
      <c r="AO77" s="486"/>
      <c r="AP77" s="486"/>
      <c r="AQ77" s="486"/>
      <c r="AR77" s="486"/>
      <c r="AS77" s="486"/>
      <c r="AT77" s="486"/>
      <c r="AU77" s="486"/>
      <c r="AV77" s="486"/>
      <c r="AW77" s="486"/>
      <c r="AX77" s="486"/>
      <c r="AY77" s="486"/>
      <c r="AZ77" s="486"/>
      <c r="BA77" s="486"/>
      <c r="BB77" s="486"/>
      <c r="BC77" s="486"/>
      <c r="BD77" s="486"/>
      <c r="BE77" s="486"/>
      <c r="BF77" s="486"/>
      <c r="BG77" s="486"/>
      <c r="BH77" s="486"/>
      <c r="BI77" s="486"/>
      <c r="BJ77" s="486"/>
      <c r="BK77" s="486"/>
      <c r="BL77" s="486"/>
      <c r="BM77" s="486"/>
      <c r="BN77" s="486"/>
      <c r="BO77" s="486"/>
      <c r="BP77" s="486"/>
      <c r="BQ77" s="486"/>
      <c r="BR77" s="486"/>
      <c r="BS77" s="486"/>
      <c r="BT77" s="486"/>
      <c r="BU77" s="486"/>
      <c r="BV77" s="486"/>
      <c r="BW77" s="486"/>
      <c r="BX77" s="486"/>
      <c r="BY77" s="486"/>
      <c r="BZ77" s="486"/>
      <c r="CA77" s="486"/>
      <c r="CB77" s="486"/>
      <c r="CC77" s="486"/>
      <c r="CD77" s="486"/>
      <c r="CE77" s="486"/>
      <c r="CF77" s="486"/>
      <c r="CG77" s="486"/>
      <c r="CH77" s="486"/>
      <c r="CI77" s="486"/>
      <c r="CJ77" s="486"/>
      <c r="CK77" s="486"/>
      <c r="CL77" s="486"/>
      <c r="CM77" s="486"/>
      <c r="CN77" s="486"/>
      <c r="CO77" s="486"/>
      <c r="CP77" s="486"/>
      <c r="CQ77" s="486"/>
      <c r="CR77" s="486"/>
      <c r="CS77" s="486"/>
      <c r="CT77" s="486"/>
      <c r="CU77" s="486"/>
      <c r="CV77" s="486"/>
      <c r="CW77" s="486"/>
      <c r="CX77" s="486"/>
      <c r="CY77" s="486"/>
      <c r="CZ77" s="486"/>
      <c r="DA77" s="486"/>
      <c r="DB77" s="486"/>
      <c r="DC77" s="486"/>
      <c r="DD77" s="486"/>
      <c r="DE77" s="486"/>
      <c r="DF77" s="486"/>
      <c r="DG77" s="486"/>
      <c r="DH77" s="486"/>
      <c r="DI77" s="486"/>
      <c r="DJ77" s="486"/>
      <c r="DK77" s="486"/>
      <c r="DL77" s="486"/>
      <c r="DM77" s="486"/>
      <c r="DN77" s="486"/>
    </row>
    <row r="78" spans="1:118" x14ac:dyDescent="0.2">
      <c r="A78" s="1" t="s">
        <v>39</v>
      </c>
      <c r="B78" s="487" t="s">
        <v>810</v>
      </c>
      <c r="C78" s="483">
        <v>0</v>
      </c>
      <c r="D78" s="484"/>
      <c r="I78" s="309"/>
      <c r="J78" s="34" t="str">
        <f t="shared" si="1"/>
        <v/>
      </c>
      <c r="K78" s="514"/>
    </row>
    <row r="79" spans="1:118" x14ac:dyDescent="0.2">
      <c r="A79" s="1" t="s">
        <v>39</v>
      </c>
      <c r="B79" s="488" t="s">
        <v>811</v>
      </c>
      <c r="C79" s="483">
        <v>344.43542000000002</v>
      </c>
      <c r="D79" s="484" t="s">
        <v>845</v>
      </c>
      <c r="E79" s="309">
        <v>1</v>
      </c>
      <c r="F79" s="309">
        <v>1</v>
      </c>
      <c r="G79" s="309">
        <v>1</v>
      </c>
      <c r="H79" s="309">
        <v>1</v>
      </c>
      <c r="I79" s="309">
        <v>2</v>
      </c>
      <c r="J79" s="34">
        <f t="shared" si="1"/>
        <v>0.34297081055722239</v>
      </c>
      <c r="K79" s="514"/>
    </row>
    <row r="80" spans="1:118" x14ac:dyDescent="0.2">
      <c r="A80" s="1" t="s">
        <v>39</v>
      </c>
      <c r="B80" s="489" t="s">
        <v>812</v>
      </c>
      <c r="C80" s="483">
        <v>0</v>
      </c>
      <c r="D80" s="484"/>
      <c r="I80" s="309"/>
      <c r="J80" s="34" t="str">
        <f t="shared" si="1"/>
        <v/>
      </c>
      <c r="K80" s="514"/>
    </row>
    <row r="81" spans="1:118" ht="16" thickBot="1" x14ac:dyDescent="0.25">
      <c r="A81" s="513" t="s">
        <v>39</v>
      </c>
      <c r="B81" s="499" t="s">
        <v>813</v>
      </c>
      <c r="C81" s="500">
        <v>0</v>
      </c>
      <c r="D81" s="501"/>
      <c r="E81" s="502"/>
      <c r="F81" s="502"/>
      <c r="G81" s="502"/>
      <c r="H81" s="502"/>
      <c r="I81" s="502"/>
      <c r="J81" s="503" t="str">
        <f t="shared" si="1"/>
        <v/>
      </c>
      <c r="K81" s="514"/>
    </row>
    <row r="82" spans="1:118" s="497" customFormat="1" x14ac:dyDescent="0.2">
      <c r="A82" s="1" t="s">
        <v>40</v>
      </c>
      <c r="B82" s="482" t="s">
        <v>809</v>
      </c>
      <c r="C82" s="483">
        <v>11.079409</v>
      </c>
      <c r="D82" s="484" t="s">
        <v>845</v>
      </c>
      <c r="E82" s="309">
        <v>1</v>
      </c>
      <c r="F82" s="309">
        <v>1</v>
      </c>
      <c r="G82" s="309">
        <v>1</v>
      </c>
      <c r="H82" s="309">
        <v>1</v>
      </c>
      <c r="I82" s="309">
        <v>2</v>
      </c>
      <c r="J82" s="34">
        <f t="shared" si="1"/>
        <v>0.34297081055722239</v>
      </c>
      <c r="K82" s="514"/>
      <c r="L82" s="486"/>
      <c r="M82" s="486"/>
      <c r="N82" s="486"/>
      <c r="O82" s="486"/>
      <c r="P82" s="486"/>
      <c r="Q82" s="486"/>
      <c r="R82" s="486"/>
      <c r="S82" s="486"/>
      <c r="T82" s="486"/>
      <c r="U82" s="486"/>
      <c r="V82" s="486"/>
      <c r="W82" s="486"/>
      <c r="X82" s="486"/>
      <c r="Y82" s="486"/>
      <c r="Z82" s="486"/>
      <c r="AA82" s="486"/>
      <c r="AB82" s="486"/>
      <c r="AC82" s="486"/>
      <c r="AD82" s="486"/>
      <c r="AE82" s="486"/>
      <c r="AF82" s="486"/>
      <c r="AG82" s="486"/>
      <c r="AH82" s="486"/>
      <c r="AI82" s="486"/>
      <c r="AJ82" s="486"/>
      <c r="AK82" s="486"/>
      <c r="AL82" s="486"/>
      <c r="AM82" s="486"/>
      <c r="AN82" s="486"/>
      <c r="AO82" s="486"/>
      <c r="AP82" s="486"/>
      <c r="AQ82" s="486"/>
      <c r="AR82" s="486"/>
      <c r="AS82" s="486"/>
      <c r="AT82" s="486"/>
      <c r="AU82" s="486"/>
      <c r="AV82" s="486"/>
      <c r="AW82" s="486"/>
      <c r="AX82" s="486"/>
      <c r="AY82" s="486"/>
      <c r="AZ82" s="486"/>
      <c r="BA82" s="486"/>
      <c r="BB82" s="486"/>
      <c r="BC82" s="486"/>
      <c r="BD82" s="486"/>
      <c r="BE82" s="486"/>
      <c r="BF82" s="486"/>
      <c r="BG82" s="486"/>
      <c r="BH82" s="486"/>
      <c r="BI82" s="486"/>
      <c r="BJ82" s="486"/>
      <c r="BK82" s="486"/>
      <c r="BL82" s="486"/>
      <c r="BM82" s="486"/>
      <c r="BN82" s="486"/>
      <c r="BO82" s="486"/>
      <c r="BP82" s="486"/>
      <c r="BQ82" s="486"/>
      <c r="BR82" s="486"/>
      <c r="BS82" s="486"/>
      <c r="BT82" s="486"/>
      <c r="BU82" s="486"/>
      <c r="BV82" s="486"/>
      <c r="BW82" s="486"/>
      <c r="BX82" s="486"/>
      <c r="BY82" s="486"/>
      <c r="BZ82" s="486"/>
      <c r="CA82" s="486"/>
      <c r="CB82" s="486"/>
      <c r="CC82" s="486"/>
      <c r="CD82" s="486"/>
      <c r="CE82" s="486"/>
      <c r="CF82" s="486"/>
      <c r="CG82" s="486"/>
      <c r="CH82" s="486"/>
      <c r="CI82" s="486"/>
      <c r="CJ82" s="486"/>
      <c r="CK82" s="486"/>
      <c r="CL82" s="486"/>
      <c r="CM82" s="486"/>
      <c r="CN82" s="486"/>
      <c r="CO82" s="486"/>
      <c r="CP82" s="486"/>
      <c r="CQ82" s="486"/>
      <c r="CR82" s="486"/>
      <c r="CS82" s="486"/>
      <c r="CT82" s="486"/>
      <c r="CU82" s="486"/>
      <c r="CV82" s="486"/>
      <c r="CW82" s="486"/>
      <c r="CX82" s="486"/>
      <c r="CY82" s="486"/>
      <c r="CZ82" s="486"/>
      <c r="DA82" s="486"/>
      <c r="DB82" s="486"/>
      <c r="DC82" s="486"/>
      <c r="DD82" s="486"/>
      <c r="DE82" s="486"/>
      <c r="DF82" s="486"/>
      <c r="DG82" s="486"/>
      <c r="DH82" s="486"/>
      <c r="DI82" s="486"/>
      <c r="DJ82" s="486"/>
      <c r="DK82" s="486"/>
      <c r="DL82" s="486"/>
      <c r="DM82" s="486"/>
      <c r="DN82" s="486"/>
    </row>
    <row r="83" spans="1:118" x14ac:dyDescent="0.2">
      <c r="A83" s="1" t="s">
        <v>40</v>
      </c>
      <c r="B83" s="487" t="s">
        <v>810</v>
      </c>
      <c r="C83" s="483">
        <v>0</v>
      </c>
      <c r="D83" s="484"/>
      <c r="I83" s="309"/>
      <c r="J83" s="34" t="str">
        <f t="shared" si="1"/>
        <v/>
      </c>
      <c r="K83" s="514"/>
    </row>
    <row r="84" spans="1:118" x14ac:dyDescent="0.2">
      <c r="A84" s="1" t="s">
        <v>40</v>
      </c>
      <c r="B84" s="488" t="s">
        <v>811</v>
      </c>
      <c r="C84" s="483">
        <v>110.79409</v>
      </c>
      <c r="D84" s="484" t="s">
        <v>845</v>
      </c>
      <c r="E84" s="309">
        <v>1</v>
      </c>
      <c r="F84" s="309">
        <v>1</v>
      </c>
      <c r="G84" s="309">
        <v>1</v>
      </c>
      <c r="H84" s="309">
        <v>1</v>
      </c>
      <c r="I84" s="309">
        <v>2</v>
      </c>
      <c r="J84" s="34">
        <f t="shared" si="1"/>
        <v>0.34297081055722239</v>
      </c>
      <c r="K84" s="514"/>
    </row>
    <row r="85" spans="1:118" x14ac:dyDescent="0.2">
      <c r="A85" s="1" t="s">
        <v>40</v>
      </c>
      <c r="B85" s="489" t="s">
        <v>812</v>
      </c>
      <c r="C85" s="483">
        <v>0</v>
      </c>
      <c r="D85" s="484"/>
      <c r="I85" s="309"/>
      <c r="J85" s="34" t="str">
        <f t="shared" si="1"/>
        <v/>
      </c>
      <c r="K85" s="514"/>
    </row>
    <row r="86" spans="1:118" ht="16" thickBot="1" x14ac:dyDescent="0.25">
      <c r="A86" s="513" t="s">
        <v>40</v>
      </c>
      <c r="B86" s="499" t="s">
        <v>813</v>
      </c>
      <c r="C86" s="500">
        <v>0</v>
      </c>
      <c r="D86" s="501"/>
      <c r="E86" s="502"/>
      <c r="F86" s="502"/>
      <c r="G86" s="502"/>
      <c r="H86" s="502"/>
      <c r="I86" s="502"/>
      <c r="J86" s="503" t="str">
        <f t="shared" si="1"/>
        <v/>
      </c>
      <c r="K86" s="515"/>
    </row>
    <row r="87" spans="1:118" x14ac:dyDescent="0.2">
      <c r="A87" s="378"/>
      <c r="B87" s="372"/>
      <c r="D87" s="516"/>
      <c r="I87" s="309"/>
      <c r="J87" s="309"/>
    </row>
    <row r="88" spans="1:118" x14ac:dyDescent="0.2">
      <c r="A88" s="378"/>
      <c r="B88" s="372"/>
      <c r="D88" s="516"/>
      <c r="I88" s="309"/>
      <c r="J88" s="309"/>
    </row>
    <row r="89" spans="1:118" x14ac:dyDescent="0.2">
      <c r="A89" s="378"/>
      <c r="B89" s="372"/>
      <c r="D89" s="516"/>
      <c r="I89" s="309"/>
      <c r="J89" s="309"/>
    </row>
    <row r="90" spans="1:118" x14ac:dyDescent="0.2">
      <c r="A90" s="378"/>
      <c r="B90" s="372"/>
      <c r="D90" s="516"/>
      <c r="I90" s="309"/>
      <c r="J90" s="309"/>
    </row>
    <row r="91" spans="1:118" x14ac:dyDescent="0.2">
      <c r="A91" s="378"/>
      <c r="B91" s="372"/>
      <c r="D91" s="516"/>
      <c r="I91" s="309"/>
      <c r="J91" s="309"/>
    </row>
    <row r="92" spans="1:118" x14ac:dyDescent="0.2">
      <c r="A92" s="378"/>
      <c r="B92" s="372"/>
      <c r="D92" s="516"/>
      <c r="I92" s="309"/>
      <c r="J92" s="309"/>
    </row>
    <row r="93" spans="1:118" x14ac:dyDescent="0.2">
      <c r="A93" s="378"/>
      <c r="B93" s="372"/>
      <c r="D93" s="516"/>
      <c r="I93" s="309"/>
      <c r="J93" s="309"/>
    </row>
    <row r="94" spans="1:118" x14ac:dyDescent="0.2">
      <c r="A94" s="378"/>
      <c r="B94" s="372"/>
      <c r="D94" s="516"/>
      <c r="I94" s="309"/>
      <c r="J94" s="309"/>
    </row>
    <row r="95" spans="1:118" x14ac:dyDescent="0.2">
      <c r="A95" s="378"/>
      <c r="B95" s="372"/>
      <c r="D95" s="516"/>
      <c r="I95" s="309"/>
      <c r="J95" s="309"/>
    </row>
    <row r="96" spans="1:118" x14ac:dyDescent="0.2">
      <c r="A96" s="378"/>
      <c r="B96" s="372"/>
      <c r="D96" s="516"/>
      <c r="I96" s="309"/>
      <c r="J96" s="309"/>
    </row>
    <row r="97" spans="1:10" x14ac:dyDescent="0.2">
      <c r="A97" s="378"/>
      <c r="B97" s="372"/>
      <c r="D97" s="516"/>
      <c r="I97" s="309"/>
      <c r="J97" s="309"/>
    </row>
    <row r="98" spans="1:10" x14ac:dyDescent="0.2">
      <c r="A98" s="378"/>
      <c r="B98" s="372"/>
      <c r="D98" s="516"/>
      <c r="I98" s="309"/>
      <c r="J98" s="309"/>
    </row>
    <row r="99" spans="1:10" x14ac:dyDescent="0.2">
      <c r="A99" s="378"/>
      <c r="B99" s="372"/>
      <c r="D99" s="516"/>
      <c r="I99" s="309"/>
      <c r="J99" s="309"/>
    </row>
    <row r="100" spans="1:10" x14ac:dyDescent="0.2">
      <c r="A100" s="378"/>
      <c r="B100" s="372"/>
      <c r="D100" s="516"/>
      <c r="I100" s="309"/>
      <c r="J100" s="309"/>
    </row>
    <row r="101" spans="1:10" x14ac:dyDescent="0.2">
      <c r="A101" s="378"/>
      <c r="B101" s="372"/>
      <c r="D101" s="516"/>
      <c r="I101" s="309"/>
      <c r="J101" s="309"/>
    </row>
    <row r="102" spans="1:10" x14ac:dyDescent="0.2">
      <c r="A102" s="378"/>
      <c r="B102" s="372"/>
      <c r="D102" s="516"/>
      <c r="I102" s="309"/>
      <c r="J102" s="309"/>
    </row>
    <row r="103" spans="1:10" x14ac:dyDescent="0.2">
      <c r="A103" s="378"/>
      <c r="B103" s="372"/>
      <c r="D103" s="516"/>
      <c r="I103" s="309"/>
      <c r="J103" s="309"/>
    </row>
    <row r="104" spans="1:10" x14ac:dyDescent="0.2">
      <c r="A104" s="378"/>
      <c r="B104" s="372"/>
      <c r="D104" s="516"/>
      <c r="I104" s="309"/>
      <c r="J104" s="309"/>
    </row>
    <row r="105" spans="1:10" x14ac:dyDescent="0.2">
      <c r="A105" s="378"/>
      <c r="B105" s="372"/>
      <c r="D105" s="516"/>
      <c r="I105" s="309"/>
      <c r="J105" s="309"/>
    </row>
    <row r="106" spans="1:10" x14ac:dyDescent="0.2">
      <c r="A106" s="378"/>
      <c r="B106" s="372"/>
      <c r="D106" s="516"/>
      <c r="I106" s="309"/>
      <c r="J106" s="309"/>
    </row>
    <row r="107" spans="1:10" x14ac:dyDescent="0.2">
      <c r="A107" s="378"/>
      <c r="B107" s="372"/>
      <c r="D107" s="516"/>
      <c r="I107" s="309"/>
      <c r="J107" s="309"/>
    </row>
    <row r="108" spans="1:10" x14ac:dyDescent="0.2">
      <c r="A108" s="378"/>
      <c r="B108" s="372"/>
      <c r="D108" s="516"/>
      <c r="I108" s="309"/>
      <c r="J108" s="309"/>
    </row>
    <row r="109" spans="1:10" x14ac:dyDescent="0.2">
      <c r="A109" s="378"/>
      <c r="B109" s="372"/>
      <c r="D109" s="516"/>
      <c r="I109" s="309"/>
      <c r="J109" s="309"/>
    </row>
    <row r="110" spans="1:10" x14ac:dyDescent="0.2">
      <c r="A110" s="378"/>
      <c r="B110" s="372"/>
      <c r="D110" s="516"/>
      <c r="I110" s="309"/>
      <c r="J110" s="309"/>
    </row>
    <row r="111" spans="1:10" x14ac:dyDescent="0.2">
      <c r="A111" s="378"/>
      <c r="B111" s="372"/>
      <c r="D111" s="516"/>
      <c r="I111" s="309"/>
      <c r="J111" s="309"/>
    </row>
    <row r="112" spans="1:10" x14ac:dyDescent="0.2">
      <c r="A112" s="378"/>
      <c r="B112" s="372"/>
      <c r="D112" s="516"/>
      <c r="I112" s="309"/>
      <c r="J112" s="309"/>
    </row>
    <row r="113" spans="1:10" x14ac:dyDescent="0.2">
      <c r="A113" s="378"/>
      <c r="B113" s="372"/>
      <c r="D113" s="516"/>
      <c r="I113" s="309"/>
      <c r="J113" s="309"/>
    </row>
    <row r="114" spans="1:10" x14ac:dyDescent="0.2">
      <c r="A114" s="378"/>
      <c r="B114" s="372"/>
      <c r="D114" s="516"/>
      <c r="I114" s="309"/>
      <c r="J114" s="309"/>
    </row>
    <row r="115" spans="1:10" x14ac:dyDescent="0.2">
      <c r="A115" s="378"/>
      <c r="B115" s="372"/>
      <c r="D115" s="516"/>
      <c r="I115" s="309"/>
      <c r="J115" s="309"/>
    </row>
    <row r="116" spans="1:10" x14ac:dyDescent="0.2">
      <c r="A116" s="378"/>
      <c r="B116" s="372"/>
      <c r="D116" s="516"/>
      <c r="I116" s="309"/>
      <c r="J116" s="309"/>
    </row>
    <row r="117" spans="1:10" x14ac:dyDescent="0.2">
      <c r="A117" s="378"/>
      <c r="B117" s="372"/>
      <c r="D117" s="516"/>
      <c r="I117" s="309"/>
      <c r="J117" s="309"/>
    </row>
    <row r="118" spans="1:10" x14ac:dyDescent="0.2">
      <c r="A118" s="378"/>
      <c r="B118" s="372"/>
      <c r="D118" s="516"/>
      <c r="I118" s="309"/>
      <c r="J118" s="309"/>
    </row>
    <row r="119" spans="1:10" x14ac:dyDescent="0.2">
      <c r="A119" s="378"/>
      <c r="B119" s="372"/>
      <c r="D119" s="516"/>
      <c r="I119" s="309"/>
      <c r="J119" s="309"/>
    </row>
    <row r="120" spans="1:10" x14ac:dyDescent="0.2">
      <c r="A120" s="378"/>
      <c r="B120" s="372"/>
      <c r="D120" s="516"/>
      <c r="I120" s="309"/>
      <c r="J120" s="309"/>
    </row>
    <row r="121" spans="1:10" x14ac:dyDescent="0.2">
      <c r="A121" s="378"/>
      <c r="B121" s="372"/>
      <c r="D121" s="516"/>
      <c r="I121" s="309"/>
      <c r="J121" s="309"/>
    </row>
    <row r="122" spans="1:10" x14ac:dyDescent="0.2">
      <c r="A122" s="378"/>
      <c r="B122" s="372"/>
      <c r="D122" s="516"/>
      <c r="I122" s="309"/>
      <c r="J122" s="309"/>
    </row>
    <row r="123" spans="1:10" x14ac:dyDescent="0.2">
      <c r="A123" s="378"/>
      <c r="B123" s="372"/>
      <c r="D123" s="516"/>
      <c r="I123" s="309"/>
      <c r="J123" s="309"/>
    </row>
    <row r="124" spans="1:10" x14ac:dyDescent="0.2">
      <c r="A124" s="378"/>
      <c r="B124" s="372"/>
      <c r="D124" s="516"/>
      <c r="I124" s="309"/>
      <c r="J124" s="309"/>
    </row>
    <row r="125" spans="1:10" x14ac:dyDescent="0.2">
      <c r="A125" s="378"/>
      <c r="B125" s="372"/>
      <c r="D125" s="516"/>
      <c r="I125" s="309"/>
      <c r="J125" s="309"/>
    </row>
    <row r="126" spans="1:10" x14ac:dyDescent="0.2">
      <c r="A126" s="378"/>
      <c r="B126" s="372"/>
      <c r="D126" s="516"/>
      <c r="I126" s="309"/>
      <c r="J126" s="309"/>
    </row>
    <row r="127" spans="1:10" x14ac:dyDescent="0.2">
      <c r="A127" s="378"/>
      <c r="B127" s="372"/>
      <c r="D127" s="516"/>
      <c r="I127" s="309"/>
      <c r="J127" s="309"/>
    </row>
    <row r="128" spans="1:10" x14ac:dyDescent="0.2">
      <c r="A128" s="378"/>
      <c r="B128" s="372"/>
      <c r="D128" s="516"/>
      <c r="I128" s="309"/>
      <c r="J128" s="309"/>
    </row>
    <row r="129" spans="1:10" x14ac:dyDescent="0.2">
      <c r="A129" s="378"/>
      <c r="B129" s="372"/>
      <c r="D129" s="516"/>
      <c r="I129" s="309"/>
      <c r="J129" s="309"/>
    </row>
    <row r="130" spans="1:10" x14ac:dyDescent="0.2">
      <c r="A130" s="378"/>
      <c r="B130" s="372"/>
      <c r="D130" s="516"/>
      <c r="I130" s="309"/>
      <c r="J130" s="309"/>
    </row>
    <row r="131" spans="1:10" x14ac:dyDescent="0.2">
      <c r="A131" s="378"/>
      <c r="B131" s="372"/>
      <c r="D131" s="516"/>
      <c r="I131" s="309"/>
      <c r="J131" s="309"/>
    </row>
    <row r="132" spans="1:10" x14ac:dyDescent="0.2">
      <c r="A132" s="378"/>
      <c r="B132" s="372"/>
      <c r="D132" s="516"/>
      <c r="I132" s="309"/>
      <c r="J132" s="309"/>
    </row>
    <row r="133" spans="1:10" x14ac:dyDescent="0.2">
      <c r="A133" s="378"/>
      <c r="B133" s="372"/>
      <c r="D133" s="516"/>
      <c r="I133" s="309"/>
      <c r="J133" s="309"/>
    </row>
    <row r="134" spans="1:10" x14ac:dyDescent="0.2">
      <c r="A134" s="378"/>
      <c r="B134" s="372"/>
      <c r="D134" s="516"/>
      <c r="I134" s="309"/>
      <c r="J134" s="309"/>
    </row>
    <row r="135" spans="1:10" x14ac:dyDescent="0.2">
      <c r="A135" s="378"/>
      <c r="B135" s="372"/>
      <c r="D135" s="516"/>
      <c r="I135" s="309"/>
      <c r="J135" s="309"/>
    </row>
    <row r="136" spans="1:10" x14ac:dyDescent="0.2">
      <c r="A136" s="378"/>
      <c r="B136" s="372"/>
      <c r="D136" s="516"/>
      <c r="I136" s="309"/>
      <c r="J136" s="309"/>
    </row>
    <row r="137" spans="1:10" x14ac:dyDescent="0.2">
      <c r="A137" s="378"/>
      <c r="B137" s="372"/>
      <c r="D137" s="516"/>
      <c r="I137" s="309"/>
      <c r="J137" s="309"/>
    </row>
    <row r="138" spans="1:10" x14ac:dyDescent="0.2">
      <c r="A138" s="378"/>
      <c r="B138" s="372"/>
      <c r="D138" s="516"/>
      <c r="I138" s="309"/>
      <c r="J138" s="309"/>
    </row>
    <row r="139" spans="1:10" x14ac:dyDescent="0.2">
      <c r="A139" s="378"/>
      <c r="B139" s="372"/>
      <c r="D139" s="516"/>
      <c r="I139" s="309"/>
      <c r="J139" s="309"/>
    </row>
    <row r="140" spans="1:10" x14ac:dyDescent="0.2">
      <c r="A140" s="378"/>
      <c r="B140" s="372"/>
      <c r="D140" s="516"/>
      <c r="I140" s="309"/>
      <c r="J140" s="309"/>
    </row>
    <row r="141" spans="1:10" x14ac:dyDescent="0.2">
      <c r="A141" s="378"/>
      <c r="B141" s="372"/>
      <c r="D141" s="516"/>
      <c r="I141" s="309"/>
      <c r="J141" s="309"/>
    </row>
    <row r="142" spans="1:10" x14ac:dyDescent="0.2">
      <c r="A142" s="378"/>
      <c r="B142" s="372"/>
      <c r="D142" s="516"/>
      <c r="I142" s="309"/>
      <c r="J142" s="309"/>
    </row>
    <row r="143" spans="1:10" x14ac:dyDescent="0.2">
      <c r="A143" s="378"/>
      <c r="B143" s="372"/>
      <c r="D143" s="516"/>
      <c r="I143" s="309"/>
      <c r="J143" s="309"/>
    </row>
    <row r="144" spans="1:10" x14ac:dyDescent="0.2">
      <c r="A144" s="378"/>
      <c r="B144" s="372"/>
      <c r="D144" s="516"/>
      <c r="I144" s="309"/>
      <c r="J144" s="309"/>
    </row>
    <row r="145" spans="1:10" x14ac:dyDescent="0.2">
      <c r="A145" s="378"/>
      <c r="B145" s="372"/>
      <c r="D145" s="516"/>
      <c r="I145" s="309"/>
      <c r="J145" s="309"/>
    </row>
    <row r="146" spans="1:10" x14ac:dyDescent="0.2">
      <c r="A146" s="378"/>
      <c r="B146" s="372"/>
      <c r="D146" s="516"/>
      <c r="I146" s="309"/>
      <c r="J146" s="309"/>
    </row>
    <row r="147" spans="1:10" x14ac:dyDescent="0.2">
      <c r="A147" s="378"/>
      <c r="B147" s="372"/>
      <c r="D147" s="516"/>
      <c r="I147" s="309"/>
      <c r="J147" s="309"/>
    </row>
    <row r="148" spans="1:10" x14ac:dyDescent="0.2">
      <c r="A148" s="378"/>
      <c r="B148" s="372"/>
      <c r="D148" s="516"/>
      <c r="I148" s="309"/>
      <c r="J148" s="309"/>
    </row>
    <row r="149" spans="1:10" x14ac:dyDescent="0.2">
      <c r="A149" s="378"/>
      <c r="B149" s="372"/>
      <c r="D149" s="516"/>
      <c r="I149" s="309"/>
      <c r="J149" s="309"/>
    </row>
    <row r="150" spans="1:10" x14ac:dyDescent="0.2">
      <c r="A150" s="378"/>
      <c r="B150" s="372"/>
      <c r="D150" s="516"/>
      <c r="I150" s="309"/>
      <c r="J150" s="309"/>
    </row>
    <row r="151" spans="1:10" x14ac:dyDescent="0.2">
      <c r="A151" s="378"/>
      <c r="B151" s="372"/>
      <c r="D151" s="516"/>
      <c r="I151" s="309"/>
      <c r="J151" s="309"/>
    </row>
    <row r="152" spans="1:10" x14ac:dyDescent="0.2">
      <c r="A152" s="378"/>
      <c r="B152" s="372"/>
      <c r="D152" s="516"/>
      <c r="I152" s="309"/>
      <c r="J152" s="309"/>
    </row>
    <row r="153" spans="1:10" x14ac:dyDescent="0.2">
      <c r="A153" s="378"/>
      <c r="B153" s="372"/>
      <c r="D153" s="516"/>
      <c r="I153" s="309"/>
      <c r="J153" s="309"/>
    </row>
    <row r="154" spans="1:10" x14ac:dyDescent="0.2">
      <c r="A154" s="378"/>
      <c r="B154" s="372"/>
      <c r="D154" s="516"/>
      <c r="I154" s="309"/>
      <c r="J154" s="309"/>
    </row>
    <row r="155" spans="1:10" x14ac:dyDescent="0.2">
      <c r="A155" s="378"/>
      <c r="B155" s="372"/>
      <c r="D155" s="516"/>
      <c r="I155" s="309"/>
      <c r="J155" s="309"/>
    </row>
    <row r="156" spans="1:10" x14ac:dyDescent="0.2">
      <c r="A156" s="378"/>
      <c r="B156" s="372"/>
      <c r="D156" s="516"/>
      <c r="I156" s="309"/>
      <c r="J156" s="309"/>
    </row>
    <row r="157" spans="1:10" x14ac:dyDescent="0.2">
      <c r="A157" s="378"/>
      <c r="B157" s="372"/>
      <c r="D157" s="516"/>
      <c r="I157" s="309"/>
      <c r="J157" s="309"/>
    </row>
    <row r="158" spans="1:10" x14ac:dyDescent="0.2">
      <c r="A158" s="378"/>
      <c r="B158" s="372"/>
      <c r="D158" s="516"/>
      <c r="I158" s="309"/>
      <c r="J158" s="309"/>
    </row>
    <row r="159" spans="1:10" x14ac:dyDescent="0.2">
      <c r="A159" s="378"/>
      <c r="B159" s="372"/>
      <c r="D159" s="516"/>
      <c r="I159" s="309"/>
      <c r="J159" s="309"/>
    </row>
    <row r="160" spans="1:10" x14ac:dyDescent="0.2">
      <c r="A160" s="378"/>
      <c r="B160" s="372"/>
      <c r="D160" s="516"/>
      <c r="I160" s="309"/>
      <c r="J160" s="309"/>
    </row>
    <row r="161" spans="1:10" x14ac:dyDescent="0.2">
      <c r="A161" s="378"/>
      <c r="B161" s="372"/>
      <c r="D161" s="516"/>
      <c r="I161" s="309"/>
      <c r="J161" s="309"/>
    </row>
    <row r="162" spans="1:10" x14ac:dyDescent="0.2">
      <c r="A162" s="378"/>
      <c r="B162" s="372"/>
      <c r="D162" s="516"/>
      <c r="I162" s="309"/>
      <c r="J162" s="309"/>
    </row>
    <row r="163" spans="1:10" x14ac:dyDescent="0.2">
      <c r="A163" s="378"/>
      <c r="B163" s="372"/>
      <c r="D163" s="516"/>
      <c r="I163" s="309"/>
      <c r="J163" s="309"/>
    </row>
    <row r="164" spans="1:10" x14ac:dyDescent="0.2">
      <c r="A164" s="378"/>
      <c r="B164" s="372"/>
      <c r="D164" s="516"/>
      <c r="I164" s="309"/>
      <c r="J164" s="309"/>
    </row>
    <row r="165" spans="1:10" x14ac:dyDescent="0.2">
      <c r="A165" s="378"/>
      <c r="B165" s="372"/>
      <c r="D165" s="516"/>
      <c r="I165" s="309"/>
      <c r="J165" s="309"/>
    </row>
    <row r="166" spans="1:10" x14ac:dyDescent="0.2">
      <c r="A166" s="378"/>
      <c r="B166" s="372"/>
      <c r="D166" s="516"/>
      <c r="I166" s="309"/>
      <c r="J166" s="309"/>
    </row>
    <row r="167" spans="1:10" x14ac:dyDescent="0.2">
      <c r="A167" s="378"/>
      <c r="B167" s="372"/>
      <c r="D167" s="516"/>
      <c r="I167" s="309"/>
      <c r="J167" s="309"/>
    </row>
    <row r="168" spans="1:10" x14ac:dyDescent="0.2">
      <c r="A168" s="378"/>
      <c r="B168" s="372"/>
      <c r="D168" s="516"/>
      <c r="I168" s="309"/>
      <c r="J168" s="309"/>
    </row>
    <row r="169" spans="1:10" x14ac:dyDescent="0.2">
      <c r="A169" s="378"/>
      <c r="B169" s="372"/>
      <c r="D169" s="516"/>
      <c r="I169" s="309"/>
      <c r="J169" s="309"/>
    </row>
    <row r="170" spans="1:10" x14ac:dyDescent="0.2">
      <c r="A170" s="378"/>
      <c r="B170" s="372"/>
      <c r="D170" s="516"/>
      <c r="I170" s="309"/>
      <c r="J170" s="309"/>
    </row>
    <row r="171" spans="1:10" x14ac:dyDescent="0.2">
      <c r="A171" s="378"/>
      <c r="B171" s="372"/>
      <c r="D171" s="516"/>
      <c r="I171" s="309"/>
      <c r="J171" s="309"/>
    </row>
    <row r="172" spans="1:10" x14ac:dyDescent="0.2">
      <c r="A172" s="378"/>
      <c r="B172" s="372"/>
      <c r="D172" s="516"/>
      <c r="I172" s="309"/>
      <c r="J172" s="309"/>
    </row>
    <row r="173" spans="1:10" x14ac:dyDescent="0.2">
      <c r="A173" s="378"/>
      <c r="B173" s="372"/>
      <c r="D173" s="516"/>
      <c r="I173" s="309"/>
      <c r="J173" s="309"/>
    </row>
    <row r="174" spans="1:10" x14ac:dyDescent="0.2">
      <c r="A174" s="378"/>
      <c r="B174" s="372"/>
      <c r="D174" s="516"/>
      <c r="I174" s="309"/>
      <c r="J174" s="309"/>
    </row>
    <row r="175" spans="1:10" x14ac:dyDescent="0.2">
      <c r="A175" s="378"/>
      <c r="B175" s="372"/>
      <c r="D175" s="516"/>
      <c r="I175" s="309"/>
      <c r="J175" s="309"/>
    </row>
    <row r="176" spans="1:10" x14ac:dyDescent="0.2">
      <c r="A176" s="378"/>
      <c r="B176" s="372"/>
      <c r="D176" s="516"/>
      <c r="I176" s="309"/>
      <c r="J176" s="309"/>
    </row>
    <row r="177" spans="1:10" x14ac:dyDescent="0.2">
      <c r="A177" s="378"/>
      <c r="B177" s="372"/>
      <c r="D177" s="516"/>
      <c r="I177" s="309"/>
      <c r="J177" s="309"/>
    </row>
    <row r="178" spans="1:10" x14ac:dyDescent="0.2">
      <c r="A178" s="378"/>
      <c r="B178" s="372"/>
      <c r="D178" s="516"/>
      <c r="I178" s="309"/>
      <c r="J178" s="309"/>
    </row>
    <row r="179" spans="1:10" x14ac:dyDescent="0.2">
      <c r="A179" s="378"/>
      <c r="B179" s="372"/>
      <c r="D179" s="516"/>
      <c r="I179" s="309"/>
      <c r="J179" s="309"/>
    </row>
    <row r="180" spans="1:10" x14ac:dyDescent="0.2">
      <c r="A180" s="378"/>
      <c r="B180" s="372"/>
      <c r="D180" s="516"/>
      <c r="I180" s="309"/>
      <c r="J180" s="309"/>
    </row>
    <row r="181" spans="1:10" x14ac:dyDescent="0.2">
      <c r="A181" s="378"/>
      <c r="B181" s="372"/>
      <c r="D181" s="516"/>
      <c r="I181" s="309"/>
      <c r="J181" s="309"/>
    </row>
    <row r="182" spans="1:10" x14ac:dyDescent="0.2">
      <c r="A182" s="378"/>
      <c r="B182" s="372"/>
      <c r="D182" s="516"/>
      <c r="I182" s="309"/>
      <c r="J182" s="309"/>
    </row>
    <row r="183" spans="1:10" x14ac:dyDescent="0.2">
      <c r="A183" s="378"/>
      <c r="B183" s="372"/>
      <c r="D183" s="516"/>
      <c r="I183" s="309"/>
      <c r="J183" s="309"/>
    </row>
    <row r="184" spans="1:10" x14ac:dyDescent="0.2">
      <c r="A184" s="378"/>
      <c r="B184" s="372"/>
      <c r="D184" s="516"/>
      <c r="I184" s="309"/>
      <c r="J184" s="309"/>
    </row>
    <row r="185" spans="1:10" x14ac:dyDescent="0.2">
      <c r="A185" s="378"/>
      <c r="B185" s="372"/>
      <c r="D185" s="516"/>
      <c r="I185" s="309"/>
      <c r="J185" s="309"/>
    </row>
    <row r="186" spans="1:10" x14ac:dyDescent="0.2">
      <c r="A186" s="378"/>
      <c r="B186" s="372"/>
      <c r="D186" s="516"/>
      <c r="I186" s="309"/>
      <c r="J186" s="309"/>
    </row>
    <row r="187" spans="1:10" x14ac:dyDescent="0.2">
      <c r="A187" s="378"/>
      <c r="B187" s="372"/>
      <c r="D187" s="516"/>
      <c r="I187" s="309"/>
      <c r="J187" s="309"/>
    </row>
    <row r="188" spans="1:10" x14ac:dyDescent="0.2">
      <c r="A188" s="378"/>
      <c r="B188" s="372"/>
      <c r="D188" s="516"/>
      <c r="I188" s="309"/>
      <c r="J188" s="309"/>
    </row>
    <row r="189" spans="1:10" x14ac:dyDescent="0.2">
      <c r="A189" s="378"/>
      <c r="B189" s="372"/>
      <c r="D189" s="516"/>
      <c r="I189" s="309"/>
      <c r="J189" s="309"/>
    </row>
    <row r="190" spans="1:10" x14ac:dyDescent="0.2">
      <c r="A190" s="378"/>
      <c r="B190" s="372"/>
      <c r="D190" s="516"/>
      <c r="I190" s="309"/>
      <c r="J190" s="309"/>
    </row>
    <row r="191" spans="1:10" x14ac:dyDescent="0.2">
      <c r="A191" s="378"/>
      <c r="B191" s="372"/>
      <c r="D191" s="516"/>
      <c r="I191" s="309"/>
      <c r="J191" s="309"/>
    </row>
    <row r="192" spans="1:10" x14ac:dyDescent="0.2">
      <c r="A192" s="378"/>
      <c r="B192" s="372"/>
      <c r="D192" s="516"/>
      <c r="I192" s="309"/>
      <c r="J192" s="309"/>
    </row>
    <row r="193" spans="1:10" x14ac:dyDescent="0.2">
      <c r="A193" s="378"/>
      <c r="B193" s="372"/>
      <c r="D193" s="516"/>
      <c r="I193" s="309"/>
      <c r="J193" s="309"/>
    </row>
    <row r="194" spans="1:10" x14ac:dyDescent="0.2">
      <c r="A194" s="378"/>
      <c r="B194" s="372"/>
      <c r="D194" s="516"/>
      <c r="I194" s="309"/>
      <c r="J194" s="309"/>
    </row>
    <row r="195" spans="1:10" x14ac:dyDescent="0.2">
      <c r="A195" s="378"/>
      <c r="B195" s="372"/>
      <c r="D195" s="516"/>
      <c r="I195" s="309"/>
      <c r="J195" s="309"/>
    </row>
    <row r="196" spans="1:10" x14ac:dyDescent="0.2">
      <c r="A196" s="378"/>
      <c r="B196" s="372"/>
      <c r="D196" s="516"/>
      <c r="I196" s="309"/>
      <c r="J196" s="309"/>
    </row>
    <row r="197" spans="1:10" x14ac:dyDescent="0.2">
      <c r="A197" s="378"/>
      <c r="B197" s="372"/>
      <c r="D197" s="516"/>
      <c r="I197" s="309"/>
      <c r="J197" s="309"/>
    </row>
    <row r="198" spans="1:10" x14ac:dyDescent="0.2">
      <c r="A198" s="378"/>
      <c r="B198" s="372"/>
      <c r="D198" s="516"/>
      <c r="I198" s="309"/>
      <c r="J198" s="309"/>
    </row>
    <row r="199" spans="1:10" x14ac:dyDescent="0.2">
      <c r="A199" s="378"/>
      <c r="B199" s="372"/>
      <c r="D199" s="516"/>
      <c r="I199" s="309"/>
      <c r="J199" s="309"/>
    </row>
    <row r="200" spans="1:10" x14ac:dyDescent="0.2">
      <c r="A200" s="378"/>
      <c r="B200" s="372"/>
      <c r="D200" s="516"/>
      <c r="I200" s="309"/>
      <c r="J200" s="309"/>
    </row>
    <row r="201" spans="1:10" x14ac:dyDescent="0.2">
      <c r="A201" s="378"/>
      <c r="B201" s="372"/>
      <c r="D201" s="516"/>
      <c r="I201" s="309"/>
      <c r="J201" s="309"/>
    </row>
    <row r="202" spans="1:10" x14ac:dyDescent="0.2">
      <c r="A202" s="378"/>
      <c r="B202" s="372"/>
      <c r="D202" s="516"/>
      <c r="I202" s="309"/>
      <c r="J202" s="309"/>
    </row>
    <row r="203" spans="1:10" x14ac:dyDescent="0.2">
      <c r="A203" s="378"/>
      <c r="B203" s="372"/>
      <c r="D203" s="516"/>
      <c r="I203" s="309"/>
      <c r="J203" s="309"/>
    </row>
    <row r="204" spans="1:10" x14ac:dyDescent="0.2">
      <c r="A204" s="378"/>
      <c r="B204" s="372"/>
      <c r="D204" s="516"/>
      <c r="I204" s="309"/>
      <c r="J204" s="309"/>
    </row>
    <row r="205" spans="1:10" x14ac:dyDescent="0.2">
      <c r="A205" s="378"/>
      <c r="B205" s="372"/>
      <c r="D205" s="516"/>
      <c r="I205" s="309"/>
      <c r="J205" s="309"/>
    </row>
    <row r="206" spans="1:10" x14ac:dyDescent="0.2">
      <c r="A206" s="378"/>
      <c r="B206" s="372"/>
      <c r="D206" s="516"/>
      <c r="I206" s="309"/>
      <c r="J206" s="309"/>
    </row>
    <row r="207" spans="1:10" x14ac:dyDescent="0.2">
      <c r="A207" s="378"/>
      <c r="B207" s="372"/>
      <c r="D207" s="516"/>
      <c r="I207" s="309"/>
      <c r="J207" s="309"/>
    </row>
    <row r="208" spans="1:10" x14ac:dyDescent="0.2">
      <c r="A208" s="378"/>
      <c r="B208" s="372"/>
      <c r="D208" s="516"/>
      <c r="I208" s="309"/>
      <c r="J208" s="309"/>
    </row>
    <row r="209" spans="1:10" x14ac:dyDescent="0.2">
      <c r="A209" s="378"/>
      <c r="B209" s="372"/>
      <c r="D209" s="516"/>
      <c r="I209" s="309"/>
      <c r="J209" s="309"/>
    </row>
    <row r="210" spans="1:10" x14ac:dyDescent="0.2">
      <c r="A210" s="378"/>
      <c r="B210" s="372"/>
      <c r="D210" s="516"/>
      <c r="I210" s="309"/>
      <c r="J210" s="309"/>
    </row>
    <row r="211" spans="1:10" x14ac:dyDescent="0.2">
      <c r="A211" s="378"/>
      <c r="B211" s="372"/>
      <c r="D211" s="516"/>
      <c r="I211" s="309"/>
      <c r="J211" s="309"/>
    </row>
    <row r="212" spans="1:10" x14ac:dyDescent="0.2">
      <c r="A212" s="378"/>
      <c r="B212" s="372"/>
      <c r="D212" s="516"/>
      <c r="I212" s="309"/>
      <c r="J212" s="309"/>
    </row>
    <row r="213" spans="1:10" x14ac:dyDescent="0.2">
      <c r="A213" s="378"/>
      <c r="B213" s="372"/>
      <c r="D213" s="516"/>
      <c r="I213" s="309"/>
      <c r="J213" s="309"/>
    </row>
    <row r="214" spans="1:10" x14ac:dyDescent="0.2">
      <c r="A214" s="378"/>
      <c r="B214" s="372"/>
      <c r="D214" s="516"/>
      <c r="I214" s="309"/>
      <c r="J214" s="309"/>
    </row>
    <row r="215" spans="1:10" x14ac:dyDescent="0.2">
      <c r="A215" s="378"/>
      <c r="B215" s="372"/>
      <c r="D215" s="516"/>
      <c r="I215" s="309"/>
      <c r="J215" s="309"/>
    </row>
    <row r="216" spans="1:10" x14ac:dyDescent="0.2">
      <c r="A216" s="378"/>
      <c r="B216" s="372"/>
      <c r="D216" s="516"/>
      <c r="I216" s="309"/>
      <c r="J216" s="309"/>
    </row>
    <row r="217" spans="1:10" x14ac:dyDescent="0.2">
      <c r="A217" s="378"/>
      <c r="B217" s="372"/>
      <c r="D217" s="516"/>
      <c r="I217" s="309"/>
      <c r="J217" s="309"/>
    </row>
    <row r="218" spans="1:10" x14ac:dyDescent="0.2">
      <c r="A218" s="378"/>
      <c r="B218" s="372"/>
      <c r="D218" s="516"/>
      <c r="I218" s="309"/>
      <c r="J218" s="309"/>
    </row>
    <row r="219" spans="1:10" x14ac:dyDescent="0.2">
      <c r="A219" s="378"/>
      <c r="B219" s="372"/>
      <c r="D219" s="516"/>
      <c r="I219" s="309"/>
      <c r="J219" s="309"/>
    </row>
    <row r="220" spans="1:10" x14ac:dyDescent="0.2">
      <c r="A220" s="378"/>
      <c r="B220" s="372"/>
      <c r="D220" s="516"/>
      <c r="I220" s="309"/>
      <c r="J220" s="309"/>
    </row>
    <row r="221" spans="1:10" x14ac:dyDescent="0.2">
      <c r="A221" s="378"/>
      <c r="B221" s="372"/>
      <c r="D221" s="516"/>
      <c r="I221" s="309"/>
      <c r="J221" s="309"/>
    </row>
    <row r="222" spans="1:10" x14ac:dyDescent="0.2">
      <c r="A222" s="378"/>
      <c r="B222" s="372"/>
      <c r="D222" s="516"/>
      <c r="I222" s="309"/>
      <c r="J222" s="309"/>
    </row>
    <row r="223" spans="1:10" x14ac:dyDescent="0.2">
      <c r="A223" s="378"/>
      <c r="B223" s="372"/>
      <c r="D223" s="516"/>
      <c r="I223" s="309"/>
      <c r="J223" s="309"/>
    </row>
    <row r="224" spans="1:10" x14ac:dyDescent="0.2">
      <c r="A224" s="378"/>
      <c r="B224" s="372"/>
      <c r="D224" s="516"/>
      <c r="I224" s="309"/>
      <c r="J224" s="309"/>
    </row>
    <row r="225" spans="1:10" x14ac:dyDescent="0.2">
      <c r="A225" s="378"/>
      <c r="B225" s="372"/>
      <c r="D225" s="516"/>
      <c r="I225" s="309"/>
      <c r="J225" s="309"/>
    </row>
    <row r="226" spans="1:10" x14ac:dyDescent="0.2">
      <c r="A226" s="378"/>
      <c r="B226" s="372"/>
      <c r="D226" s="516"/>
      <c r="I226" s="309"/>
      <c r="J226" s="309"/>
    </row>
    <row r="227" spans="1:10" x14ac:dyDescent="0.2">
      <c r="A227" s="378"/>
      <c r="B227" s="372"/>
      <c r="D227" s="516"/>
      <c r="I227" s="309"/>
      <c r="J227" s="309"/>
    </row>
    <row r="228" spans="1:10" x14ac:dyDescent="0.2">
      <c r="A228" s="378"/>
      <c r="B228" s="372"/>
      <c r="D228" s="516"/>
      <c r="I228" s="309"/>
      <c r="J228" s="309"/>
    </row>
    <row r="229" spans="1:10" x14ac:dyDescent="0.2">
      <c r="A229" s="378"/>
      <c r="B229" s="372"/>
      <c r="D229" s="516"/>
      <c r="I229" s="309"/>
      <c r="J229" s="309"/>
    </row>
    <row r="230" spans="1:10" x14ac:dyDescent="0.2">
      <c r="A230" s="378"/>
      <c r="B230" s="372"/>
      <c r="D230" s="516"/>
      <c r="I230" s="309"/>
      <c r="J230" s="309"/>
    </row>
    <row r="231" spans="1:10" x14ac:dyDescent="0.2">
      <c r="A231" s="378"/>
      <c r="B231" s="372"/>
      <c r="D231" s="516"/>
      <c r="I231" s="309"/>
      <c r="J231" s="309"/>
    </row>
    <row r="232" spans="1:10" x14ac:dyDescent="0.2">
      <c r="A232" s="378"/>
      <c r="B232" s="372"/>
      <c r="D232" s="516"/>
      <c r="I232" s="309"/>
      <c r="J232" s="309"/>
    </row>
    <row r="233" spans="1:10" x14ac:dyDescent="0.2">
      <c r="A233" s="378"/>
      <c r="B233" s="372"/>
      <c r="D233" s="516"/>
      <c r="I233" s="309"/>
      <c r="J233" s="309"/>
    </row>
    <row r="234" spans="1:10" x14ac:dyDescent="0.2">
      <c r="A234" s="378"/>
      <c r="B234" s="372"/>
      <c r="D234" s="516"/>
      <c r="I234" s="309"/>
      <c r="J234" s="309"/>
    </row>
    <row r="235" spans="1:10" x14ac:dyDescent="0.2">
      <c r="A235" s="378"/>
      <c r="B235" s="372"/>
      <c r="D235" s="516"/>
      <c r="I235" s="309"/>
      <c r="J235" s="309"/>
    </row>
    <row r="236" spans="1:10" x14ac:dyDescent="0.2">
      <c r="A236" s="378"/>
      <c r="B236" s="372"/>
      <c r="D236" s="516"/>
      <c r="I236" s="309"/>
      <c r="J236" s="309"/>
    </row>
    <row r="237" spans="1:10" x14ac:dyDescent="0.2">
      <c r="A237" s="378"/>
      <c r="B237" s="372"/>
      <c r="D237" s="516"/>
      <c r="I237" s="309"/>
      <c r="J237" s="309"/>
    </row>
    <row r="238" spans="1:10" x14ac:dyDescent="0.2">
      <c r="A238" s="378"/>
      <c r="B238" s="372"/>
      <c r="D238" s="516"/>
      <c r="I238" s="309"/>
      <c r="J238" s="309"/>
    </row>
    <row r="239" spans="1:10" x14ac:dyDescent="0.2">
      <c r="A239" s="378"/>
      <c r="B239" s="372"/>
      <c r="D239" s="516"/>
      <c r="I239" s="309"/>
      <c r="J239" s="309"/>
    </row>
    <row r="240" spans="1:10" x14ac:dyDescent="0.2">
      <c r="A240" s="378"/>
      <c r="B240" s="372"/>
      <c r="D240" s="516"/>
      <c r="I240" s="309"/>
      <c r="J240" s="309"/>
    </row>
    <row r="241" spans="1:10" x14ac:dyDescent="0.2">
      <c r="A241" s="378"/>
      <c r="B241" s="372"/>
      <c r="D241" s="516"/>
      <c r="I241" s="309"/>
      <c r="J241" s="309"/>
    </row>
    <row r="242" spans="1:10" x14ac:dyDescent="0.2">
      <c r="A242" s="378"/>
      <c r="B242" s="372"/>
      <c r="D242" s="516"/>
      <c r="I242" s="309"/>
      <c r="J242" s="309"/>
    </row>
    <row r="243" spans="1:10" x14ac:dyDescent="0.2">
      <c r="A243" s="378"/>
      <c r="B243" s="372"/>
      <c r="D243" s="516"/>
      <c r="I243" s="309"/>
      <c r="J243" s="309"/>
    </row>
    <row r="244" spans="1:10" x14ac:dyDescent="0.2">
      <c r="A244" s="378"/>
      <c r="B244" s="372"/>
      <c r="D244" s="516"/>
      <c r="I244" s="309"/>
      <c r="J244" s="309"/>
    </row>
    <row r="245" spans="1:10" x14ac:dyDescent="0.2">
      <c r="A245" s="378"/>
      <c r="B245" s="372"/>
      <c r="D245" s="516"/>
      <c r="I245" s="309"/>
      <c r="J245" s="309"/>
    </row>
    <row r="246" spans="1:10" x14ac:dyDescent="0.2">
      <c r="A246" s="378"/>
      <c r="B246" s="372"/>
      <c r="D246" s="516"/>
      <c r="I246" s="309"/>
      <c r="J246" s="309"/>
    </row>
    <row r="247" spans="1:10" x14ac:dyDescent="0.2">
      <c r="A247" s="378"/>
      <c r="B247" s="372"/>
      <c r="D247" s="516"/>
      <c r="I247" s="309"/>
      <c r="J247" s="309"/>
    </row>
    <row r="248" spans="1:10" x14ac:dyDescent="0.2">
      <c r="A248" s="378"/>
      <c r="B248" s="372"/>
      <c r="D248" s="516"/>
      <c r="I248" s="309"/>
      <c r="J248" s="309"/>
    </row>
    <row r="249" spans="1:10" x14ac:dyDescent="0.2">
      <c r="A249" s="378"/>
      <c r="B249" s="372"/>
      <c r="D249" s="516"/>
      <c r="I249" s="309"/>
      <c r="J249" s="309"/>
    </row>
    <row r="250" spans="1:10" x14ac:dyDescent="0.2">
      <c r="A250" s="378"/>
      <c r="B250" s="372"/>
      <c r="D250" s="516"/>
      <c r="I250" s="309"/>
      <c r="J250" s="309"/>
    </row>
    <row r="251" spans="1:10" x14ac:dyDescent="0.2">
      <c r="A251" s="378"/>
      <c r="B251" s="372"/>
      <c r="D251" s="516"/>
      <c r="I251" s="309"/>
      <c r="J251" s="309"/>
    </row>
    <row r="252" spans="1:10" x14ac:dyDescent="0.2">
      <c r="A252" s="378"/>
      <c r="B252" s="372"/>
      <c r="D252" s="516"/>
      <c r="I252" s="309"/>
      <c r="J252" s="309"/>
    </row>
    <row r="253" spans="1:10" x14ac:dyDescent="0.2">
      <c r="A253" s="378"/>
      <c r="B253" s="372"/>
      <c r="D253" s="516"/>
      <c r="I253" s="309"/>
      <c r="J253" s="309"/>
    </row>
    <row r="254" spans="1:10" x14ac:dyDescent="0.2">
      <c r="A254" s="378"/>
      <c r="B254" s="372"/>
      <c r="D254" s="516"/>
      <c r="I254" s="309"/>
      <c r="J254" s="309"/>
    </row>
    <row r="255" spans="1:10" x14ac:dyDescent="0.2">
      <c r="A255" s="378"/>
      <c r="B255" s="372"/>
      <c r="D255" s="516"/>
      <c r="I255" s="309"/>
      <c r="J255" s="309"/>
    </row>
    <row r="256" spans="1:10" x14ac:dyDescent="0.2">
      <c r="A256" s="378"/>
      <c r="B256" s="372"/>
      <c r="D256" s="516"/>
      <c r="I256" s="309"/>
      <c r="J256" s="309"/>
    </row>
    <row r="257" spans="1:10" x14ac:dyDescent="0.2">
      <c r="A257" s="378"/>
      <c r="B257" s="372"/>
      <c r="D257" s="516"/>
      <c r="I257" s="309"/>
      <c r="J257" s="309"/>
    </row>
    <row r="258" spans="1:10" x14ac:dyDescent="0.2">
      <c r="A258" s="378"/>
      <c r="B258" s="372"/>
      <c r="D258" s="516"/>
      <c r="I258" s="309"/>
      <c r="J258" s="309"/>
    </row>
    <row r="259" spans="1:10" x14ac:dyDescent="0.2">
      <c r="A259" s="378"/>
      <c r="B259" s="372"/>
      <c r="D259" s="516"/>
      <c r="I259" s="309"/>
      <c r="J259" s="309"/>
    </row>
  </sheetData>
  <conditionalFormatting sqref="E52:I61 E2:I21 E37:I46 E25:I26">
    <cfRule type="dataBar" priority="23">
      <dataBar>
        <cfvo type="min"/>
        <cfvo type="max"/>
        <color rgb="FFFFB628"/>
      </dataBar>
      <extLst>
        <ext xmlns:x14="http://schemas.microsoft.com/office/spreadsheetml/2009/9/main" uri="{B025F937-C7B1-47D3-B67F-A62EFF666E3E}">
          <x14:id>{D3682BDD-5A44-0748-B468-2912ADD1C816}</x14:id>
        </ext>
      </extLst>
    </cfRule>
  </conditionalFormatting>
  <conditionalFormatting sqref="J2:J26 J33 J35:J86">
    <cfRule type="dataBar" priority="24">
      <dataBar>
        <cfvo type="min"/>
        <cfvo type="max"/>
        <color rgb="FF3FCDFF"/>
      </dataBar>
      <extLst>
        <ext xmlns:x14="http://schemas.microsoft.com/office/spreadsheetml/2009/9/main" uri="{B025F937-C7B1-47D3-B67F-A62EFF666E3E}">
          <x14:id>{73C56964-DD49-DD4A-AE70-86A37947FF59}</x14:id>
        </ext>
      </extLst>
    </cfRule>
  </conditionalFormatting>
  <conditionalFormatting sqref="E47:I51">
    <cfRule type="dataBar" priority="22">
      <dataBar>
        <cfvo type="min"/>
        <cfvo type="max"/>
        <color rgb="FFFFB628"/>
      </dataBar>
      <extLst>
        <ext xmlns:x14="http://schemas.microsoft.com/office/spreadsheetml/2009/9/main" uri="{B025F937-C7B1-47D3-B67F-A62EFF666E3E}">
          <x14:id>{5B684C6A-68D2-3F41-A06C-72A6FD906F14}</x14:id>
        </ext>
      </extLst>
    </cfRule>
  </conditionalFormatting>
  <conditionalFormatting sqref="E22:I22">
    <cfRule type="dataBar" priority="21">
      <dataBar>
        <cfvo type="min"/>
        <cfvo type="max"/>
        <color rgb="FFFFB628"/>
      </dataBar>
      <extLst>
        <ext xmlns:x14="http://schemas.microsoft.com/office/spreadsheetml/2009/9/main" uri="{B025F937-C7B1-47D3-B67F-A62EFF666E3E}">
          <x14:id>{D35A222A-9581-DD41-B7A9-3F4733FC708C}</x14:id>
        </ext>
      </extLst>
    </cfRule>
  </conditionalFormatting>
  <conditionalFormatting sqref="E24:I24">
    <cfRule type="dataBar" priority="20">
      <dataBar>
        <cfvo type="min"/>
        <cfvo type="max"/>
        <color rgb="FFFFB628"/>
      </dataBar>
      <extLst>
        <ext xmlns:x14="http://schemas.microsoft.com/office/spreadsheetml/2009/9/main" uri="{B025F937-C7B1-47D3-B67F-A62EFF666E3E}">
          <x14:id>{952DC490-7689-A948-A45C-34A07FF74A71}</x14:id>
        </ext>
      </extLst>
    </cfRule>
  </conditionalFormatting>
  <conditionalFormatting sqref="E23:I23">
    <cfRule type="dataBar" priority="19">
      <dataBar>
        <cfvo type="min"/>
        <cfvo type="max"/>
        <color rgb="FFFFB628"/>
      </dataBar>
      <extLst>
        <ext xmlns:x14="http://schemas.microsoft.com/office/spreadsheetml/2009/9/main" uri="{B025F937-C7B1-47D3-B67F-A62EFF666E3E}">
          <x14:id>{ED17CC04-BFC2-8D4C-9DEE-D53F95FAB806}</x14:id>
        </ext>
      </extLst>
    </cfRule>
  </conditionalFormatting>
  <conditionalFormatting sqref="E78:I78 E80:I81">
    <cfRule type="dataBar" priority="18">
      <dataBar>
        <cfvo type="min"/>
        <cfvo type="max"/>
        <color rgb="FFFFB628"/>
      </dataBar>
      <extLst>
        <ext xmlns:x14="http://schemas.microsoft.com/office/spreadsheetml/2009/9/main" uri="{B025F937-C7B1-47D3-B67F-A62EFF666E3E}">
          <x14:id>{23B81290-602F-2742-AAA1-4009A4535815}</x14:id>
        </ext>
      </extLst>
    </cfRule>
  </conditionalFormatting>
  <conditionalFormatting sqref="E83:I83 E85:I86">
    <cfRule type="dataBar" priority="17">
      <dataBar>
        <cfvo type="min"/>
        <cfvo type="max"/>
        <color rgb="FFFFB628"/>
      </dataBar>
      <extLst>
        <ext xmlns:x14="http://schemas.microsoft.com/office/spreadsheetml/2009/9/main" uri="{B025F937-C7B1-47D3-B67F-A62EFF666E3E}">
          <x14:id>{D406B483-F7BB-F94B-A598-0C7B2B597662}</x14:id>
        </ext>
      </extLst>
    </cfRule>
  </conditionalFormatting>
  <conditionalFormatting sqref="E73:I73 E75:I76">
    <cfRule type="dataBar" priority="16">
      <dataBar>
        <cfvo type="min"/>
        <cfvo type="max"/>
        <color rgb="FFFFB628"/>
      </dataBar>
      <extLst>
        <ext xmlns:x14="http://schemas.microsoft.com/office/spreadsheetml/2009/9/main" uri="{B025F937-C7B1-47D3-B67F-A62EFF666E3E}">
          <x14:id>{5D512922-7FD2-8247-8826-A6CE5BD1569B}</x14:id>
        </ext>
      </extLst>
    </cfRule>
  </conditionalFormatting>
  <conditionalFormatting sqref="E67:I71">
    <cfRule type="dataBar" priority="15">
      <dataBar>
        <cfvo type="min"/>
        <cfvo type="max"/>
        <color rgb="FFFFB628"/>
      </dataBar>
      <extLst>
        <ext xmlns:x14="http://schemas.microsoft.com/office/spreadsheetml/2009/9/main" uri="{B025F937-C7B1-47D3-B67F-A62EFF666E3E}">
          <x14:id>{1B927201-CF37-0F46-A6C4-BA8B3D4165AB}</x14:id>
        </ext>
      </extLst>
    </cfRule>
  </conditionalFormatting>
  <conditionalFormatting sqref="E62:I66">
    <cfRule type="dataBar" priority="14">
      <dataBar>
        <cfvo type="min"/>
        <cfvo type="max"/>
        <color rgb="FFFFB628"/>
      </dataBar>
      <extLst>
        <ext xmlns:x14="http://schemas.microsoft.com/office/spreadsheetml/2009/9/main" uri="{B025F937-C7B1-47D3-B67F-A62EFF666E3E}">
          <x14:id>{079E01BC-1FAC-5249-87EB-4A3289DB14C3}</x14:id>
        </ext>
      </extLst>
    </cfRule>
  </conditionalFormatting>
  <conditionalFormatting sqref="E33:I33 E35:I36">
    <cfRule type="dataBar" priority="13">
      <dataBar>
        <cfvo type="min"/>
        <cfvo type="max"/>
        <color rgb="FFFFB628"/>
      </dataBar>
      <extLst>
        <ext xmlns:x14="http://schemas.microsoft.com/office/spreadsheetml/2009/9/main" uri="{B025F937-C7B1-47D3-B67F-A62EFF666E3E}">
          <x14:id>{C4EED3D4-1E62-DE49-8DE0-69201CB63090}</x14:id>
        </ext>
      </extLst>
    </cfRule>
  </conditionalFormatting>
  <conditionalFormatting sqref="E84:I84">
    <cfRule type="dataBar" priority="12">
      <dataBar>
        <cfvo type="min"/>
        <cfvo type="max"/>
        <color rgb="FFFFB628"/>
      </dataBar>
      <extLst>
        <ext xmlns:x14="http://schemas.microsoft.com/office/spreadsheetml/2009/9/main" uri="{B025F937-C7B1-47D3-B67F-A62EFF666E3E}">
          <x14:id>{3A07DA69-055C-5C42-8D3B-00542A38E783}</x14:id>
        </ext>
      </extLst>
    </cfRule>
  </conditionalFormatting>
  <conditionalFormatting sqref="E79:I79">
    <cfRule type="dataBar" priority="11">
      <dataBar>
        <cfvo type="min"/>
        <cfvo type="max"/>
        <color rgb="FFFFB628"/>
      </dataBar>
      <extLst>
        <ext xmlns:x14="http://schemas.microsoft.com/office/spreadsheetml/2009/9/main" uri="{B025F937-C7B1-47D3-B67F-A62EFF666E3E}">
          <x14:id>{94DC9D44-5076-A647-8E36-0465FD519895}</x14:id>
        </ext>
      </extLst>
    </cfRule>
  </conditionalFormatting>
  <conditionalFormatting sqref="E77:I77">
    <cfRule type="dataBar" priority="10">
      <dataBar>
        <cfvo type="min"/>
        <cfvo type="max"/>
        <color rgb="FFFFB628"/>
      </dataBar>
      <extLst>
        <ext xmlns:x14="http://schemas.microsoft.com/office/spreadsheetml/2009/9/main" uri="{B025F937-C7B1-47D3-B67F-A62EFF666E3E}">
          <x14:id>{C6533867-CA1F-5C4F-ADAE-4F1AE7274B02}</x14:id>
        </ext>
      </extLst>
    </cfRule>
  </conditionalFormatting>
  <conditionalFormatting sqref="E74:I74">
    <cfRule type="dataBar" priority="9">
      <dataBar>
        <cfvo type="min"/>
        <cfvo type="max"/>
        <color rgb="FFFFB628"/>
      </dataBar>
      <extLst>
        <ext xmlns:x14="http://schemas.microsoft.com/office/spreadsheetml/2009/9/main" uri="{B025F937-C7B1-47D3-B67F-A62EFF666E3E}">
          <x14:id>{3365D7A3-8497-6B44-9591-2ACB50DFC6FC}</x14:id>
        </ext>
      </extLst>
    </cfRule>
  </conditionalFormatting>
  <conditionalFormatting sqref="E72:I72">
    <cfRule type="dataBar" priority="8">
      <dataBar>
        <cfvo type="min"/>
        <cfvo type="max"/>
        <color rgb="FFFFB628"/>
      </dataBar>
      <extLst>
        <ext xmlns:x14="http://schemas.microsoft.com/office/spreadsheetml/2009/9/main" uri="{B025F937-C7B1-47D3-B67F-A62EFF666E3E}">
          <x14:id>{1BD276C6-2B23-C14B-8DE4-28E06AB31273}</x14:id>
        </ext>
      </extLst>
    </cfRule>
  </conditionalFormatting>
  <conditionalFormatting sqref="E82:I82">
    <cfRule type="dataBar" priority="7">
      <dataBar>
        <cfvo type="min"/>
        <cfvo type="max"/>
        <color rgb="FFFFB628"/>
      </dataBar>
      <extLst>
        <ext xmlns:x14="http://schemas.microsoft.com/office/spreadsheetml/2009/9/main" uri="{B025F937-C7B1-47D3-B67F-A62EFF666E3E}">
          <x14:id>{A00F47EE-A1D2-E345-B0D6-280A8A525F4E}</x14:id>
        </ext>
      </extLst>
    </cfRule>
  </conditionalFormatting>
  <conditionalFormatting sqref="E27:I31">
    <cfRule type="dataBar" priority="5">
      <dataBar>
        <cfvo type="min"/>
        <cfvo type="max"/>
        <color rgb="FFFFB628"/>
      </dataBar>
      <extLst>
        <ext xmlns:x14="http://schemas.microsoft.com/office/spreadsheetml/2009/9/main" uri="{B025F937-C7B1-47D3-B67F-A62EFF666E3E}">
          <x14:id>{3EC7AC2C-CBEC-9E4B-8A8C-77E42A6C01EE}</x14:id>
        </ext>
      </extLst>
    </cfRule>
  </conditionalFormatting>
  <conditionalFormatting sqref="J27:J31">
    <cfRule type="dataBar" priority="6">
      <dataBar>
        <cfvo type="min"/>
        <cfvo type="max"/>
        <color rgb="FF3FCDFF"/>
      </dataBar>
      <extLst>
        <ext xmlns:x14="http://schemas.microsoft.com/office/spreadsheetml/2009/9/main" uri="{B025F937-C7B1-47D3-B67F-A62EFF666E3E}">
          <x14:id>{33913A8A-9D8C-A048-920F-6C12C3032AF1}</x14:id>
        </ext>
      </extLst>
    </cfRule>
  </conditionalFormatting>
  <conditionalFormatting sqref="E32:I32">
    <cfRule type="dataBar" priority="3">
      <dataBar>
        <cfvo type="min"/>
        <cfvo type="max"/>
        <color rgb="FFFFB628"/>
      </dataBar>
      <extLst>
        <ext xmlns:x14="http://schemas.microsoft.com/office/spreadsheetml/2009/9/main" uri="{B025F937-C7B1-47D3-B67F-A62EFF666E3E}">
          <x14:id>{377E10D0-19FA-0D4F-B472-57CD97E17C93}</x14:id>
        </ext>
      </extLst>
    </cfRule>
  </conditionalFormatting>
  <conditionalFormatting sqref="J32">
    <cfRule type="dataBar" priority="4">
      <dataBar>
        <cfvo type="min"/>
        <cfvo type="max"/>
        <color rgb="FF3FCDFF"/>
      </dataBar>
      <extLst>
        <ext xmlns:x14="http://schemas.microsoft.com/office/spreadsheetml/2009/9/main" uri="{B025F937-C7B1-47D3-B67F-A62EFF666E3E}">
          <x14:id>{19B20781-7C29-9145-B0BC-D0EF260BEA29}</x14:id>
        </ext>
      </extLst>
    </cfRule>
  </conditionalFormatting>
  <conditionalFormatting sqref="E34:I34">
    <cfRule type="dataBar" priority="1">
      <dataBar>
        <cfvo type="min"/>
        <cfvo type="max"/>
        <color rgb="FFFFB628"/>
      </dataBar>
      <extLst>
        <ext xmlns:x14="http://schemas.microsoft.com/office/spreadsheetml/2009/9/main" uri="{B025F937-C7B1-47D3-B67F-A62EFF666E3E}">
          <x14:id>{F255B2C8-6E7D-BF45-B515-B83C0D241941}</x14:id>
        </ext>
      </extLst>
    </cfRule>
  </conditionalFormatting>
  <conditionalFormatting sqref="J34">
    <cfRule type="dataBar" priority="2">
      <dataBar>
        <cfvo type="min"/>
        <cfvo type="max"/>
        <color rgb="FF3FCDFF"/>
      </dataBar>
      <extLst>
        <ext xmlns:x14="http://schemas.microsoft.com/office/spreadsheetml/2009/9/main" uri="{B025F937-C7B1-47D3-B67F-A62EFF666E3E}">
          <x14:id>{76D3B63C-50FD-2F4A-B663-14D7C7735D12}</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D3682BDD-5A44-0748-B468-2912ADD1C816}">
            <x14:dataBar minLength="0" maxLength="100" gradient="0">
              <x14:cfvo type="autoMin"/>
              <x14:cfvo type="autoMax"/>
              <x14:negativeFillColor rgb="FFFF0000"/>
              <x14:axisColor rgb="FF000000"/>
            </x14:dataBar>
          </x14:cfRule>
          <xm:sqref>E52:I61 E2:I21 E37:I46 E25:I26</xm:sqref>
        </x14:conditionalFormatting>
        <x14:conditionalFormatting xmlns:xm="http://schemas.microsoft.com/office/excel/2006/main">
          <x14:cfRule type="dataBar" id="{73C56964-DD49-DD4A-AE70-86A37947FF59}">
            <x14:dataBar minLength="0" maxLength="100" gradient="0">
              <x14:cfvo type="autoMin"/>
              <x14:cfvo type="autoMax"/>
              <x14:negativeFillColor rgb="FFFF0000"/>
              <x14:axisColor rgb="FF000000"/>
            </x14:dataBar>
          </x14:cfRule>
          <xm:sqref>J2:J26 J33 J35:J86</xm:sqref>
        </x14:conditionalFormatting>
        <x14:conditionalFormatting xmlns:xm="http://schemas.microsoft.com/office/excel/2006/main">
          <x14:cfRule type="dataBar" id="{5B684C6A-68D2-3F41-A06C-72A6FD906F14}">
            <x14:dataBar minLength="0" maxLength="100" gradient="0">
              <x14:cfvo type="autoMin"/>
              <x14:cfvo type="autoMax"/>
              <x14:negativeFillColor rgb="FFFF0000"/>
              <x14:axisColor rgb="FF000000"/>
            </x14:dataBar>
          </x14:cfRule>
          <xm:sqref>E47:I51</xm:sqref>
        </x14:conditionalFormatting>
        <x14:conditionalFormatting xmlns:xm="http://schemas.microsoft.com/office/excel/2006/main">
          <x14:cfRule type="dataBar" id="{D35A222A-9581-DD41-B7A9-3F4733FC708C}">
            <x14:dataBar minLength="0" maxLength="100" gradient="0">
              <x14:cfvo type="autoMin"/>
              <x14:cfvo type="autoMax"/>
              <x14:negativeFillColor rgb="FFFF0000"/>
              <x14:axisColor rgb="FF000000"/>
            </x14:dataBar>
          </x14:cfRule>
          <xm:sqref>E22:I22</xm:sqref>
        </x14:conditionalFormatting>
        <x14:conditionalFormatting xmlns:xm="http://schemas.microsoft.com/office/excel/2006/main">
          <x14:cfRule type="dataBar" id="{952DC490-7689-A948-A45C-34A07FF74A71}">
            <x14:dataBar minLength="0" maxLength="100" gradient="0">
              <x14:cfvo type="autoMin"/>
              <x14:cfvo type="autoMax"/>
              <x14:negativeFillColor rgb="FFFF0000"/>
              <x14:axisColor rgb="FF000000"/>
            </x14:dataBar>
          </x14:cfRule>
          <xm:sqref>E24:I24</xm:sqref>
        </x14:conditionalFormatting>
        <x14:conditionalFormatting xmlns:xm="http://schemas.microsoft.com/office/excel/2006/main">
          <x14:cfRule type="dataBar" id="{ED17CC04-BFC2-8D4C-9DEE-D53F95FAB806}">
            <x14:dataBar minLength="0" maxLength="100" gradient="0">
              <x14:cfvo type="autoMin"/>
              <x14:cfvo type="autoMax"/>
              <x14:negativeFillColor rgb="FFFF0000"/>
              <x14:axisColor rgb="FF000000"/>
            </x14:dataBar>
          </x14:cfRule>
          <xm:sqref>E23:I23</xm:sqref>
        </x14:conditionalFormatting>
        <x14:conditionalFormatting xmlns:xm="http://schemas.microsoft.com/office/excel/2006/main">
          <x14:cfRule type="dataBar" id="{23B81290-602F-2742-AAA1-4009A4535815}">
            <x14:dataBar minLength="0" maxLength="100" gradient="0">
              <x14:cfvo type="autoMin"/>
              <x14:cfvo type="autoMax"/>
              <x14:negativeFillColor rgb="FFFF0000"/>
              <x14:axisColor rgb="FF000000"/>
            </x14:dataBar>
          </x14:cfRule>
          <xm:sqref>E78:I78 E80:I81</xm:sqref>
        </x14:conditionalFormatting>
        <x14:conditionalFormatting xmlns:xm="http://schemas.microsoft.com/office/excel/2006/main">
          <x14:cfRule type="dataBar" id="{D406B483-F7BB-F94B-A598-0C7B2B597662}">
            <x14:dataBar minLength="0" maxLength="100" gradient="0">
              <x14:cfvo type="autoMin"/>
              <x14:cfvo type="autoMax"/>
              <x14:negativeFillColor rgb="FFFF0000"/>
              <x14:axisColor rgb="FF000000"/>
            </x14:dataBar>
          </x14:cfRule>
          <xm:sqref>E83:I83 E85:I86</xm:sqref>
        </x14:conditionalFormatting>
        <x14:conditionalFormatting xmlns:xm="http://schemas.microsoft.com/office/excel/2006/main">
          <x14:cfRule type="dataBar" id="{5D512922-7FD2-8247-8826-A6CE5BD1569B}">
            <x14:dataBar minLength="0" maxLength="100" gradient="0">
              <x14:cfvo type="autoMin"/>
              <x14:cfvo type="autoMax"/>
              <x14:negativeFillColor rgb="FFFF0000"/>
              <x14:axisColor rgb="FF000000"/>
            </x14:dataBar>
          </x14:cfRule>
          <xm:sqref>E73:I73 E75:I76</xm:sqref>
        </x14:conditionalFormatting>
        <x14:conditionalFormatting xmlns:xm="http://schemas.microsoft.com/office/excel/2006/main">
          <x14:cfRule type="dataBar" id="{1B927201-CF37-0F46-A6C4-BA8B3D4165AB}">
            <x14:dataBar minLength="0" maxLength="100" gradient="0">
              <x14:cfvo type="autoMin"/>
              <x14:cfvo type="autoMax"/>
              <x14:negativeFillColor rgb="FFFF0000"/>
              <x14:axisColor rgb="FF000000"/>
            </x14:dataBar>
          </x14:cfRule>
          <xm:sqref>E67:I71</xm:sqref>
        </x14:conditionalFormatting>
        <x14:conditionalFormatting xmlns:xm="http://schemas.microsoft.com/office/excel/2006/main">
          <x14:cfRule type="dataBar" id="{079E01BC-1FAC-5249-87EB-4A3289DB14C3}">
            <x14:dataBar minLength="0" maxLength="100" gradient="0">
              <x14:cfvo type="autoMin"/>
              <x14:cfvo type="autoMax"/>
              <x14:negativeFillColor rgb="FFFF0000"/>
              <x14:axisColor rgb="FF000000"/>
            </x14:dataBar>
          </x14:cfRule>
          <xm:sqref>E62:I66</xm:sqref>
        </x14:conditionalFormatting>
        <x14:conditionalFormatting xmlns:xm="http://schemas.microsoft.com/office/excel/2006/main">
          <x14:cfRule type="dataBar" id="{C4EED3D4-1E62-DE49-8DE0-69201CB63090}">
            <x14:dataBar minLength="0" maxLength="100" gradient="0">
              <x14:cfvo type="autoMin"/>
              <x14:cfvo type="autoMax"/>
              <x14:negativeFillColor rgb="FFFF0000"/>
              <x14:axisColor rgb="FF000000"/>
            </x14:dataBar>
          </x14:cfRule>
          <xm:sqref>E33:I33 E35:I36</xm:sqref>
        </x14:conditionalFormatting>
        <x14:conditionalFormatting xmlns:xm="http://schemas.microsoft.com/office/excel/2006/main">
          <x14:cfRule type="dataBar" id="{3A07DA69-055C-5C42-8D3B-00542A38E783}">
            <x14:dataBar minLength="0" maxLength="100" gradient="0">
              <x14:cfvo type="autoMin"/>
              <x14:cfvo type="autoMax"/>
              <x14:negativeFillColor rgb="FFFF0000"/>
              <x14:axisColor rgb="FF000000"/>
            </x14:dataBar>
          </x14:cfRule>
          <xm:sqref>E84:I84</xm:sqref>
        </x14:conditionalFormatting>
        <x14:conditionalFormatting xmlns:xm="http://schemas.microsoft.com/office/excel/2006/main">
          <x14:cfRule type="dataBar" id="{94DC9D44-5076-A647-8E36-0465FD519895}">
            <x14:dataBar minLength="0" maxLength="100" gradient="0">
              <x14:cfvo type="autoMin"/>
              <x14:cfvo type="autoMax"/>
              <x14:negativeFillColor rgb="FFFF0000"/>
              <x14:axisColor rgb="FF000000"/>
            </x14:dataBar>
          </x14:cfRule>
          <xm:sqref>E79:I79</xm:sqref>
        </x14:conditionalFormatting>
        <x14:conditionalFormatting xmlns:xm="http://schemas.microsoft.com/office/excel/2006/main">
          <x14:cfRule type="dataBar" id="{C6533867-CA1F-5C4F-ADAE-4F1AE7274B02}">
            <x14:dataBar minLength="0" maxLength="100" gradient="0">
              <x14:cfvo type="autoMin"/>
              <x14:cfvo type="autoMax"/>
              <x14:negativeFillColor rgb="FFFF0000"/>
              <x14:axisColor rgb="FF000000"/>
            </x14:dataBar>
          </x14:cfRule>
          <xm:sqref>E77:I77</xm:sqref>
        </x14:conditionalFormatting>
        <x14:conditionalFormatting xmlns:xm="http://schemas.microsoft.com/office/excel/2006/main">
          <x14:cfRule type="dataBar" id="{3365D7A3-8497-6B44-9591-2ACB50DFC6FC}">
            <x14:dataBar minLength="0" maxLength="100" gradient="0">
              <x14:cfvo type="autoMin"/>
              <x14:cfvo type="autoMax"/>
              <x14:negativeFillColor rgb="FFFF0000"/>
              <x14:axisColor rgb="FF000000"/>
            </x14:dataBar>
          </x14:cfRule>
          <xm:sqref>E74:I74</xm:sqref>
        </x14:conditionalFormatting>
        <x14:conditionalFormatting xmlns:xm="http://schemas.microsoft.com/office/excel/2006/main">
          <x14:cfRule type="dataBar" id="{1BD276C6-2B23-C14B-8DE4-28E06AB31273}">
            <x14:dataBar minLength="0" maxLength="100" gradient="0">
              <x14:cfvo type="autoMin"/>
              <x14:cfvo type="autoMax"/>
              <x14:negativeFillColor rgb="FFFF0000"/>
              <x14:axisColor rgb="FF000000"/>
            </x14:dataBar>
          </x14:cfRule>
          <xm:sqref>E72:I72</xm:sqref>
        </x14:conditionalFormatting>
        <x14:conditionalFormatting xmlns:xm="http://schemas.microsoft.com/office/excel/2006/main">
          <x14:cfRule type="dataBar" id="{A00F47EE-A1D2-E345-B0D6-280A8A525F4E}">
            <x14:dataBar minLength="0" maxLength="100" gradient="0">
              <x14:cfvo type="autoMin"/>
              <x14:cfvo type="autoMax"/>
              <x14:negativeFillColor rgb="FFFF0000"/>
              <x14:axisColor rgb="FF000000"/>
            </x14:dataBar>
          </x14:cfRule>
          <xm:sqref>E82:I82</xm:sqref>
        </x14:conditionalFormatting>
        <x14:conditionalFormatting xmlns:xm="http://schemas.microsoft.com/office/excel/2006/main">
          <x14:cfRule type="dataBar" id="{3EC7AC2C-CBEC-9E4B-8A8C-77E42A6C01EE}">
            <x14:dataBar minLength="0" maxLength="100" gradient="0">
              <x14:cfvo type="autoMin"/>
              <x14:cfvo type="autoMax"/>
              <x14:negativeFillColor rgb="FFFF0000"/>
              <x14:axisColor rgb="FF000000"/>
            </x14:dataBar>
          </x14:cfRule>
          <xm:sqref>E27:I31</xm:sqref>
        </x14:conditionalFormatting>
        <x14:conditionalFormatting xmlns:xm="http://schemas.microsoft.com/office/excel/2006/main">
          <x14:cfRule type="dataBar" id="{33913A8A-9D8C-A048-920F-6C12C3032AF1}">
            <x14:dataBar minLength="0" maxLength="100" gradient="0">
              <x14:cfvo type="autoMin"/>
              <x14:cfvo type="autoMax"/>
              <x14:negativeFillColor rgb="FFFF0000"/>
              <x14:axisColor rgb="FF000000"/>
            </x14:dataBar>
          </x14:cfRule>
          <xm:sqref>J27:J31</xm:sqref>
        </x14:conditionalFormatting>
        <x14:conditionalFormatting xmlns:xm="http://schemas.microsoft.com/office/excel/2006/main">
          <x14:cfRule type="dataBar" id="{377E10D0-19FA-0D4F-B472-57CD97E17C93}">
            <x14:dataBar minLength="0" maxLength="100" gradient="0">
              <x14:cfvo type="autoMin"/>
              <x14:cfvo type="autoMax"/>
              <x14:negativeFillColor rgb="FFFF0000"/>
              <x14:axisColor rgb="FF000000"/>
            </x14:dataBar>
          </x14:cfRule>
          <xm:sqref>E32:I32</xm:sqref>
        </x14:conditionalFormatting>
        <x14:conditionalFormatting xmlns:xm="http://schemas.microsoft.com/office/excel/2006/main">
          <x14:cfRule type="dataBar" id="{19B20781-7C29-9145-B0BC-D0EF260BEA29}">
            <x14:dataBar minLength="0" maxLength="100" gradient="0">
              <x14:cfvo type="autoMin"/>
              <x14:cfvo type="autoMax"/>
              <x14:negativeFillColor rgb="FFFF0000"/>
              <x14:axisColor rgb="FF000000"/>
            </x14:dataBar>
          </x14:cfRule>
          <xm:sqref>J32</xm:sqref>
        </x14:conditionalFormatting>
        <x14:conditionalFormatting xmlns:xm="http://schemas.microsoft.com/office/excel/2006/main">
          <x14:cfRule type="dataBar" id="{F255B2C8-6E7D-BF45-B515-B83C0D241941}">
            <x14:dataBar minLength="0" maxLength="100" gradient="0">
              <x14:cfvo type="autoMin"/>
              <x14:cfvo type="autoMax"/>
              <x14:negativeFillColor rgb="FFFF0000"/>
              <x14:axisColor rgb="FF000000"/>
            </x14:dataBar>
          </x14:cfRule>
          <xm:sqref>E34:I34</xm:sqref>
        </x14:conditionalFormatting>
        <x14:conditionalFormatting xmlns:xm="http://schemas.microsoft.com/office/excel/2006/main">
          <x14:cfRule type="dataBar" id="{76D3B63C-50FD-2F4A-B663-14D7C7735D12}">
            <x14:dataBar minLength="0" maxLength="100" gradient="0">
              <x14:cfvo type="autoMin"/>
              <x14:cfvo type="autoMax"/>
              <x14:negativeFillColor rgb="FFFF0000"/>
              <x14:axisColor rgb="FF000000"/>
            </x14:dataBar>
          </x14:cfRule>
          <xm:sqref>J34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4C534-0A7A-6642-94F0-850B385ED0B4}">
  <sheetPr>
    <tabColor rgb="FFFFC000"/>
  </sheetPr>
  <dimension ref="A1:P470"/>
  <sheetViews>
    <sheetView zoomScale="75" zoomScaleNormal="70" workbookViewId="0">
      <pane xSplit="2" ySplit="1" topLeftCell="C2" activePane="bottomRight" state="frozen"/>
      <selection pane="topRight" activeCell="C1" sqref="C1"/>
      <selection pane="bottomLeft" activeCell="A3" sqref="A3"/>
      <selection pane="bottomRight" activeCell="F434" sqref="F434"/>
    </sheetView>
  </sheetViews>
  <sheetFormatPr baseColWidth="10" defaultColWidth="9.1640625" defaultRowHeight="15" x14ac:dyDescent="0.2"/>
  <cols>
    <col min="1" max="1" width="12.5" style="378" customWidth="1"/>
    <col min="2" max="2" width="17.5" style="378" customWidth="1"/>
    <col min="3" max="3" width="7.33203125" style="64" customWidth="1"/>
    <col min="4" max="4" width="4.5" style="309" customWidth="1"/>
    <col min="5" max="5" width="7.5" style="535" customWidth="1"/>
    <col min="6" max="6" width="45.33203125" style="77" customWidth="1"/>
    <col min="7" max="7" width="3" style="94" customWidth="1"/>
    <col min="8" max="8" width="6.33203125" style="64" customWidth="1"/>
    <col min="9" max="9" width="6.5" style="309" customWidth="1"/>
    <col min="10" max="12" width="6.33203125" style="309" customWidth="1"/>
    <col min="13" max="13" width="6.33203125" style="66" customWidth="1"/>
    <col min="14" max="14" width="12.33203125" style="64" customWidth="1"/>
    <col min="15" max="15" width="11.1640625" style="66" customWidth="1"/>
    <col min="16" max="16" width="45" style="343" bestFit="1" customWidth="1"/>
    <col min="17" max="16384" width="9.1640625" style="486"/>
  </cols>
  <sheetData>
    <row r="1" spans="1:16" s="530" customFormat="1" ht="33" thickBot="1" x14ac:dyDescent="0.25">
      <c r="A1" s="89" t="s">
        <v>0</v>
      </c>
      <c r="B1" s="90" t="s">
        <v>1</v>
      </c>
      <c r="C1" s="522" t="s">
        <v>58</v>
      </c>
      <c r="D1" s="523" t="s">
        <v>849</v>
      </c>
      <c r="E1" s="524" t="s">
        <v>66</v>
      </c>
      <c r="F1" s="525" t="s">
        <v>57</v>
      </c>
      <c r="G1" s="526" t="s">
        <v>78</v>
      </c>
      <c r="H1" s="527" t="s">
        <v>850</v>
      </c>
      <c r="I1" s="91" t="s">
        <v>851</v>
      </c>
      <c r="J1" s="91" t="s">
        <v>60</v>
      </c>
      <c r="K1" s="91" t="s">
        <v>61</v>
      </c>
      <c r="L1" s="91" t="s">
        <v>62</v>
      </c>
      <c r="M1" s="92" t="s">
        <v>63</v>
      </c>
      <c r="N1" s="528" t="s">
        <v>852</v>
      </c>
      <c r="O1" s="93" t="s">
        <v>853</v>
      </c>
      <c r="P1" s="529" t="s">
        <v>68</v>
      </c>
    </row>
    <row r="2" spans="1:16" x14ac:dyDescent="0.2">
      <c r="A2" s="88" t="s">
        <v>104</v>
      </c>
      <c r="B2" s="531" t="s">
        <v>3</v>
      </c>
      <c r="C2" s="42" t="s">
        <v>65</v>
      </c>
      <c r="D2" s="532" t="s">
        <v>65</v>
      </c>
      <c r="E2" s="312" t="s">
        <v>854</v>
      </c>
      <c r="H2" s="533"/>
      <c r="I2" s="305"/>
      <c r="J2" s="305"/>
      <c r="K2" s="305"/>
      <c r="L2" s="305"/>
      <c r="M2" s="85"/>
      <c r="N2" s="534" t="str">
        <f>IF( OR( ISBLANK(H2),ISBLANK(J2), ISBLANK(K2), ISBLANK(L2), ISBLANK(M2) ), "", 1.5*SQRT(   EXP(2.21*(H2-1)) + EXP(2.21*(J2-1)) + EXP(2.21*(K2-1)) + EXP(2.21*(L2-1)) + EXP(2.21*M2)   )/100*2.45 )</f>
        <v/>
      </c>
      <c r="O2" s="60" t="str">
        <f>IF( OR( ISBLANK(I2),ISBLANK(J2), ISBLANK(K2), ISBLANK(L2), ISBLANK(M2) ), "", 1.5*SQRT(   EXP(2.21*(I2-1)) + EXP(2.21*(J2-1)) + EXP(2.21*(K2-1)) + EXP(2.21*(L2-1)) + EXP(2.21*M2)   )/100*2.45 )</f>
        <v/>
      </c>
    </row>
    <row r="3" spans="1:16" x14ac:dyDescent="0.2">
      <c r="A3" s="88" t="s">
        <v>104</v>
      </c>
      <c r="B3" s="531" t="s">
        <v>855</v>
      </c>
      <c r="C3" s="42" t="s">
        <v>65</v>
      </c>
      <c r="D3" s="532" t="s">
        <v>65</v>
      </c>
      <c r="E3" s="535">
        <f>E5</f>
        <v>5.9113300492610842E-3</v>
      </c>
      <c r="F3" s="77" t="s">
        <v>102</v>
      </c>
      <c r="G3" s="94" t="s">
        <v>78</v>
      </c>
      <c r="H3" s="64">
        <v>2</v>
      </c>
      <c r="I3" s="309">
        <v>2</v>
      </c>
      <c r="J3" s="309">
        <v>2</v>
      </c>
      <c r="K3" s="309">
        <v>3</v>
      </c>
      <c r="L3" s="309">
        <v>2</v>
      </c>
      <c r="M3" s="66">
        <v>2</v>
      </c>
      <c r="N3" s="536">
        <f t="shared" ref="N3:N66" si="0">IF( OR( ISBLANK(H3),ISBLANK(J3), ISBLANK(K3), ISBLANK(L3), ISBLANK(M3) ), "", 1.5*SQRT(   EXP(2.21*(H3-1)) + EXP(2.21*(J3-1)) + EXP(2.21*(K3-1)) + EXP(2.21*(L3-1)) + EXP(2.21*M3)   )/100*2.45 )</f>
        <v>0.51126068492676302</v>
      </c>
      <c r="O3" s="34">
        <f t="shared" ref="O3:O66" si="1">IF( OR( ISBLANK(I3),ISBLANK(J3), ISBLANK(K3), ISBLANK(L3), ISBLANK(M3) ), "", 1.5*SQRT(   EXP(2.21*(I3-1)) + EXP(2.21*(J3-1)) + EXP(2.21*(K3-1)) + EXP(2.21*(L3-1)) + EXP(2.21*M3)   )/100*2.45 )</f>
        <v>0.51126068492676302</v>
      </c>
    </row>
    <row r="4" spans="1:16" s="497" customFormat="1" x14ac:dyDescent="0.2">
      <c r="A4" s="132" t="s">
        <v>2</v>
      </c>
      <c r="B4" s="537" t="s">
        <v>3</v>
      </c>
      <c r="C4" s="38" t="s">
        <v>65</v>
      </c>
      <c r="D4" s="538" t="s">
        <v>65</v>
      </c>
      <c r="E4" s="539" t="s">
        <v>854</v>
      </c>
      <c r="F4" s="79"/>
      <c r="G4" s="95" t="s">
        <v>78</v>
      </c>
      <c r="H4" s="540"/>
      <c r="I4" s="61"/>
      <c r="J4" s="61"/>
      <c r="K4" s="61"/>
      <c r="L4" s="61"/>
      <c r="M4" s="30"/>
      <c r="N4" s="534" t="str">
        <f t="shared" si="0"/>
        <v/>
      </c>
      <c r="O4" s="60" t="str">
        <f t="shared" si="1"/>
        <v/>
      </c>
      <c r="P4" s="82"/>
    </row>
    <row r="5" spans="1:16" s="505" customFormat="1" x14ac:dyDescent="0.2">
      <c r="A5" s="461" t="s">
        <v>2</v>
      </c>
      <c r="B5" s="541" t="s">
        <v>855</v>
      </c>
      <c r="C5" s="86" t="s">
        <v>65</v>
      </c>
      <c r="D5" s="542" t="s">
        <v>65</v>
      </c>
      <c r="E5" s="313">
        <f>60/10150</f>
        <v>5.9113300492610842E-3</v>
      </c>
      <c r="F5" s="78" t="s">
        <v>102</v>
      </c>
      <c r="G5" s="96" t="s">
        <v>78</v>
      </c>
      <c r="H5" s="69">
        <v>2</v>
      </c>
      <c r="I5" s="70">
        <v>2</v>
      </c>
      <c r="J5" s="70">
        <v>2</v>
      </c>
      <c r="K5" s="70">
        <v>3</v>
      </c>
      <c r="L5" s="70">
        <v>1</v>
      </c>
      <c r="M5" s="84">
        <v>2</v>
      </c>
      <c r="N5" s="536">
        <f t="shared" si="0"/>
        <v>0.50042652380814845</v>
      </c>
      <c r="O5" s="34">
        <f t="shared" si="1"/>
        <v>0.50042652380814845</v>
      </c>
      <c r="P5" s="81"/>
    </row>
    <row r="6" spans="1:16" x14ac:dyDescent="0.2">
      <c r="A6" s="371" t="s">
        <v>3</v>
      </c>
      <c r="B6" s="371" t="s">
        <v>4</v>
      </c>
      <c r="C6" s="543" t="s">
        <v>809</v>
      </c>
      <c r="D6" s="532" t="s">
        <v>65</v>
      </c>
      <c r="E6" s="535">
        <v>8.9999999999999993E-3</v>
      </c>
      <c r="F6" s="79" t="s">
        <v>815</v>
      </c>
      <c r="G6" s="94" t="s">
        <v>78</v>
      </c>
      <c r="H6" s="64">
        <v>2</v>
      </c>
      <c r="I6" s="309">
        <v>2</v>
      </c>
      <c r="J6" s="309">
        <v>2</v>
      </c>
      <c r="K6" s="309">
        <v>1</v>
      </c>
      <c r="L6" s="309">
        <v>1</v>
      </c>
      <c r="M6" s="66">
        <v>1</v>
      </c>
      <c r="N6" s="536">
        <f t="shared" si="0"/>
        <v>0.19908580854301616</v>
      </c>
      <c r="O6" s="34">
        <f t="shared" si="1"/>
        <v>0.19908580854301616</v>
      </c>
    </row>
    <row r="7" spans="1:16" x14ac:dyDescent="0.2">
      <c r="A7" s="371" t="s">
        <v>3</v>
      </c>
      <c r="B7" s="371" t="s">
        <v>4</v>
      </c>
      <c r="C7" s="544" t="s">
        <v>810</v>
      </c>
      <c r="D7" s="532" t="s">
        <v>65</v>
      </c>
      <c r="E7" s="305">
        <v>0</v>
      </c>
      <c r="G7" s="94" t="s">
        <v>78</v>
      </c>
      <c r="H7" s="533"/>
      <c r="I7" s="305"/>
      <c r="J7" s="305"/>
      <c r="K7" s="305"/>
      <c r="L7" s="305"/>
      <c r="M7" s="85"/>
      <c r="N7" s="534" t="str">
        <f t="shared" si="0"/>
        <v/>
      </c>
      <c r="O7" s="60" t="str">
        <f t="shared" si="1"/>
        <v/>
      </c>
    </row>
    <row r="8" spans="1:16" x14ac:dyDescent="0.2">
      <c r="A8" s="371" t="s">
        <v>3</v>
      </c>
      <c r="B8" s="371" t="s">
        <v>4</v>
      </c>
      <c r="C8" s="545" t="s">
        <v>811</v>
      </c>
      <c r="D8" s="532" t="s">
        <v>65</v>
      </c>
      <c r="E8" s="535">
        <v>0.62</v>
      </c>
      <c r="F8" s="77" t="s">
        <v>856</v>
      </c>
      <c r="G8" s="94" t="s">
        <v>78</v>
      </c>
      <c r="H8" s="64">
        <v>2</v>
      </c>
      <c r="I8" s="309">
        <v>2</v>
      </c>
      <c r="J8" s="309">
        <v>2</v>
      </c>
      <c r="K8" s="309">
        <v>1</v>
      </c>
      <c r="L8" s="309">
        <v>1</v>
      </c>
      <c r="M8" s="66">
        <v>1</v>
      </c>
      <c r="N8" s="536">
        <f t="shared" si="0"/>
        <v>0.19908580854301616</v>
      </c>
      <c r="O8" s="34">
        <f t="shared" si="1"/>
        <v>0.19908580854301616</v>
      </c>
      <c r="P8" s="343" t="s">
        <v>857</v>
      </c>
    </row>
    <row r="9" spans="1:16" x14ac:dyDescent="0.2">
      <c r="A9" s="371" t="s">
        <v>3</v>
      </c>
      <c r="B9" s="371" t="s">
        <v>4</v>
      </c>
      <c r="C9" s="546" t="s">
        <v>812</v>
      </c>
      <c r="D9" s="532" t="s">
        <v>65</v>
      </c>
      <c r="E9" s="305">
        <v>0</v>
      </c>
      <c r="G9" s="94" t="s">
        <v>78</v>
      </c>
      <c r="H9" s="533"/>
      <c r="I9" s="305"/>
      <c r="J9" s="305"/>
      <c r="K9" s="305"/>
      <c r="L9" s="305"/>
      <c r="M9" s="85"/>
      <c r="N9" s="534" t="str">
        <f t="shared" si="0"/>
        <v/>
      </c>
      <c r="O9" s="60" t="str">
        <f t="shared" si="1"/>
        <v/>
      </c>
    </row>
    <row r="10" spans="1:16" x14ac:dyDescent="0.2">
      <c r="A10" s="371" t="s">
        <v>3</v>
      </c>
      <c r="B10" s="371" t="s">
        <v>4</v>
      </c>
      <c r="C10" s="547" t="s">
        <v>813</v>
      </c>
      <c r="D10" s="532" t="s">
        <v>65</v>
      </c>
      <c r="E10" s="305">
        <v>0</v>
      </c>
      <c r="G10" s="94" t="s">
        <v>78</v>
      </c>
      <c r="H10" s="533"/>
      <c r="I10" s="305"/>
      <c r="J10" s="305"/>
      <c r="K10" s="305"/>
      <c r="L10" s="305"/>
      <c r="M10" s="85"/>
      <c r="N10" s="534" t="str">
        <f t="shared" si="0"/>
        <v/>
      </c>
      <c r="O10" s="60" t="str">
        <f t="shared" si="1"/>
        <v/>
      </c>
    </row>
    <row r="11" spans="1:16" s="505" customFormat="1" x14ac:dyDescent="0.2">
      <c r="A11" s="461" t="s">
        <v>3</v>
      </c>
      <c r="B11" s="35" t="s">
        <v>6</v>
      </c>
      <c r="C11" s="86" t="s">
        <v>65</v>
      </c>
      <c r="D11" s="542" t="s">
        <v>65</v>
      </c>
      <c r="E11" s="548" t="s">
        <v>854</v>
      </c>
      <c r="F11" s="78"/>
      <c r="G11" s="96" t="s">
        <v>78</v>
      </c>
      <c r="H11" s="549"/>
      <c r="I11" s="75"/>
      <c r="J11" s="75"/>
      <c r="K11" s="75"/>
      <c r="L11" s="75"/>
      <c r="M11" s="29"/>
      <c r="N11" s="534" t="str">
        <f t="shared" si="0"/>
        <v/>
      </c>
      <c r="O11" s="60" t="str">
        <f t="shared" si="1"/>
        <v/>
      </c>
      <c r="P11" s="81"/>
    </row>
    <row r="12" spans="1:16" x14ac:dyDescent="0.2">
      <c r="A12" s="88" t="s">
        <v>4</v>
      </c>
      <c r="B12" s="550" t="s">
        <v>5</v>
      </c>
      <c r="C12" s="42" t="s">
        <v>65</v>
      </c>
      <c r="D12" s="532" t="s">
        <v>65</v>
      </c>
      <c r="E12" s="312" t="s">
        <v>854</v>
      </c>
      <c r="G12" s="94" t="s">
        <v>78</v>
      </c>
      <c r="H12" s="533"/>
      <c r="I12" s="305"/>
      <c r="J12" s="305"/>
      <c r="K12" s="305"/>
      <c r="L12" s="305"/>
      <c r="M12" s="85"/>
      <c r="N12" s="534" t="str">
        <f t="shared" si="0"/>
        <v/>
      </c>
      <c r="O12" s="60" t="str">
        <f t="shared" si="1"/>
        <v/>
      </c>
    </row>
    <row r="13" spans="1:16" s="505" customFormat="1" x14ac:dyDescent="0.2">
      <c r="A13" s="461" t="s">
        <v>4</v>
      </c>
      <c r="B13" s="541" t="s">
        <v>855</v>
      </c>
      <c r="C13" s="86" t="s">
        <v>65</v>
      </c>
      <c r="D13" s="542" t="s">
        <v>65</v>
      </c>
      <c r="E13" s="313">
        <v>0.03</v>
      </c>
      <c r="F13" s="78" t="s">
        <v>81</v>
      </c>
      <c r="G13" s="96" t="s">
        <v>78</v>
      </c>
      <c r="H13" s="69">
        <v>2</v>
      </c>
      <c r="I13" s="70">
        <v>2</v>
      </c>
      <c r="J13" s="70">
        <v>2</v>
      </c>
      <c r="K13" s="70">
        <v>3</v>
      </c>
      <c r="L13" s="70">
        <v>3</v>
      </c>
      <c r="M13" s="84">
        <v>2</v>
      </c>
      <c r="N13" s="536">
        <f t="shared" si="0"/>
        <v>0.60108474454521421</v>
      </c>
      <c r="O13" s="34">
        <f t="shared" si="1"/>
        <v>0.60108474454521421</v>
      </c>
      <c r="P13" s="81"/>
    </row>
    <row r="14" spans="1:16" s="497" customFormat="1" x14ac:dyDescent="0.2">
      <c r="A14" s="36" t="s">
        <v>6</v>
      </c>
      <c r="B14" s="24" t="s">
        <v>7</v>
      </c>
      <c r="C14" s="543" t="s">
        <v>809</v>
      </c>
      <c r="D14" s="538" t="s">
        <v>858</v>
      </c>
      <c r="E14" s="551">
        <v>5.4041499821034554E-3</v>
      </c>
      <c r="F14" s="79" t="s">
        <v>859</v>
      </c>
      <c r="G14" s="95" t="s">
        <v>78</v>
      </c>
      <c r="H14" s="67">
        <v>1</v>
      </c>
      <c r="I14" s="61"/>
      <c r="J14" s="68">
        <v>1</v>
      </c>
      <c r="K14" s="68">
        <v>1</v>
      </c>
      <c r="L14" s="68">
        <v>1</v>
      </c>
      <c r="M14" s="83">
        <v>2</v>
      </c>
      <c r="N14" s="536">
        <f t="shared" si="0"/>
        <v>0.34297081055722239</v>
      </c>
      <c r="O14" s="60" t="str">
        <f t="shared" si="1"/>
        <v/>
      </c>
      <c r="P14" s="82" t="s">
        <v>860</v>
      </c>
    </row>
    <row r="15" spans="1:16" x14ac:dyDescent="0.2">
      <c r="A15" s="100" t="s">
        <v>6</v>
      </c>
      <c r="B15" s="374" t="s">
        <v>7</v>
      </c>
      <c r="C15" s="544" t="s">
        <v>810</v>
      </c>
      <c r="D15" s="532" t="s">
        <v>858</v>
      </c>
      <c r="E15" s="551">
        <v>8.4400045040455129E-3</v>
      </c>
      <c r="F15" s="77" t="s">
        <v>861</v>
      </c>
      <c r="G15" s="94" t="s">
        <v>78</v>
      </c>
      <c r="H15" s="64">
        <v>1</v>
      </c>
      <c r="I15" s="305"/>
      <c r="J15" s="309">
        <v>1</v>
      </c>
      <c r="K15" s="309">
        <v>1</v>
      </c>
      <c r="L15" s="309">
        <v>1</v>
      </c>
      <c r="M15" s="66">
        <v>2</v>
      </c>
      <c r="N15" s="536">
        <f t="shared" si="0"/>
        <v>0.34297081055722239</v>
      </c>
      <c r="O15" s="60" t="str">
        <f t="shared" si="1"/>
        <v/>
      </c>
      <c r="P15" s="343" t="s">
        <v>860</v>
      </c>
    </row>
    <row r="16" spans="1:16" x14ac:dyDescent="0.2">
      <c r="A16" s="100" t="s">
        <v>6</v>
      </c>
      <c r="B16" s="374" t="s">
        <v>7</v>
      </c>
      <c r="C16" s="545" t="s">
        <v>811</v>
      </c>
      <c r="D16" s="532" t="s">
        <v>858</v>
      </c>
      <c r="E16" s="551">
        <v>2.4638892379719217E-2</v>
      </c>
      <c r="F16" s="77" t="s">
        <v>862</v>
      </c>
      <c r="G16" s="94" t="s">
        <v>78</v>
      </c>
      <c r="H16" s="64">
        <v>1</v>
      </c>
      <c r="I16" s="305"/>
      <c r="J16" s="309">
        <v>2</v>
      </c>
      <c r="K16" s="309">
        <v>1</v>
      </c>
      <c r="L16" s="309">
        <v>1</v>
      </c>
      <c r="M16" s="66">
        <v>2</v>
      </c>
      <c r="N16" s="536">
        <f t="shared" si="0"/>
        <v>0.35859414261160716</v>
      </c>
      <c r="O16" s="60" t="str">
        <f t="shared" si="1"/>
        <v/>
      </c>
      <c r="P16" s="343" t="s">
        <v>860</v>
      </c>
    </row>
    <row r="17" spans="1:16" x14ac:dyDescent="0.2">
      <c r="A17" s="100" t="s">
        <v>6</v>
      </c>
      <c r="B17" s="374" t="s">
        <v>7</v>
      </c>
      <c r="C17" s="546" t="s">
        <v>812</v>
      </c>
      <c r="D17" s="532" t="s">
        <v>858</v>
      </c>
      <c r="E17" s="551">
        <v>1.0800626888939091E-3</v>
      </c>
      <c r="F17" s="77" t="s">
        <v>861</v>
      </c>
      <c r="G17" s="94" t="s">
        <v>78</v>
      </c>
      <c r="H17" s="64">
        <v>1</v>
      </c>
      <c r="I17" s="305"/>
      <c r="J17" s="309">
        <v>1</v>
      </c>
      <c r="K17" s="309">
        <v>1</v>
      </c>
      <c r="L17" s="309">
        <v>1</v>
      </c>
      <c r="M17" s="66">
        <v>2</v>
      </c>
      <c r="N17" s="552">
        <f t="shared" si="0"/>
        <v>0.34297081055722239</v>
      </c>
      <c r="O17" s="60" t="str">
        <f t="shared" si="1"/>
        <v/>
      </c>
      <c r="P17" s="343" t="s">
        <v>860</v>
      </c>
    </row>
    <row r="18" spans="1:16" x14ac:dyDescent="0.2">
      <c r="A18" s="100" t="s">
        <v>6</v>
      </c>
      <c r="B18" s="374" t="s">
        <v>7</v>
      </c>
      <c r="C18" s="547" t="s">
        <v>813</v>
      </c>
      <c r="D18" s="532" t="s">
        <v>858</v>
      </c>
      <c r="E18" s="551">
        <v>0</v>
      </c>
      <c r="G18" s="94" t="s">
        <v>78</v>
      </c>
      <c r="I18" s="305"/>
      <c r="N18" s="534" t="str">
        <f t="shared" si="0"/>
        <v/>
      </c>
      <c r="O18" s="60" t="str">
        <f t="shared" si="1"/>
        <v/>
      </c>
    </row>
    <row r="19" spans="1:16" x14ac:dyDescent="0.2">
      <c r="A19" s="373" t="s">
        <v>6</v>
      </c>
      <c r="B19" s="374" t="s">
        <v>8</v>
      </c>
      <c r="C19" s="543" t="s">
        <v>809</v>
      </c>
      <c r="D19" s="532" t="s">
        <v>858</v>
      </c>
      <c r="E19" s="551">
        <v>0.19819582670857522</v>
      </c>
      <c r="F19" s="79" t="s">
        <v>859</v>
      </c>
      <c r="G19" s="94" t="s">
        <v>78</v>
      </c>
      <c r="H19" s="64">
        <v>1</v>
      </c>
      <c r="I19" s="305"/>
      <c r="J19" s="309">
        <v>1</v>
      </c>
      <c r="K19" s="309">
        <v>1</v>
      </c>
      <c r="L19" s="309">
        <v>1</v>
      </c>
      <c r="M19" s="66">
        <v>2</v>
      </c>
      <c r="N19" s="536">
        <f t="shared" si="0"/>
        <v>0.34297081055722239</v>
      </c>
      <c r="O19" s="60" t="str">
        <f t="shared" si="1"/>
        <v/>
      </c>
      <c r="P19" s="343" t="s">
        <v>860</v>
      </c>
    </row>
    <row r="20" spans="1:16" x14ac:dyDescent="0.2">
      <c r="A20" s="373" t="s">
        <v>6</v>
      </c>
      <c r="B20" s="374" t="s">
        <v>8</v>
      </c>
      <c r="C20" s="544" t="s">
        <v>810</v>
      </c>
      <c r="D20" s="532" t="s">
        <v>858</v>
      </c>
      <c r="E20" s="551">
        <v>4.430659213013069E-3</v>
      </c>
      <c r="F20" s="77" t="s">
        <v>861</v>
      </c>
      <c r="G20" s="94" t="s">
        <v>78</v>
      </c>
      <c r="H20" s="64">
        <v>1</v>
      </c>
      <c r="I20" s="305"/>
      <c r="J20" s="309">
        <v>1</v>
      </c>
      <c r="K20" s="309">
        <v>1</v>
      </c>
      <c r="L20" s="309">
        <v>1</v>
      </c>
      <c r="M20" s="66">
        <v>2</v>
      </c>
      <c r="N20" s="536">
        <f t="shared" si="0"/>
        <v>0.34297081055722239</v>
      </c>
      <c r="O20" s="60" t="str">
        <f t="shared" si="1"/>
        <v/>
      </c>
      <c r="P20" s="343" t="s">
        <v>860</v>
      </c>
    </row>
    <row r="21" spans="1:16" x14ac:dyDescent="0.2">
      <c r="A21" s="373" t="s">
        <v>6</v>
      </c>
      <c r="B21" s="374" t="s">
        <v>8</v>
      </c>
      <c r="C21" s="545" t="s">
        <v>811</v>
      </c>
      <c r="D21" s="532" t="s">
        <v>858</v>
      </c>
      <c r="E21" s="551">
        <v>3.5717374137725716E-2</v>
      </c>
      <c r="F21" s="77" t="s">
        <v>862</v>
      </c>
      <c r="G21" s="94" t="s">
        <v>78</v>
      </c>
      <c r="H21" s="64">
        <v>1</v>
      </c>
      <c r="I21" s="305"/>
      <c r="J21" s="309">
        <v>1</v>
      </c>
      <c r="K21" s="309">
        <v>1</v>
      </c>
      <c r="L21" s="309">
        <v>1</v>
      </c>
      <c r="M21" s="66">
        <v>2</v>
      </c>
      <c r="N21" s="536">
        <f t="shared" si="0"/>
        <v>0.34297081055722239</v>
      </c>
      <c r="O21" s="60" t="str">
        <f t="shared" si="1"/>
        <v/>
      </c>
      <c r="P21" s="343" t="s">
        <v>860</v>
      </c>
    </row>
    <row r="22" spans="1:16" x14ac:dyDescent="0.2">
      <c r="A22" s="373" t="s">
        <v>6</v>
      </c>
      <c r="B22" s="374" t="s">
        <v>8</v>
      </c>
      <c r="C22" s="546" t="s">
        <v>812</v>
      </c>
      <c r="D22" s="532" t="s">
        <v>858</v>
      </c>
      <c r="E22" s="551">
        <v>5.4884535078830378E-2</v>
      </c>
      <c r="F22" s="77" t="s">
        <v>861</v>
      </c>
      <c r="G22" s="94" t="s">
        <v>78</v>
      </c>
      <c r="H22" s="64">
        <v>1</v>
      </c>
      <c r="I22" s="305"/>
      <c r="J22" s="309">
        <v>1</v>
      </c>
      <c r="K22" s="309">
        <v>1</v>
      </c>
      <c r="L22" s="309">
        <v>1</v>
      </c>
      <c r="M22" s="66">
        <v>2</v>
      </c>
      <c r="N22" s="536">
        <f t="shared" si="0"/>
        <v>0.34297081055722239</v>
      </c>
      <c r="O22" s="60" t="str">
        <f t="shared" si="1"/>
        <v/>
      </c>
      <c r="P22" s="343" t="s">
        <v>860</v>
      </c>
    </row>
    <row r="23" spans="1:16" x14ac:dyDescent="0.2">
      <c r="A23" s="373" t="s">
        <v>6</v>
      </c>
      <c r="B23" s="374" t="s">
        <v>8</v>
      </c>
      <c r="C23" s="547" t="s">
        <v>813</v>
      </c>
      <c r="D23" s="532" t="s">
        <v>858</v>
      </c>
      <c r="E23" s="551">
        <v>0.39701086377873673</v>
      </c>
      <c r="F23" s="77" t="s">
        <v>861</v>
      </c>
      <c r="G23" s="94" t="s">
        <v>78</v>
      </c>
      <c r="H23" s="64">
        <v>1</v>
      </c>
      <c r="I23" s="305"/>
      <c r="J23" s="309">
        <v>2</v>
      </c>
      <c r="K23" s="309">
        <v>1</v>
      </c>
      <c r="L23" s="309">
        <v>1</v>
      </c>
      <c r="M23" s="66">
        <v>2</v>
      </c>
      <c r="N23" s="536">
        <f t="shared" si="0"/>
        <v>0.35859414261160716</v>
      </c>
      <c r="O23" s="60" t="str">
        <f t="shared" si="1"/>
        <v/>
      </c>
      <c r="P23" s="343" t="s">
        <v>860</v>
      </c>
    </row>
    <row r="24" spans="1:16" x14ac:dyDescent="0.2">
      <c r="A24" s="373" t="s">
        <v>6</v>
      </c>
      <c r="B24" s="374" t="s">
        <v>9</v>
      </c>
      <c r="C24" s="543" t="s">
        <v>809</v>
      </c>
      <c r="D24" s="532" t="s">
        <v>858</v>
      </c>
      <c r="E24" s="551">
        <v>0.48397107273125656</v>
      </c>
      <c r="F24" s="79" t="s">
        <v>815</v>
      </c>
      <c r="G24" s="94" t="s">
        <v>78</v>
      </c>
      <c r="H24" s="64">
        <v>1</v>
      </c>
      <c r="I24" s="305"/>
      <c r="J24" s="309">
        <v>1</v>
      </c>
      <c r="K24" s="309">
        <v>1</v>
      </c>
      <c r="L24" s="309">
        <v>1</v>
      </c>
      <c r="M24" s="66">
        <v>2</v>
      </c>
      <c r="N24" s="536">
        <f t="shared" si="0"/>
        <v>0.34297081055722239</v>
      </c>
      <c r="O24" s="60" t="str">
        <f t="shared" si="1"/>
        <v/>
      </c>
      <c r="P24" s="343" t="s">
        <v>860</v>
      </c>
    </row>
    <row r="25" spans="1:16" x14ac:dyDescent="0.2">
      <c r="A25" s="100" t="s">
        <v>6</v>
      </c>
      <c r="B25" s="374" t="s">
        <v>9</v>
      </c>
      <c r="C25" s="544" t="s">
        <v>810</v>
      </c>
      <c r="D25" s="532" t="s">
        <v>858</v>
      </c>
      <c r="E25" s="551">
        <v>0.37263325356861704</v>
      </c>
      <c r="F25" s="77" t="s">
        <v>99</v>
      </c>
      <c r="G25" s="94" t="s">
        <v>78</v>
      </c>
      <c r="H25" s="64">
        <v>1</v>
      </c>
      <c r="I25" s="305"/>
      <c r="J25" s="309">
        <v>1</v>
      </c>
      <c r="K25" s="309">
        <v>1</v>
      </c>
      <c r="L25" s="309">
        <v>1</v>
      </c>
      <c r="M25" s="66">
        <v>2</v>
      </c>
      <c r="N25" s="536">
        <f t="shared" si="0"/>
        <v>0.34297081055722239</v>
      </c>
      <c r="O25" s="60" t="str">
        <f t="shared" si="1"/>
        <v/>
      </c>
      <c r="P25" s="343" t="s">
        <v>860</v>
      </c>
    </row>
    <row r="26" spans="1:16" x14ac:dyDescent="0.2">
      <c r="A26" s="100" t="s">
        <v>6</v>
      </c>
      <c r="B26" s="374" t="s">
        <v>9</v>
      </c>
      <c r="C26" s="545" t="s">
        <v>811</v>
      </c>
      <c r="D26" s="532" t="s">
        <v>858</v>
      </c>
      <c r="E26" s="551">
        <v>0.46774317063965176</v>
      </c>
      <c r="F26" s="77" t="s">
        <v>861</v>
      </c>
      <c r="G26" s="94" t="s">
        <v>78</v>
      </c>
      <c r="H26" s="64">
        <v>1</v>
      </c>
      <c r="I26" s="305"/>
      <c r="J26" s="309">
        <v>2</v>
      </c>
      <c r="K26" s="309">
        <v>1</v>
      </c>
      <c r="L26" s="309">
        <v>1</v>
      </c>
      <c r="M26" s="66">
        <v>2</v>
      </c>
      <c r="N26" s="536">
        <f t="shared" si="0"/>
        <v>0.35859414261160716</v>
      </c>
      <c r="O26" s="60" t="str">
        <f t="shared" si="1"/>
        <v/>
      </c>
      <c r="P26" s="343" t="s">
        <v>860</v>
      </c>
    </row>
    <row r="27" spans="1:16" x14ac:dyDescent="0.2">
      <c r="A27" s="100" t="s">
        <v>6</v>
      </c>
      <c r="B27" s="374" t="s">
        <v>9</v>
      </c>
      <c r="C27" s="546" t="s">
        <v>812</v>
      </c>
      <c r="D27" s="532" t="s">
        <v>858</v>
      </c>
      <c r="E27" s="551">
        <v>0.39674477858185181</v>
      </c>
      <c r="F27" s="77" t="s">
        <v>863</v>
      </c>
      <c r="G27" s="94" t="s">
        <v>78</v>
      </c>
      <c r="H27" s="64">
        <v>1</v>
      </c>
      <c r="I27" s="305"/>
      <c r="J27" s="309">
        <v>1</v>
      </c>
      <c r="K27" s="309">
        <v>1</v>
      </c>
      <c r="L27" s="309">
        <v>1</v>
      </c>
      <c r="M27" s="66">
        <v>2</v>
      </c>
      <c r="N27" s="536">
        <f t="shared" si="0"/>
        <v>0.34297081055722239</v>
      </c>
      <c r="O27" s="60" t="str">
        <f t="shared" si="1"/>
        <v/>
      </c>
      <c r="P27" s="343" t="s">
        <v>860</v>
      </c>
    </row>
    <row r="28" spans="1:16" x14ac:dyDescent="0.2">
      <c r="A28" s="100" t="s">
        <v>6</v>
      </c>
      <c r="B28" s="374" t="s">
        <v>9</v>
      </c>
      <c r="C28" s="547" t="s">
        <v>813</v>
      </c>
      <c r="D28" s="532" t="s">
        <v>858</v>
      </c>
      <c r="E28" s="551">
        <v>0.49821432822334588</v>
      </c>
      <c r="F28" s="77" t="s">
        <v>99</v>
      </c>
      <c r="G28" s="94" t="s">
        <v>78</v>
      </c>
      <c r="H28" s="64">
        <v>1</v>
      </c>
      <c r="I28" s="305"/>
      <c r="J28" s="309">
        <v>2</v>
      </c>
      <c r="K28" s="309">
        <v>1</v>
      </c>
      <c r="L28" s="309">
        <v>1</v>
      </c>
      <c r="M28" s="66">
        <v>2</v>
      </c>
      <c r="N28" s="536">
        <f t="shared" si="0"/>
        <v>0.35859414261160716</v>
      </c>
      <c r="O28" s="60" t="str">
        <f t="shared" si="1"/>
        <v/>
      </c>
      <c r="P28" s="343" t="s">
        <v>860</v>
      </c>
    </row>
    <row r="29" spans="1:16" x14ac:dyDescent="0.2">
      <c r="A29" s="373" t="s">
        <v>6</v>
      </c>
      <c r="B29" s="374" t="s">
        <v>10</v>
      </c>
      <c r="C29" s="543" t="s">
        <v>809</v>
      </c>
      <c r="D29" s="532" t="s">
        <v>858</v>
      </c>
      <c r="E29" s="551">
        <v>0.20642895057806482</v>
      </c>
      <c r="F29" s="79" t="s">
        <v>815</v>
      </c>
      <c r="G29" s="94" t="s">
        <v>78</v>
      </c>
      <c r="H29" s="64">
        <v>1</v>
      </c>
      <c r="I29" s="305"/>
      <c r="J29" s="309">
        <v>1</v>
      </c>
      <c r="K29" s="309">
        <v>1</v>
      </c>
      <c r="L29" s="309">
        <v>1</v>
      </c>
      <c r="M29" s="66">
        <v>2</v>
      </c>
      <c r="N29" s="536">
        <f t="shared" si="0"/>
        <v>0.34297081055722239</v>
      </c>
      <c r="O29" s="60" t="str">
        <f t="shared" si="1"/>
        <v/>
      </c>
      <c r="P29" s="343" t="s">
        <v>860</v>
      </c>
    </row>
    <row r="30" spans="1:16" x14ac:dyDescent="0.2">
      <c r="A30" s="373" t="s">
        <v>6</v>
      </c>
      <c r="B30" s="374" t="s">
        <v>10</v>
      </c>
      <c r="C30" s="544" t="s">
        <v>810</v>
      </c>
      <c r="D30" s="532" t="s">
        <v>858</v>
      </c>
      <c r="E30" s="551">
        <v>0.49649608271432444</v>
      </c>
      <c r="F30" s="77" t="s">
        <v>99</v>
      </c>
      <c r="G30" s="94" t="s">
        <v>78</v>
      </c>
      <c r="H30" s="64">
        <v>1</v>
      </c>
      <c r="I30" s="305"/>
      <c r="J30" s="309">
        <v>1</v>
      </c>
      <c r="K30" s="309">
        <v>1</v>
      </c>
      <c r="L30" s="309">
        <v>1</v>
      </c>
      <c r="M30" s="66">
        <v>2</v>
      </c>
      <c r="N30" s="536">
        <f t="shared" si="0"/>
        <v>0.34297081055722239</v>
      </c>
      <c r="O30" s="60" t="str">
        <f t="shared" si="1"/>
        <v/>
      </c>
      <c r="P30" s="343" t="s">
        <v>860</v>
      </c>
    </row>
    <row r="31" spans="1:16" x14ac:dyDescent="0.2">
      <c r="A31" s="373" t="s">
        <v>6</v>
      </c>
      <c r="B31" s="374" t="s">
        <v>10</v>
      </c>
      <c r="C31" s="545" t="s">
        <v>811</v>
      </c>
      <c r="D31" s="532" t="s">
        <v>858</v>
      </c>
      <c r="E31" s="551">
        <v>0.44190056284290324</v>
      </c>
      <c r="F31" s="77" t="s">
        <v>861</v>
      </c>
      <c r="G31" s="94" t="s">
        <v>78</v>
      </c>
      <c r="H31" s="64">
        <v>1</v>
      </c>
      <c r="I31" s="305"/>
      <c r="J31" s="309">
        <v>2</v>
      </c>
      <c r="K31" s="309">
        <v>1</v>
      </c>
      <c r="L31" s="309">
        <v>1</v>
      </c>
      <c r="M31" s="66">
        <v>2</v>
      </c>
      <c r="N31" s="536">
        <f t="shared" si="0"/>
        <v>0.35859414261160716</v>
      </c>
      <c r="O31" s="60" t="str">
        <f t="shared" si="1"/>
        <v/>
      </c>
      <c r="P31" s="343" t="s">
        <v>860</v>
      </c>
    </row>
    <row r="32" spans="1:16" x14ac:dyDescent="0.2">
      <c r="A32" s="373" t="s">
        <v>6</v>
      </c>
      <c r="B32" s="374" t="s">
        <v>10</v>
      </c>
      <c r="C32" s="546" t="s">
        <v>812</v>
      </c>
      <c r="D32" s="532" t="s">
        <v>858</v>
      </c>
      <c r="E32" s="551">
        <v>0.50829062365042377</v>
      </c>
      <c r="F32" s="77" t="s">
        <v>862</v>
      </c>
      <c r="G32" s="94" t="s">
        <v>78</v>
      </c>
      <c r="H32" s="64">
        <v>1</v>
      </c>
      <c r="I32" s="305"/>
      <c r="J32" s="309">
        <v>1</v>
      </c>
      <c r="K32" s="309">
        <v>1</v>
      </c>
      <c r="L32" s="309">
        <v>1</v>
      </c>
      <c r="M32" s="66">
        <v>2</v>
      </c>
      <c r="N32" s="536">
        <f t="shared" si="0"/>
        <v>0.34297081055722239</v>
      </c>
      <c r="O32" s="60" t="str">
        <f t="shared" si="1"/>
        <v/>
      </c>
      <c r="P32" s="343" t="s">
        <v>860</v>
      </c>
    </row>
    <row r="33" spans="1:16" x14ac:dyDescent="0.2">
      <c r="A33" s="373" t="s">
        <v>6</v>
      </c>
      <c r="B33" s="374" t="s">
        <v>10</v>
      </c>
      <c r="C33" s="547" t="s">
        <v>813</v>
      </c>
      <c r="D33" s="532" t="s">
        <v>858</v>
      </c>
      <c r="E33" s="551">
        <v>6.6774807997917338E-2</v>
      </c>
      <c r="F33" s="77" t="s">
        <v>99</v>
      </c>
      <c r="G33" s="94" t="s">
        <v>78</v>
      </c>
      <c r="H33" s="64">
        <v>1</v>
      </c>
      <c r="I33" s="305"/>
      <c r="J33" s="309">
        <v>2</v>
      </c>
      <c r="K33" s="309">
        <v>1</v>
      </c>
      <c r="L33" s="309">
        <v>1</v>
      </c>
      <c r="M33" s="66">
        <v>2</v>
      </c>
      <c r="N33" s="536">
        <f t="shared" si="0"/>
        <v>0.35859414261160716</v>
      </c>
      <c r="O33" s="60" t="str">
        <f t="shared" si="1"/>
        <v/>
      </c>
      <c r="P33" s="343" t="s">
        <v>860</v>
      </c>
    </row>
    <row r="34" spans="1:16" x14ac:dyDescent="0.2">
      <c r="A34" s="373" t="s">
        <v>6</v>
      </c>
      <c r="B34" s="374" t="s">
        <v>11</v>
      </c>
      <c r="C34" s="543" t="s">
        <v>809</v>
      </c>
      <c r="D34" s="532" t="s">
        <v>858</v>
      </c>
      <c r="E34" s="553">
        <v>0.01</v>
      </c>
      <c r="F34" s="77" t="s">
        <v>70</v>
      </c>
      <c r="G34" s="94" t="s">
        <v>78</v>
      </c>
      <c r="H34" s="64">
        <v>2</v>
      </c>
      <c r="I34" s="305"/>
      <c r="J34" s="309">
        <v>3</v>
      </c>
      <c r="K34" s="309">
        <v>1</v>
      </c>
      <c r="L34" s="309">
        <v>1</v>
      </c>
      <c r="M34" s="66">
        <v>3</v>
      </c>
      <c r="N34" s="536">
        <f t="shared" si="0"/>
        <v>1.0725046436742278</v>
      </c>
      <c r="O34" s="60" t="str">
        <f t="shared" si="1"/>
        <v/>
      </c>
      <c r="P34" s="343" t="s">
        <v>860</v>
      </c>
    </row>
    <row r="35" spans="1:16" x14ac:dyDescent="0.2">
      <c r="A35" s="100" t="s">
        <v>6</v>
      </c>
      <c r="B35" s="374" t="s">
        <v>11</v>
      </c>
      <c r="C35" s="544" t="s">
        <v>810</v>
      </c>
      <c r="D35" s="532" t="s">
        <v>858</v>
      </c>
      <c r="E35" s="553">
        <v>0</v>
      </c>
      <c r="G35" s="94" t="s">
        <v>78</v>
      </c>
      <c r="I35" s="305"/>
      <c r="N35" s="534" t="str">
        <f t="shared" si="0"/>
        <v/>
      </c>
      <c r="O35" s="60" t="str">
        <f t="shared" si="1"/>
        <v/>
      </c>
      <c r="P35" s="343" t="s">
        <v>860</v>
      </c>
    </row>
    <row r="36" spans="1:16" x14ac:dyDescent="0.2">
      <c r="A36" s="100" t="s">
        <v>6</v>
      </c>
      <c r="B36" s="374" t="s">
        <v>11</v>
      </c>
      <c r="C36" s="545" t="s">
        <v>811</v>
      </c>
      <c r="D36" s="532" t="s">
        <v>858</v>
      </c>
      <c r="E36" s="553">
        <v>6.0000000000000001E-3</v>
      </c>
      <c r="F36" s="77" t="s">
        <v>70</v>
      </c>
      <c r="G36" s="94" t="s">
        <v>78</v>
      </c>
      <c r="H36" s="64">
        <v>2</v>
      </c>
      <c r="I36" s="305"/>
      <c r="J36" s="309">
        <v>3</v>
      </c>
      <c r="K36" s="309">
        <v>1</v>
      </c>
      <c r="L36" s="309">
        <v>1</v>
      </c>
      <c r="M36" s="66">
        <v>2</v>
      </c>
      <c r="N36" s="536">
        <f t="shared" si="0"/>
        <v>0.48935255543384243</v>
      </c>
      <c r="O36" s="60" t="str">
        <f t="shared" si="1"/>
        <v/>
      </c>
      <c r="P36" s="343" t="s">
        <v>860</v>
      </c>
    </row>
    <row r="37" spans="1:16" x14ac:dyDescent="0.2">
      <c r="A37" s="100" t="s">
        <v>6</v>
      </c>
      <c r="B37" s="374" t="s">
        <v>11</v>
      </c>
      <c r="C37" s="546" t="s">
        <v>812</v>
      </c>
      <c r="D37" s="532" t="s">
        <v>858</v>
      </c>
      <c r="E37" s="553">
        <v>0.01</v>
      </c>
      <c r="F37" s="77" t="s">
        <v>70</v>
      </c>
      <c r="G37" s="94" t="s">
        <v>78</v>
      </c>
      <c r="H37" s="64">
        <v>2</v>
      </c>
      <c r="I37" s="305"/>
      <c r="J37" s="309">
        <v>3</v>
      </c>
      <c r="K37" s="309">
        <v>1</v>
      </c>
      <c r="L37" s="309">
        <v>1</v>
      </c>
      <c r="M37" s="66">
        <v>2</v>
      </c>
      <c r="N37" s="536">
        <f t="shared" si="0"/>
        <v>0.48935255543384243</v>
      </c>
      <c r="O37" s="60" t="str">
        <f t="shared" si="1"/>
        <v/>
      </c>
      <c r="P37" s="343" t="s">
        <v>860</v>
      </c>
    </row>
    <row r="38" spans="1:16" x14ac:dyDescent="0.2">
      <c r="A38" s="100" t="s">
        <v>6</v>
      </c>
      <c r="B38" s="374" t="s">
        <v>11</v>
      </c>
      <c r="C38" s="547" t="s">
        <v>813</v>
      </c>
      <c r="D38" s="532" t="s">
        <v>858</v>
      </c>
      <c r="E38" s="553">
        <v>0.01</v>
      </c>
      <c r="F38" s="77" t="s">
        <v>70</v>
      </c>
      <c r="G38" s="94" t="s">
        <v>78</v>
      </c>
      <c r="H38" s="64">
        <v>2</v>
      </c>
      <c r="I38" s="305"/>
      <c r="J38" s="309">
        <v>3</v>
      </c>
      <c r="K38" s="309">
        <v>1</v>
      </c>
      <c r="L38" s="309">
        <v>1</v>
      </c>
      <c r="M38" s="66">
        <v>2</v>
      </c>
      <c r="N38" s="536">
        <f t="shared" si="0"/>
        <v>0.48935255543384243</v>
      </c>
      <c r="O38" s="60" t="str">
        <f t="shared" si="1"/>
        <v/>
      </c>
      <c r="P38" s="343" t="s">
        <v>860</v>
      </c>
    </row>
    <row r="39" spans="1:16" x14ac:dyDescent="0.2">
      <c r="A39" s="373" t="s">
        <v>6</v>
      </c>
      <c r="B39" s="374" t="s">
        <v>12</v>
      </c>
      <c r="C39" s="543" t="s">
        <v>809</v>
      </c>
      <c r="D39" s="532" t="s">
        <v>858</v>
      </c>
      <c r="E39" s="553">
        <v>7.5999999999999998E-2</v>
      </c>
      <c r="F39" s="79" t="s">
        <v>815</v>
      </c>
      <c r="G39" s="94" t="s">
        <v>78</v>
      </c>
      <c r="H39" s="64">
        <v>1</v>
      </c>
      <c r="I39" s="305"/>
      <c r="J39" s="309">
        <v>1</v>
      </c>
      <c r="K39" s="309">
        <v>1</v>
      </c>
      <c r="L39" s="309">
        <v>1</v>
      </c>
      <c r="M39" s="66">
        <v>2</v>
      </c>
      <c r="N39" s="536">
        <f t="shared" si="0"/>
        <v>0.34297081055722239</v>
      </c>
      <c r="O39" s="60" t="str">
        <f t="shared" si="1"/>
        <v/>
      </c>
      <c r="P39" s="343" t="s">
        <v>860</v>
      </c>
    </row>
    <row r="40" spans="1:16" x14ac:dyDescent="0.2">
      <c r="A40" s="373" t="s">
        <v>6</v>
      </c>
      <c r="B40" s="374" t="s">
        <v>12</v>
      </c>
      <c r="C40" s="544" t="s">
        <v>810</v>
      </c>
      <c r="D40" s="532" t="s">
        <v>858</v>
      </c>
      <c r="E40" s="535">
        <v>9.8000000000000004E-2</v>
      </c>
      <c r="F40" s="77" t="s">
        <v>862</v>
      </c>
      <c r="G40" s="94" t="s">
        <v>78</v>
      </c>
      <c r="H40" s="64">
        <v>1</v>
      </c>
      <c r="I40" s="305"/>
      <c r="J40" s="309">
        <v>1</v>
      </c>
      <c r="K40" s="309">
        <v>1</v>
      </c>
      <c r="L40" s="309">
        <v>1</v>
      </c>
      <c r="M40" s="66">
        <v>2</v>
      </c>
      <c r="N40" s="536">
        <f t="shared" si="0"/>
        <v>0.34297081055722239</v>
      </c>
      <c r="O40" s="60" t="str">
        <f t="shared" si="1"/>
        <v/>
      </c>
      <c r="P40" s="343" t="s">
        <v>860</v>
      </c>
    </row>
    <row r="41" spans="1:16" x14ac:dyDescent="0.2">
      <c r="A41" s="373" t="s">
        <v>6</v>
      </c>
      <c r="B41" s="374" t="s">
        <v>12</v>
      </c>
      <c r="C41" s="545" t="s">
        <v>811</v>
      </c>
      <c r="D41" s="532" t="s">
        <v>858</v>
      </c>
      <c r="E41" s="535">
        <v>4.0000000000000001E-3</v>
      </c>
      <c r="F41" s="77" t="s">
        <v>862</v>
      </c>
      <c r="G41" s="94" t="s">
        <v>78</v>
      </c>
      <c r="H41" s="64">
        <v>1</v>
      </c>
      <c r="I41" s="305"/>
      <c r="J41" s="309">
        <v>1</v>
      </c>
      <c r="K41" s="309">
        <v>1</v>
      </c>
      <c r="L41" s="309">
        <v>1</v>
      </c>
      <c r="M41" s="66">
        <v>2</v>
      </c>
      <c r="N41" s="536">
        <f t="shared" si="0"/>
        <v>0.34297081055722239</v>
      </c>
      <c r="O41" s="60" t="str">
        <f t="shared" si="1"/>
        <v/>
      </c>
      <c r="P41" s="343" t="s">
        <v>860</v>
      </c>
    </row>
    <row r="42" spans="1:16" x14ac:dyDescent="0.2">
      <c r="A42" s="373" t="s">
        <v>6</v>
      </c>
      <c r="B42" s="374" t="s">
        <v>12</v>
      </c>
      <c r="C42" s="546" t="s">
        <v>812</v>
      </c>
      <c r="D42" s="532" t="s">
        <v>858</v>
      </c>
      <c r="E42" s="535">
        <v>8.9999999999999993E-3</v>
      </c>
      <c r="F42" s="77" t="s">
        <v>862</v>
      </c>
      <c r="G42" s="94" t="s">
        <v>78</v>
      </c>
      <c r="H42" s="64">
        <v>1</v>
      </c>
      <c r="I42" s="305"/>
      <c r="J42" s="309">
        <v>1</v>
      </c>
      <c r="K42" s="309">
        <v>1</v>
      </c>
      <c r="L42" s="309">
        <v>1</v>
      </c>
      <c r="M42" s="66">
        <v>2</v>
      </c>
      <c r="N42" s="536">
        <f t="shared" si="0"/>
        <v>0.34297081055722239</v>
      </c>
      <c r="O42" s="60" t="str">
        <f t="shared" si="1"/>
        <v/>
      </c>
      <c r="P42" s="343" t="s">
        <v>860</v>
      </c>
    </row>
    <row r="43" spans="1:16" ht="12" customHeight="1" x14ac:dyDescent="0.2">
      <c r="A43" s="373" t="s">
        <v>6</v>
      </c>
      <c r="B43" s="374" t="s">
        <v>12</v>
      </c>
      <c r="C43" s="547" t="s">
        <v>813</v>
      </c>
      <c r="D43" s="532" t="s">
        <v>858</v>
      </c>
      <c r="E43" s="535">
        <v>8.0000000000000002E-3</v>
      </c>
      <c r="F43" s="77" t="s">
        <v>862</v>
      </c>
      <c r="G43" s="94" t="s">
        <v>78</v>
      </c>
      <c r="H43" s="64">
        <v>1</v>
      </c>
      <c r="I43" s="305"/>
      <c r="J43" s="309">
        <v>1</v>
      </c>
      <c r="K43" s="309">
        <v>1</v>
      </c>
      <c r="L43" s="309">
        <v>1</v>
      </c>
      <c r="M43" s="66">
        <v>2</v>
      </c>
      <c r="N43" s="536">
        <f t="shared" si="0"/>
        <v>0.34297081055722239</v>
      </c>
      <c r="O43" s="60" t="str">
        <f t="shared" si="1"/>
        <v/>
      </c>
      <c r="P43" s="343" t="s">
        <v>860</v>
      </c>
    </row>
    <row r="44" spans="1:16" s="497" customFormat="1" ht="14" customHeight="1" x14ac:dyDescent="0.2">
      <c r="A44" s="36" t="s">
        <v>6</v>
      </c>
      <c r="B44" s="24" t="s">
        <v>7</v>
      </c>
      <c r="C44" s="543" t="s">
        <v>809</v>
      </c>
      <c r="D44" s="538" t="s">
        <v>864</v>
      </c>
      <c r="E44" s="554">
        <v>6.2329999999999998E-3</v>
      </c>
      <c r="F44" s="79" t="s">
        <v>70</v>
      </c>
      <c r="G44" s="95" t="s">
        <v>78</v>
      </c>
      <c r="H44" s="540"/>
      <c r="I44" s="68">
        <v>2</v>
      </c>
      <c r="J44" s="68">
        <v>1</v>
      </c>
      <c r="K44" s="68">
        <v>1</v>
      </c>
      <c r="L44" s="68">
        <v>1</v>
      </c>
      <c r="M44" s="83">
        <v>2</v>
      </c>
      <c r="N44" s="534" t="str">
        <f t="shared" si="0"/>
        <v/>
      </c>
      <c r="O44" s="34">
        <f t="shared" si="1"/>
        <v>0.35859414261160716</v>
      </c>
      <c r="P44" s="82" t="s">
        <v>865</v>
      </c>
    </row>
    <row r="45" spans="1:16" ht="14" customHeight="1" x14ac:dyDescent="0.2">
      <c r="A45" s="100" t="s">
        <v>6</v>
      </c>
      <c r="B45" s="374" t="s">
        <v>7</v>
      </c>
      <c r="C45" s="544" t="s">
        <v>810</v>
      </c>
      <c r="D45" s="532" t="s">
        <v>864</v>
      </c>
      <c r="E45" s="554">
        <v>1.6041E-2</v>
      </c>
      <c r="F45" s="77" t="s">
        <v>70</v>
      </c>
      <c r="G45" s="94" t="s">
        <v>78</v>
      </c>
      <c r="H45" s="533"/>
      <c r="I45" s="68">
        <v>2</v>
      </c>
      <c r="J45" s="68">
        <v>1</v>
      </c>
      <c r="K45" s="68">
        <v>1</v>
      </c>
      <c r="L45" s="68">
        <v>1</v>
      </c>
      <c r="M45" s="83">
        <v>2</v>
      </c>
      <c r="N45" s="534" t="str">
        <f t="shared" si="0"/>
        <v/>
      </c>
      <c r="O45" s="34">
        <f t="shared" si="1"/>
        <v>0.35859414261160716</v>
      </c>
      <c r="P45" s="343" t="s">
        <v>866</v>
      </c>
    </row>
    <row r="46" spans="1:16" ht="14" customHeight="1" x14ac:dyDescent="0.2">
      <c r="A46" s="100" t="s">
        <v>6</v>
      </c>
      <c r="B46" s="374" t="s">
        <v>7</v>
      </c>
      <c r="C46" s="545" t="s">
        <v>811</v>
      </c>
      <c r="D46" s="532" t="s">
        <v>864</v>
      </c>
      <c r="E46" s="554">
        <v>4.2174000000000003E-2</v>
      </c>
      <c r="F46" s="77" t="s">
        <v>70</v>
      </c>
      <c r="G46" s="94" t="s">
        <v>78</v>
      </c>
      <c r="H46" s="533"/>
      <c r="I46" s="68">
        <v>2</v>
      </c>
      <c r="J46" s="68">
        <v>1</v>
      </c>
      <c r="K46" s="68">
        <v>1</v>
      </c>
      <c r="L46" s="68">
        <v>1</v>
      </c>
      <c r="M46" s="83">
        <v>2</v>
      </c>
      <c r="N46" s="534" t="str">
        <f t="shared" si="0"/>
        <v/>
      </c>
      <c r="O46" s="34">
        <f t="shared" si="1"/>
        <v>0.35859414261160716</v>
      </c>
      <c r="P46" s="343" t="s">
        <v>865</v>
      </c>
    </row>
    <row r="47" spans="1:16" ht="14" customHeight="1" x14ac:dyDescent="0.2">
      <c r="A47" s="100" t="s">
        <v>6</v>
      </c>
      <c r="B47" s="374" t="s">
        <v>7</v>
      </c>
      <c r="C47" s="546" t="s">
        <v>812</v>
      </c>
      <c r="D47" s="532" t="s">
        <v>864</v>
      </c>
      <c r="E47" s="554">
        <v>1.882E-3</v>
      </c>
      <c r="F47" s="77" t="s">
        <v>70</v>
      </c>
      <c r="G47" s="94" t="s">
        <v>78</v>
      </c>
      <c r="H47" s="533"/>
      <c r="I47" s="68">
        <v>2</v>
      </c>
      <c r="J47" s="68">
        <v>1</v>
      </c>
      <c r="K47" s="68">
        <v>1</v>
      </c>
      <c r="L47" s="68">
        <v>1</v>
      </c>
      <c r="M47" s="83">
        <v>2</v>
      </c>
      <c r="N47" s="534" t="str">
        <f t="shared" si="0"/>
        <v/>
      </c>
      <c r="O47" s="34">
        <f t="shared" si="1"/>
        <v>0.35859414261160716</v>
      </c>
      <c r="P47" s="343" t="s">
        <v>866</v>
      </c>
    </row>
    <row r="48" spans="1:16" ht="14" customHeight="1" x14ac:dyDescent="0.2">
      <c r="A48" s="100" t="s">
        <v>6</v>
      </c>
      <c r="B48" s="374" t="s">
        <v>7</v>
      </c>
      <c r="C48" s="547" t="s">
        <v>813</v>
      </c>
      <c r="D48" s="532" t="s">
        <v>864</v>
      </c>
      <c r="E48" s="554">
        <v>0</v>
      </c>
      <c r="F48" s="77" t="s">
        <v>70</v>
      </c>
      <c r="G48" s="94" t="s">
        <v>78</v>
      </c>
      <c r="H48" s="533"/>
      <c r="I48" s="68">
        <v>2</v>
      </c>
      <c r="J48" s="68">
        <v>1</v>
      </c>
      <c r="K48" s="68">
        <v>1</v>
      </c>
      <c r="L48" s="68">
        <v>1</v>
      </c>
      <c r="M48" s="83">
        <v>2</v>
      </c>
      <c r="N48" s="534" t="str">
        <f t="shared" si="0"/>
        <v/>
      </c>
      <c r="O48" s="34">
        <f t="shared" si="1"/>
        <v>0.35859414261160716</v>
      </c>
      <c r="P48" s="343" t="s">
        <v>865</v>
      </c>
    </row>
    <row r="49" spans="1:16" ht="14" customHeight="1" x14ac:dyDescent="0.2">
      <c r="A49" s="373" t="s">
        <v>6</v>
      </c>
      <c r="B49" s="374" t="s">
        <v>8</v>
      </c>
      <c r="C49" s="543" t="s">
        <v>809</v>
      </c>
      <c r="D49" s="532" t="s">
        <v>864</v>
      </c>
      <c r="E49" s="554">
        <v>0.44777</v>
      </c>
      <c r="F49" s="77" t="s">
        <v>70</v>
      </c>
      <c r="G49" s="94" t="s">
        <v>78</v>
      </c>
      <c r="H49" s="533"/>
      <c r="I49" s="68">
        <v>2</v>
      </c>
      <c r="J49" s="68">
        <v>1</v>
      </c>
      <c r="K49" s="68">
        <v>1</v>
      </c>
      <c r="L49" s="68">
        <v>1</v>
      </c>
      <c r="M49" s="83">
        <v>2</v>
      </c>
      <c r="N49" s="534" t="str">
        <f t="shared" si="0"/>
        <v/>
      </c>
      <c r="O49" s="34">
        <f t="shared" si="1"/>
        <v>0.35859414261160716</v>
      </c>
      <c r="P49" s="343" t="s">
        <v>865</v>
      </c>
    </row>
    <row r="50" spans="1:16" ht="14" customHeight="1" x14ac:dyDescent="0.2">
      <c r="A50" s="373" t="s">
        <v>6</v>
      </c>
      <c r="B50" s="374" t="s">
        <v>8</v>
      </c>
      <c r="C50" s="544" t="s">
        <v>810</v>
      </c>
      <c r="D50" s="532" t="s">
        <v>864</v>
      </c>
      <c r="E50" s="554">
        <v>1.6496E-2</v>
      </c>
      <c r="F50" s="77" t="s">
        <v>70</v>
      </c>
      <c r="G50" s="94" t="s">
        <v>78</v>
      </c>
      <c r="H50" s="533"/>
      <c r="I50" s="68">
        <v>2</v>
      </c>
      <c r="J50" s="68">
        <v>1</v>
      </c>
      <c r="K50" s="68">
        <v>1</v>
      </c>
      <c r="L50" s="68">
        <v>1</v>
      </c>
      <c r="M50" s="83">
        <v>2</v>
      </c>
      <c r="N50" s="534" t="str">
        <f t="shared" si="0"/>
        <v/>
      </c>
      <c r="O50" s="34">
        <f t="shared" si="1"/>
        <v>0.35859414261160716</v>
      </c>
      <c r="P50" s="343" t="s">
        <v>866</v>
      </c>
    </row>
    <row r="51" spans="1:16" ht="14" customHeight="1" x14ac:dyDescent="0.2">
      <c r="A51" s="100" t="s">
        <v>6</v>
      </c>
      <c r="B51" s="374" t="s">
        <v>8</v>
      </c>
      <c r="C51" s="545" t="s">
        <v>811</v>
      </c>
      <c r="D51" s="532" t="s">
        <v>864</v>
      </c>
      <c r="E51" s="554">
        <v>0.11976100000000001</v>
      </c>
      <c r="F51" s="77" t="s">
        <v>70</v>
      </c>
      <c r="G51" s="94" t="s">
        <v>78</v>
      </c>
      <c r="H51" s="533"/>
      <c r="I51" s="68">
        <v>2</v>
      </c>
      <c r="J51" s="68">
        <v>1</v>
      </c>
      <c r="K51" s="68">
        <v>1</v>
      </c>
      <c r="L51" s="68">
        <v>1</v>
      </c>
      <c r="M51" s="83">
        <v>2</v>
      </c>
      <c r="N51" s="534" t="str">
        <f t="shared" si="0"/>
        <v/>
      </c>
      <c r="O51" s="34">
        <f t="shared" si="1"/>
        <v>0.35859414261160716</v>
      </c>
      <c r="P51" s="343" t="s">
        <v>865</v>
      </c>
    </row>
    <row r="52" spans="1:16" ht="14" customHeight="1" x14ac:dyDescent="0.2">
      <c r="A52" s="100" t="s">
        <v>6</v>
      </c>
      <c r="B52" s="374" t="s">
        <v>8</v>
      </c>
      <c r="C52" s="546" t="s">
        <v>812</v>
      </c>
      <c r="D52" s="532" t="s">
        <v>864</v>
      </c>
      <c r="E52" s="554">
        <v>0.18732799999999999</v>
      </c>
      <c r="F52" s="77" t="s">
        <v>70</v>
      </c>
      <c r="G52" s="94" t="s">
        <v>78</v>
      </c>
      <c r="H52" s="533"/>
      <c r="I52" s="68">
        <v>2</v>
      </c>
      <c r="J52" s="68">
        <v>1</v>
      </c>
      <c r="K52" s="68">
        <v>1</v>
      </c>
      <c r="L52" s="68">
        <v>1</v>
      </c>
      <c r="M52" s="83">
        <v>2</v>
      </c>
      <c r="N52" s="534" t="str">
        <f t="shared" si="0"/>
        <v/>
      </c>
      <c r="O52" s="34">
        <f t="shared" si="1"/>
        <v>0.35859414261160716</v>
      </c>
      <c r="P52" s="343" t="s">
        <v>866</v>
      </c>
    </row>
    <row r="53" spans="1:16" ht="14" customHeight="1" x14ac:dyDescent="0.2">
      <c r="A53" s="100" t="s">
        <v>6</v>
      </c>
      <c r="B53" s="374" t="s">
        <v>8</v>
      </c>
      <c r="C53" s="547" t="s">
        <v>813</v>
      </c>
      <c r="D53" s="532" t="s">
        <v>864</v>
      </c>
      <c r="E53" s="554">
        <v>0.66840599999999994</v>
      </c>
      <c r="F53" s="77" t="s">
        <v>70</v>
      </c>
      <c r="G53" s="94" t="s">
        <v>78</v>
      </c>
      <c r="H53" s="533"/>
      <c r="I53" s="68">
        <v>2</v>
      </c>
      <c r="J53" s="68">
        <v>1</v>
      </c>
      <c r="K53" s="68">
        <v>1</v>
      </c>
      <c r="L53" s="68">
        <v>1</v>
      </c>
      <c r="M53" s="83">
        <v>2</v>
      </c>
      <c r="N53" s="534" t="str">
        <f t="shared" si="0"/>
        <v/>
      </c>
      <c r="O53" s="34">
        <f t="shared" si="1"/>
        <v>0.35859414261160716</v>
      </c>
      <c r="P53" s="343" t="s">
        <v>865</v>
      </c>
    </row>
    <row r="54" spans="1:16" ht="14" customHeight="1" x14ac:dyDescent="0.2">
      <c r="A54" s="373" t="s">
        <v>6</v>
      </c>
      <c r="B54" s="374" t="s">
        <v>9</v>
      </c>
      <c r="C54" s="543" t="s">
        <v>809</v>
      </c>
      <c r="D54" s="532" t="s">
        <v>864</v>
      </c>
      <c r="E54" s="554">
        <v>0.399677</v>
      </c>
      <c r="F54" s="77" t="s">
        <v>70</v>
      </c>
      <c r="G54" s="94" t="s">
        <v>78</v>
      </c>
      <c r="H54" s="533"/>
      <c r="I54" s="68">
        <v>2</v>
      </c>
      <c r="J54" s="68">
        <v>1</v>
      </c>
      <c r="K54" s="68">
        <v>1</v>
      </c>
      <c r="L54" s="68">
        <v>1</v>
      </c>
      <c r="M54" s="83">
        <v>2</v>
      </c>
      <c r="N54" s="534" t="str">
        <f t="shared" si="0"/>
        <v/>
      </c>
      <c r="O54" s="34">
        <f t="shared" si="1"/>
        <v>0.35859414261160716</v>
      </c>
      <c r="P54" s="343" t="s">
        <v>865</v>
      </c>
    </row>
    <row r="55" spans="1:16" ht="14" customHeight="1" x14ac:dyDescent="0.2">
      <c r="A55" s="373" t="s">
        <v>6</v>
      </c>
      <c r="B55" s="374" t="s">
        <v>9</v>
      </c>
      <c r="C55" s="544" t="s">
        <v>810</v>
      </c>
      <c r="D55" s="532" t="s">
        <v>864</v>
      </c>
      <c r="E55" s="554">
        <v>0.50712100000000004</v>
      </c>
      <c r="F55" s="77" t="s">
        <v>70</v>
      </c>
      <c r="G55" s="94" t="s">
        <v>78</v>
      </c>
      <c r="H55" s="533"/>
      <c r="I55" s="68">
        <v>2</v>
      </c>
      <c r="J55" s="68">
        <v>1</v>
      </c>
      <c r="K55" s="68">
        <v>1</v>
      </c>
      <c r="L55" s="68">
        <v>1</v>
      </c>
      <c r="M55" s="83">
        <v>2</v>
      </c>
      <c r="N55" s="534" t="str">
        <f t="shared" si="0"/>
        <v/>
      </c>
      <c r="O55" s="34">
        <f t="shared" si="1"/>
        <v>0.35859414261160716</v>
      </c>
      <c r="P55" s="343" t="s">
        <v>866</v>
      </c>
    </row>
    <row r="56" spans="1:16" ht="14" customHeight="1" x14ac:dyDescent="0.2">
      <c r="A56" s="100" t="s">
        <v>6</v>
      </c>
      <c r="B56" s="374" t="s">
        <v>9</v>
      </c>
      <c r="C56" s="545" t="s">
        <v>811</v>
      </c>
      <c r="D56" s="532" t="s">
        <v>864</v>
      </c>
      <c r="E56" s="554">
        <v>0.57328599999999996</v>
      </c>
      <c r="F56" s="77" t="s">
        <v>70</v>
      </c>
      <c r="G56" s="94" t="s">
        <v>78</v>
      </c>
      <c r="H56" s="533"/>
      <c r="I56" s="68">
        <v>2</v>
      </c>
      <c r="J56" s="68">
        <v>1</v>
      </c>
      <c r="K56" s="68">
        <v>1</v>
      </c>
      <c r="L56" s="68">
        <v>1</v>
      </c>
      <c r="M56" s="83">
        <v>2</v>
      </c>
      <c r="N56" s="534" t="str">
        <f t="shared" si="0"/>
        <v/>
      </c>
      <c r="O56" s="34">
        <f t="shared" si="1"/>
        <v>0.35859414261160716</v>
      </c>
      <c r="P56" s="343" t="s">
        <v>865</v>
      </c>
    </row>
    <row r="57" spans="1:16" ht="14" customHeight="1" x14ac:dyDescent="0.2">
      <c r="A57" s="100" t="s">
        <v>6</v>
      </c>
      <c r="B57" s="374" t="s">
        <v>9</v>
      </c>
      <c r="C57" s="546" t="s">
        <v>812</v>
      </c>
      <c r="D57" s="532" t="s">
        <v>864</v>
      </c>
      <c r="E57" s="554">
        <v>0.49498599999999998</v>
      </c>
      <c r="F57" s="77" t="s">
        <v>70</v>
      </c>
      <c r="G57" s="94" t="s">
        <v>78</v>
      </c>
      <c r="H57" s="533"/>
      <c r="I57" s="68">
        <v>2</v>
      </c>
      <c r="J57" s="68">
        <v>1</v>
      </c>
      <c r="K57" s="68">
        <v>1</v>
      </c>
      <c r="L57" s="68">
        <v>1</v>
      </c>
      <c r="M57" s="83">
        <v>2</v>
      </c>
      <c r="N57" s="534" t="str">
        <f t="shared" si="0"/>
        <v/>
      </c>
      <c r="O57" s="34">
        <f t="shared" si="1"/>
        <v>0.35859414261160716</v>
      </c>
      <c r="P57" s="343" t="s">
        <v>866</v>
      </c>
    </row>
    <row r="58" spans="1:16" ht="14" customHeight="1" x14ac:dyDescent="0.2">
      <c r="A58" s="100" t="s">
        <v>6</v>
      </c>
      <c r="B58" s="374" t="s">
        <v>9</v>
      </c>
      <c r="C58" s="547" t="s">
        <v>813</v>
      </c>
      <c r="D58" s="532" t="s">
        <v>864</v>
      </c>
      <c r="E58" s="554">
        <v>0.30660799999999999</v>
      </c>
      <c r="F58" s="77" t="s">
        <v>70</v>
      </c>
      <c r="G58" s="94" t="s">
        <v>78</v>
      </c>
      <c r="H58" s="533"/>
      <c r="I58" s="68">
        <v>2</v>
      </c>
      <c r="J58" s="68">
        <v>1</v>
      </c>
      <c r="K58" s="68">
        <v>1</v>
      </c>
      <c r="L58" s="68">
        <v>1</v>
      </c>
      <c r="M58" s="83">
        <v>2</v>
      </c>
      <c r="N58" s="534" t="str">
        <f t="shared" si="0"/>
        <v/>
      </c>
      <c r="O58" s="34">
        <f t="shared" si="1"/>
        <v>0.35859414261160716</v>
      </c>
      <c r="P58" s="343" t="s">
        <v>865</v>
      </c>
    </row>
    <row r="59" spans="1:16" ht="14" customHeight="1" x14ac:dyDescent="0.2">
      <c r="A59" s="373" t="s">
        <v>6</v>
      </c>
      <c r="B59" s="374" t="s">
        <v>10</v>
      </c>
      <c r="C59" s="543" t="s">
        <v>809</v>
      </c>
      <c r="D59" s="532" t="s">
        <v>864</v>
      </c>
      <c r="E59" s="554">
        <v>8.1662999999999999E-2</v>
      </c>
      <c r="F59" s="77" t="s">
        <v>70</v>
      </c>
      <c r="G59" s="94" t="s">
        <v>78</v>
      </c>
      <c r="H59" s="533"/>
      <c r="I59" s="68">
        <v>2</v>
      </c>
      <c r="J59" s="68">
        <v>1</v>
      </c>
      <c r="K59" s="68">
        <v>1</v>
      </c>
      <c r="L59" s="68">
        <v>1</v>
      </c>
      <c r="M59" s="83">
        <v>2</v>
      </c>
      <c r="N59" s="534" t="str">
        <f t="shared" si="0"/>
        <v/>
      </c>
      <c r="O59" s="34">
        <f t="shared" si="1"/>
        <v>0.35859414261160716</v>
      </c>
      <c r="P59" s="343" t="s">
        <v>865</v>
      </c>
    </row>
    <row r="60" spans="1:16" ht="14" customHeight="1" x14ac:dyDescent="0.2">
      <c r="A60" s="373" t="s">
        <v>6</v>
      </c>
      <c r="B60" s="374" t="s">
        <v>10</v>
      </c>
      <c r="C60" s="544" t="s">
        <v>810</v>
      </c>
      <c r="D60" s="532" t="s">
        <v>864</v>
      </c>
      <c r="E60" s="554">
        <v>0.32367600000000002</v>
      </c>
      <c r="F60" s="77" t="s">
        <v>70</v>
      </c>
      <c r="G60" s="94" t="s">
        <v>78</v>
      </c>
      <c r="H60" s="533"/>
      <c r="I60" s="68">
        <v>2</v>
      </c>
      <c r="J60" s="68">
        <v>1</v>
      </c>
      <c r="K60" s="68">
        <v>1</v>
      </c>
      <c r="L60" s="68">
        <v>1</v>
      </c>
      <c r="M60" s="83">
        <v>2</v>
      </c>
      <c r="N60" s="534" t="str">
        <f t="shared" si="0"/>
        <v/>
      </c>
      <c r="O60" s="34">
        <f t="shared" si="1"/>
        <v>0.35859414261160716</v>
      </c>
      <c r="P60" s="343" t="s">
        <v>866</v>
      </c>
    </row>
    <row r="61" spans="1:16" ht="14" customHeight="1" x14ac:dyDescent="0.2">
      <c r="A61" s="373" t="s">
        <v>6</v>
      </c>
      <c r="B61" s="374" t="s">
        <v>10</v>
      </c>
      <c r="C61" s="545" t="s">
        <v>811</v>
      </c>
      <c r="D61" s="532" t="s">
        <v>864</v>
      </c>
      <c r="E61" s="554">
        <v>0.25945000000000001</v>
      </c>
      <c r="F61" s="77" t="s">
        <v>70</v>
      </c>
      <c r="G61" s="94" t="s">
        <v>78</v>
      </c>
      <c r="H61" s="533"/>
      <c r="I61" s="68">
        <v>2</v>
      </c>
      <c r="J61" s="68">
        <v>1</v>
      </c>
      <c r="K61" s="68">
        <v>1</v>
      </c>
      <c r="L61" s="68">
        <v>1</v>
      </c>
      <c r="M61" s="83">
        <v>2</v>
      </c>
      <c r="N61" s="534" t="str">
        <f t="shared" si="0"/>
        <v/>
      </c>
      <c r="O61" s="34">
        <f t="shared" si="1"/>
        <v>0.35859414261160716</v>
      </c>
      <c r="P61" s="343" t="s">
        <v>865</v>
      </c>
    </row>
    <row r="62" spans="1:16" ht="14" customHeight="1" x14ac:dyDescent="0.2">
      <c r="A62" s="373" t="s">
        <v>6</v>
      </c>
      <c r="B62" s="374" t="s">
        <v>10</v>
      </c>
      <c r="C62" s="546" t="s">
        <v>812</v>
      </c>
      <c r="D62" s="532" t="s">
        <v>864</v>
      </c>
      <c r="E62" s="554">
        <v>0.30377900000000002</v>
      </c>
      <c r="F62" s="77" t="s">
        <v>70</v>
      </c>
      <c r="G62" s="94" t="s">
        <v>78</v>
      </c>
      <c r="H62" s="533"/>
      <c r="I62" s="68">
        <v>2</v>
      </c>
      <c r="J62" s="68">
        <v>1</v>
      </c>
      <c r="K62" s="68">
        <v>1</v>
      </c>
      <c r="L62" s="68">
        <v>1</v>
      </c>
      <c r="M62" s="83">
        <v>2</v>
      </c>
      <c r="N62" s="534" t="str">
        <f t="shared" si="0"/>
        <v/>
      </c>
      <c r="O62" s="34">
        <f t="shared" si="1"/>
        <v>0.35859414261160716</v>
      </c>
      <c r="P62" s="343" t="s">
        <v>866</v>
      </c>
    </row>
    <row r="63" spans="1:16" ht="14" customHeight="1" x14ac:dyDescent="0.2">
      <c r="A63" s="373" t="s">
        <v>6</v>
      </c>
      <c r="B63" s="374" t="s">
        <v>10</v>
      </c>
      <c r="C63" s="547" t="s">
        <v>813</v>
      </c>
      <c r="D63" s="532" t="s">
        <v>864</v>
      </c>
      <c r="E63" s="554">
        <v>1.9685000000000001E-2</v>
      </c>
      <c r="F63" s="77" t="s">
        <v>70</v>
      </c>
      <c r="G63" s="94" t="s">
        <v>78</v>
      </c>
      <c r="H63" s="533"/>
      <c r="I63" s="68">
        <v>2</v>
      </c>
      <c r="J63" s="68">
        <v>1</v>
      </c>
      <c r="K63" s="68">
        <v>1</v>
      </c>
      <c r="L63" s="68">
        <v>1</v>
      </c>
      <c r="M63" s="83">
        <v>2</v>
      </c>
      <c r="N63" s="534" t="str">
        <f t="shared" si="0"/>
        <v/>
      </c>
      <c r="O63" s="34">
        <f t="shared" si="1"/>
        <v>0.35859414261160716</v>
      </c>
      <c r="P63" s="343" t="s">
        <v>865</v>
      </c>
    </row>
    <row r="64" spans="1:16" ht="14" customHeight="1" x14ac:dyDescent="0.2">
      <c r="A64" s="373" t="s">
        <v>6</v>
      </c>
      <c r="B64" s="374" t="s">
        <v>11</v>
      </c>
      <c r="C64" s="543" t="s">
        <v>809</v>
      </c>
      <c r="D64" s="532" t="s">
        <v>864</v>
      </c>
      <c r="E64" s="554">
        <v>3.4400000000000001E-4</v>
      </c>
      <c r="F64" s="77" t="s">
        <v>70</v>
      </c>
      <c r="G64" s="94" t="s">
        <v>78</v>
      </c>
      <c r="H64" s="533"/>
      <c r="I64" s="68">
        <v>2</v>
      </c>
      <c r="J64" s="68">
        <v>1</v>
      </c>
      <c r="K64" s="68">
        <v>1</v>
      </c>
      <c r="L64" s="68">
        <v>1</v>
      </c>
      <c r="M64" s="83">
        <v>2</v>
      </c>
      <c r="N64" s="534" t="str">
        <f t="shared" si="0"/>
        <v/>
      </c>
      <c r="O64" s="34">
        <f t="shared" si="1"/>
        <v>0.35859414261160716</v>
      </c>
      <c r="P64" s="343" t="s">
        <v>865</v>
      </c>
    </row>
    <row r="65" spans="1:16" ht="14" customHeight="1" x14ac:dyDescent="0.2">
      <c r="A65" s="373" t="s">
        <v>6</v>
      </c>
      <c r="B65" s="374" t="s">
        <v>11</v>
      </c>
      <c r="C65" s="544" t="s">
        <v>810</v>
      </c>
      <c r="D65" s="532" t="s">
        <v>864</v>
      </c>
      <c r="E65" s="554">
        <v>0</v>
      </c>
      <c r="F65" s="77" t="s">
        <v>70</v>
      </c>
      <c r="G65" s="94" t="s">
        <v>78</v>
      </c>
      <c r="H65" s="533"/>
      <c r="I65" s="68">
        <v>2</v>
      </c>
      <c r="J65" s="68">
        <v>1</v>
      </c>
      <c r="K65" s="68">
        <v>1</v>
      </c>
      <c r="L65" s="68">
        <v>1</v>
      </c>
      <c r="M65" s="83">
        <v>2</v>
      </c>
      <c r="N65" s="534" t="str">
        <f t="shared" si="0"/>
        <v/>
      </c>
      <c r="O65" s="34">
        <f t="shared" si="1"/>
        <v>0.35859414261160716</v>
      </c>
      <c r="P65" s="343" t="s">
        <v>866</v>
      </c>
    </row>
    <row r="66" spans="1:16" ht="14" customHeight="1" x14ac:dyDescent="0.2">
      <c r="A66" s="100" t="s">
        <v>6</v>
      </c>
      <c r="B66" s="374" t="s">
        <v>11</v>
      </c>
      <c r="C66" s="545" t="s">
        <v>811</v>
      </c>
      <c r="D66" s="532" t="s">
        <v>864</v>
      </c>
      <c r="E66" s="554">
        <v>3.0600000000000001E-4</v>
      </c>
      <c r="F66" s="77" t="s">
        <v>70</v>
      </c>
      <c r="G66" s="94" t="s">
        <v>78</v>
      </c>
      <c r="H66" s="533"/>
      <c r="I66" s="68">
        <v>2</v>
      </c>
      <c r="J66" s="68">
        <v>1</v>
      </c>
      <c r="K66" s="68">
        <v>1</v>
      </c>
      <c r="L66" s="68">
        <v>1</v>
      </c>
      <c r="M66" s="83">
        <v>2</v>
      </c>
      <c r="N66" s="534" t="str">
        <f t="shared" si="0"/>
        <v/>
      </c>
      <c r="O66" s="34">
        <f t="shared" si="1"/>
        <v>0.35859414261160716</v>
      </c>
      <c r="P66" s="343" t="s">
        <v>865</v>
      </c>
    </row>
    <row r="67" spans="1:16" ht="14" customHeight="1" x14ac:dyDescent="0.2">
      <c r="A67" s="100" t="s">
        <v>6</v>
      </c>
      <c r="B67" s="374" t="s">
        <v>11</v>
      </c>
      <c r="C67" s="546" t="s">
        <v>812</v>
      </c>
      <c r="D67" s="532" t="s">
        <v>864</v>
      </c>
      <c r="E67" s="554">
        <v>5.1900000000000004E-4</v>
      </c>
      <c r="F67" s="77" t="s">
        <v>70</v>
      </c>
      <c r="G67" s="94" t="s">
        <v>78</v>
      </c>
      <c r="H67" s="533"/>
      <c r="I67" s="68">
        <v>2</v>
      </c>
      <c r="J67" s="68">
        <v>1</v>
      </c>
      <c r="K67" s="68">
        <v>1</v>
      </c>
      <c r="L67" s="68">
        <v>1</v>
      </c>
      <c r="M67" s="83">
        <v>2</v>
      </c>
      <c r="N67" s="534" t="str">
        <f t="shared" ref="N67:N130" si="2">IF( OR( ISBLANK(H67),ISBLANK(J67), ISBLANK(K67), ISBLANK(L67), ISBLANK(M67) ), "", 1.5*SQRT(   EXP(2.21*(H67-1)) + EXP(2.21*(J67-1)) + EXP(2.21*(K67-1)) + EXP(2.21*(L67-1)) + EXP(2.21*M67)   )/100*2.45 )</f>
        <v/>
      </c>
      <c r="O67" s="34">
        <f t="shared" ref="O67:O130" si="3">IF( OR( ISBLANK(I67),ISBLANK(J67), ISBLANK(K67), ISBLANK(L67), ISBLANK(M67) ), "", 1.5*SQRT(   EXP(2.21*(I67-1)) + EXP(2.21*(J67-1)) + EXP(2.21*(K67-1)) + EXP(2.21*(L67-1)) + EXP(2.21*M67)   )/100*2.45 )</f>
        <v>0.35859414261160716</v>
      </c>
      <c r="P67" s="343" t="s">
        <v>866</v>
      </c>
    </row>
    <row r="68" spans="1:16" ht="14" customHeight="1" x14ac:dyDescent="0.2">
      <c r="A68" s="100" t="s">
        <v>6</v>
      </c>
      <c r="B68" s="374" t="s">
        <v>11</v>
      </c>
      <c r="C68" s="547" t="s">
        <v>813</v>
      </c>
      <c r="D68" s="532" t="s">
        <v>864</v>
      </c>
      <c r="E68" s="554">
        <v>2.5599999999999999E-4</v>
      </c>
      <c r="F68" s="77" t="s">
        <v>70</v>
      </c>
      <c r="G68" s="94" t="s">
        <v>78</v>
      </c>
      <c r="H68" s="533"/>
      <c r="I68" s="68">
        <v>2</v>
      </c>
      <c r="J68" s="68">
        <v>1</v>
      </c>
      <c r="K68" s="68">
        <v>1</v>
      </c>
      <c r="L68" s="68">
        <v>1</v>
      </c>
      <c r="M68" s="83">
        <v>2</v>
      </c>
      <c r="N68" s="534" t="str">
        <f t="shared" si="2"/>
        <v/>
      </c>
      <c r="O68" s="34">
        <f t="shared" si="3"/>
        <v>0.35859414261160716</v>
      </c>
      <c r="P68" s="343" t="s">
        <v>865</v>
      </c>
    </row>
    <row r="69" spans="1:16" ht="14" customHeight="1" x14ac:dyDescent="0.2">
      <c r="A69" s="373" t="s">
        <v>6</v>
      </c>
      <c r="B69" s="374" t="s">
        <v>12</v>
      </c>
      <c r="C69" s="543" t="s">
        <v>809</v>
      </c>
      <c r="D69" s="532" t="s">
        <v>864</v>
      </c>
      <c r="E69" s="554">
        <v>6.4314999999999997E-2</v>
      </c>
      <c r="F69" s="77" t="s">
        <v>70</v>
      </c>
      <c r="G69" s="94" t="s">
        <v>78</v>
      </c>
      <c r="H69" s="533"/>
      <c r="I69" s="68">
        <v>2</v>
      </c>
      <c r="J69" s="68">
        <v>1</v>
      </c>
      <c r="K69" s="68">
        <v>1</v>
      </c>
      <c r="L69" s="68">
        <v>1</v>
      </c>
      <c r="M69" s="83">
        <v>2</v>
      </c>
      <c r="N69" s="534" t="str">
        <f t="shared" si="2"/>
        <v/>
      </c>
      <c r="O69" s="34">
        <f t="shared" si="3"/>
        <v>0.35859414261160716</v>
      </c>
      <c r="P69" s="343" t="s">
        <v>865</v>
      </c>
    </row>
    <row r="70" spans="1:16" ht="14" customHeight="1" x14ac:dyDescent="0.2">
      <c r="A70" s="373" t="s">
        <v>6</v>
      </c>
      <c r="B70" s="374" t="s">
        <v>12</v>
      </c>
      <c r="C70" s="544" t="s">
        <v>810</v>
      </c>
      <c r="D70" s="532" t="s">
        <v>864</v>
      </c>
      <c r="E70" s="554">
        <v>0.13666600000000001</v>
      </c>
      <c r="F70" s="77" t="s">
        <v>70</v>
      </c>
      <c r="G70" s="94" t="s">
        <v>78</v>
      </c>
      <c r="H70" s="533"/>
      <c r="I70" s="68">
        <v>2</v>
      </c>
      <c r="J70" s="68">
        <v>1</v>
      </c>
      <c r="K70" s="68">
        <v>1</v>
      </c>
      <c r="L70" s="68">
        <v>1</v>
      </c>
      <c r="M70" s="83">
        <v>2</v>
      </c>
      <c r="N70" s="534" t="str">
        <f t="shared" si="2"/>
        <v/>
      </c>
      <c r="O70" s="34">
        <f t="shared" si="3"/>
        <v>0.35859414261160716</v>
      </c>
      <c r="P70" s="343" t="s">
        <v>866</v>
      </c>
    </row>
    <row r="71" spans="1:16" ht="14" customHeight="1" x14ac:dyDescent="0.2">
      <c r="A71" s="373" t="s">
        <v>6</v>
      </c>
      <c r="B71" s="374" t="s">
        <v>12</v>
      </c>
      <c r="C71" s="545" t="s">
        <v>811</v>
      </c>
      <c r="D71" s="532" t="s">
        <v>864</v>
      </c>
      <c r="E71" s="554">
        <v>5.0239999999999998E-3</v>
      </c>
      <c r="F71" s="77" t="s">
        <v>70</v>
      </c>
      <c r="G71" s="94" t="s">
        <v>78</v>
      </c>
      <c r="H71" s="533"/>
      <c r="I71" s="68">
        <v>2</v>
      </c>
      <c r="J71" s="68">
        <v>1</v>
      </c>
      <c r="K71" s="68">
        <v>1</v>
      </c>
      <c r="L71" s="68">
        <v>1</v>
      </c>
      <c r="M71" s="83">
        <v>2</v>
      </c>
      <c r="N71" s="534" t="str">
        <f t="shared" si="2"/>
        <v/>
      </c>
      <c r="O71" s="34">
        <f t="shared" si="3"/>
        <v>0.35859414261160716</v>
      </c>
      <c r="P71" s="343" t="s">
        <v>865</v>
      </c>
    </row>
    <row r="72" spans="1:16" ht="14" customHeight="1" x14ac:dyDescent="0.2">
      <c r="A72" s="373" t="s">
        <v>6</v>
      </c>
      <c r="B72" s="374" t="s">
        <v>12</v>
      </c>
      <c r="C72" s="546" t="s">
        <v>812</v>
      </c>
      <c r="D72" s="532" t="s">
        <v>864</v>
      </c>
      <c r="E72" s="554">
        <v>1.1506000000000001E-2</v>
      </c>
      <c r="F72" s="77" t="s">
        <v>70</v>
      </c>
      <c r="G72" s="94" t="s">
        <v>78</v>
      </c>
      <c r="H72" s="533"/>
      <c r="I72" s="68">
        <v>2</v>
      </c>
      <c r="J72" s="68">
        <v>1</v>
      </c>
      <c r="K72" s="68">
        <v>1</v>
      </c>
      <c r="L72" s="68">
        <v>1</v>
      </c>
      <c r="M72" s="83">
        <v>2</v>
      </c>
      <c r="N72" s="534" t="str">
        <f t="shared" si="2"/>
        <v/>
      </c>
      <c r="O72" s="34">
        <f t="shared" si="3"/>
        <v>0.35859414261160716</v>
      </c>
      <c r="P72" s="343" t="s">
        <v>866</v>
      </c>
    </row>
    <row r="73" spans="1:16" ht="14" customHeight="1" x14ac:dyDescent="0.2">
      <c r="A73" s="373" t="s">
        <v>6</v>
      </c>
      <c r="B73" s="374" t="s">
        <v>12</v>
      </c>
      <c r="C73" s="547" t="s">
        <v>813</v>
      </c>
      <c r="D73" s="532" t="s">
        <v>864</v>
      </c>
      <c r="E73" s="554">
        <v>5.045E-3</v>
      </c>
      <c r="F73" s="77" t="s">
        <v>70</v>
      </c>
      <c r="G73" s="94" t="s">
        <v>78</v>
      </c>
      <c r="H73" s="533"/>
      <c r="I73" s="68">
        <v>2</v>
      </c>
      <c r="J73" s="68">
        <v>1</v>
      </c>
      <c r="K73" s="68">
        <v>1</v>
      </c>
      <c r="L73" s="68">
        <v>1</v>
      </c>
      <c r="M73" s="83">
        <v>2</v>
      </c>
      <c r="N73" s="534" t="str">
        <f t="shared" si="2"/>
        <v/>
      </c>
      <c r="O73" s="34">
        <f t="shared" si="3"/>
        <v>0.35859414261160716</v>
      </c>
      <c r="P73" s="343" t="s">
        <v>865</v>
      </c>
    </row>
    <row r="74" spans="1:16" s="497" customFormat="1" x14ac:dyDescent="0.2">
      <c r="A74" s="36" t="s">
        <v>6</v>
      </c>
      <c r="B74" s="48" t="s">
        <v>855</v>
      </c>
      <c r="C74" s="555" t="s">
        <v>65</v>
      </c>
      <c r="D74" s="538" t="s">
        <v>65</v>
      </c>
      <c r="E74" s="314">
        <v>6.6299999999999998E-2</v>
      </c>
      <c r="F74" s="79" t="s">
        <v>102</v>
      </c>
      <c r="G74" s="94" t="s">
        <v>78</v>
      </c>
      <c r="H74" s="67">
        <v>2</v>
      </c>
      <c r="I74" s="68">
        <v>2</v>
      </c>
      <c r="J74" s="68">
        <v>2</v>
      </c>
      <c r="K74" s="68">
        <v>3</v>
      </c>
      <c r="L74" s="68">
        <v>1</v>
      </c>
      <c r="M74" s="83">
        <v>2</v>
      </c>
      <c r="N74" s="536">
        <f t="shared" si="2"/>
        <v>0.50042652380814845</v>
      </c>
      <c r="O74" s="34">
        <f t="shared" si="3"/>
        <v>0.50042652380814845</v>
      </c>
      <c r="P74" s="82"/>
    </row>
    <row r="75" spans="1:16" s="497" customFormat="1" x14ac:dyDescent="0.2">
      <c r="A75" s="36" t="s">
        <v>5</v>
      </c>
      <c r="B75" s="556" t="s">
        <v>86</v>
      </c>
      <c r="C75" s="543" t="s">
        <v>809</v>
      </c>
      <c r="D75" s="538" t="s">
        <v>65</v>
      </c>
      <c r="E75" s="551">
        <v>0.50933930700524033</v>
      </c>
      <c r="F75" s="77" t="s">
        <v>867</v>
      </c>
      <c r="G75" s="95" t="s">
        <v>78</v>
      </c>
      <c r="H75" s="309">
        <v>2</v>
      </c>
      <c r="I75" s="309">
        <v>2</v>
      </c>
      <c r="J75" s="309">
        <v>1</v>
      </c>
      <c r="K75" s="309">
        <v>1</v>
      </c>
      <c r="L75" s="66">
        <v>2</v>
      </c>
      <c r="M75" s="34">
        <f t="shared" ref="M75:M89" si="4">IF( OR( ISBLANK(H75),ISBLANK(I75), ISBLANK(J75), ISBLANK(K75), ISBLANK(L75) ), "", 1.5*SQRT(   EXP(2.21*(H75-1)) + EXP(2.21*(I75-1)) + EXP(2.21*(J75-1)) + EXP(2.21*(K75-1)) + EXP(2.21*L75)   )/100*2.45 )</f>
        <v>0.37356464144298934</v>
      </c>
      <c r="N75" s="534">
        <f t="shared" si="2"/>
        <v>0.17437723017208295</v>
      </c>
      <c r="O75" s="60">
        <f t="shared" si="3"/>
        <v>0.17437723017208295</v>
      </c>
      <c r="P75" s="82"/>
    </row>
    <row r="76" spans="1:16" x14ac:dyDescent="0.2">
      <c r="A76" s="100" t="s">
        <v>5</v>
      </c>
      <c r="B76" s="557" t="s">
        <v>86</v>
      </c>
      <c r="C76" s="544" t="s">
        <v>810</v>
      </c>
      <c r="D76" s="532" t="s">
        <v>65</v>
      </c>
      <c r="E76" s="61">
        <v>0</v>
      </c>
      <c r="F76" s="486"/>
      <c r="G76" s="94" t="s">
        <v>78</v>
      </c>
      <c r="H76" s="305"/>
      <c r="I76" s="305"/>
      <c r="J76" s="305"/>
      <c r="K76" s="305"/>
      <c r="L76" s="85"/>
      <c r="M76" s="60" t="str">
        <f t="shared" si="4"/>
        <v/>
      </c>
      <c r="N76" s="534" t="str">
        <f t="shared" si="2"/>
        <v/>
      </c>
      <c r="O76" s="60" t="str">
        <f t="shared" si="3"/>
        <v/>
      </c>
    </row>
    <row r="77" spans="1:16" x14ac:dyDescent="0.2">
      <c r="A77" s="100" t="s">
        <v>5</v>
      </c>
      <c r="B77" s="557" t="s">
        <v>86</v>
      </c>
      <c r="C77" s="545" t="s">
        <v>811</v>
      </c>
      <c r="D77" s="532" t="s">
        <v>65</v>
      </c>
      <c r="E77" s="535">
        <v>0.19540301575935243</v>
      </c>
      <c r="F77" s="77" t="s">
        <v>867</v>
      </c>
      <c r="G77" s="94" t="s">
        <v>78</v>
      </c>
      <c r="H77" s="309">
        <v>2</v>
      </c>
      <c r="I77" s="309">
        <v>2</v>
      </c>
      <c r="J77" s="309">
        <v>1</v>
      </c>
      <c r="K77" s="309">
        <v>1</v>
      </c>
      <c r="L77" s="66">
        <v>2</v>
      </c>
      <c r="M77" s="34">
        <f t="shared" si="4"/>
        <v>0.37356464144298934</v>
      </c>
      <c r="N77" s="536">
        <f t="shared" si="2"/>
        <v>0.17437723017208295</v>
      </c>
      <c r="O77" s="34">
        <f t="shared" si="3"/>
        <v>0.17437723017208295</v>
      </c>
    </row>
    <row r="78" spans="1:16" x14ac:dyDescent="0.2">
      <c r="A78" s="100" t="s">
        <v>5</v>
      </c>
      <c r="B78" s="557" t="s">
        <v>86</v>
      </c>
      <c r="C78" s="546" t="s">
        <v>812</v>
      </c>
      <c r="D78" s="532" t="s">
        <v>65</v>
      </c>
      <c r="E78" s="305">
        <v>0</v>
      </c>
      <c r="G78" s="94" t="s">
        <v>78</v>
      </c>
      <c r="H78" s="305"/>
      <c r="I78" s="305"/>
      <c r="J78" s="305"/>
      <c r="K78" s="305"/>
      <c r="L78" s="85"/>
      <c r="M78" s="60" t="str">
        <f t="shared" si="4"/>
        <v/>
      </c>
      <c r="N78" s="534" t="str">
        <f t="shared" si="2"/>
        <v/>
      </c>
      <c r="O78" s="60" t="str">
        <f t="shared" si="3"/>
        <v/>
      </c>
    </row>
    <row r="79" spans="1:16" x14ac:dyDescent="0.2">
      <c r="A79" s="100" t="s">
        <v>5</v>
      </c>
      <c r="B79" s="557" t="s">
        <v>86</v>
      </c>
      <c r="C79" s="547" t="s">
        <v>813</v>
      </c>
      <c r="D79" s="532" t="s">
        <v>65</v>
      </c>
      <c r="E79" s="305">
        <v>0</v>
      </c>
      <c r="G79" s="94" t="s">
        <v>78</v>
      </c>
      <c r="H79" s="305"/>
      <c r="I79" s="305"/>
      <c r="J79" s="305"/>
      <c r="K79" s="305"/>
      <c r="L79" s="85"/>
      <c r="M79" s="60" t="str">
        <f t="shared" si="4"/>
        <v/>
      </c>
      <c r="N79" s="534" t="str">
        <f t="shared" si="2"/>
        <v/>
      </c>
      <c r="O79" s="60" t="str">
        <f t="shared" si="3"/>
        <v/>
      </c>
    </row>
    <row r="80" spans="1:16" x14ac:dyDescent="0.2">
      <c r="A80" s="373" t="s">
        <v>5</v>
      </c>
      <c r="B80" s="557" t="s">
        <v>39</v>
      </c>
      <c r="C80" s="543" t="s">
        <v>809</v>
      </c>
      <c r="D80" s="532" t="s">
        <v>65</v>
      </c>
      <c r="E80" s="535">
        <v>0.15807081941541373</v>
      </c>
      <c r="F80" s="77" t="s">
        <v>867</v>
      </c>
      <c r="G80" s="94" t="s">
        <v>78</v>
      </c>
      <c r="H80" s="309">
        <v>2</v>
      </c>
      <c r="I80" s="309">
        <v>2</v>
      </c>
      <c r="J80" s="309">
        <v>3</v>
      </c>
      <c r="K80" s="309">
        <v>1</v>
      </c>
      <c r="L80" s="66">
        <v>2</v>
      </c>
      <c r="M80" s="34">
        <f t="shared" si="4"/>
        <v>0.50042652380814845</v>
      </c>
      <c r="N80" s="536">
        <f t="shared" si="2"/>
        <v>0.3772021681554813</v>
      </c>
      <c r="O80" s="34">
        <f t="shared" si="3"/>
        <v>0.3772021681554813</v>
      </c>
      <c r="P80" s="486"/>
    </row>
    <row r="81" spans="1:16" x14ac:dyDescent="0.2">
      <c r="A81" s="100" t="s">
        <v>5</v>
      </c>
      <c r="B81" s="557" t="s">
        <v>39</v>
      </c>
      <c r="C81" s="544" t="s">
        <v>810</v>
      </c>
      <c r="D81" s="532" t="s">
        <v>65</v>
      </c>
      <c r="E81" s="305">
        <v>0</v>
      </c>
      <c r="F81" s="486"/>
      <c r="G81" s="94" t="s">
        <v>78</v>
      </c>
      <c r="H81" s="305"/>
      <c r="I81" s="305"/>
      <c r="J81" s="305"/>
      <c r="K81" s="305"/>
      <c r="L81" s="85"/>
      <c r="M81" s="60" t="str">
        <f t="shared" si="4"/>
        <v/>
      </c>
      <c r="N81" s="534" t="str">
        <f t="shared" si="2"/>
        <v/>
      </c>
      <c r="O81" s="60" t="str">
        <f t="shared" si="3"/>
        <v/>
      </c>
    </row>
    <row r="82" spans="1:16" x14ac:dyDescent="0.2">
      <c r="A82" s="100" t="s">
        <v>5</v>
      </c>
      <c r="B82" s="557" t="s">
        <v>39</v>
      </c>
      <c r="C82" s="545" t="s">
        <v>811</v>
      </c>
      <c r="D82" s="532" t="s">
        <v>65</v>
      </c>
      <c r="E82" s="535">
        <v>0.48554688764445531</v>
      </c>
      <c r="F82" s="77" t="s">
        <v>867</v>
      </c>
      <c r="G82" s="94" t="s">
        <v>78</v>
      </c>
      <c r="H82" s="309">
        <v>2</v>
      </c>
      <c r="I82" s="309">
        <v>2</v>
      </c>
      <c r="J82" s="309">
        <v>1</v>
      </c>
      <c r="K82" s="309">
        <v>1</v>
      </c>
      <c r="L82" s="66">
        <v>2</v>
      </c>
      <c r="M82" s="34">
        <f t="shared" si="4"/>
        <v>0.37356464144298934</v>
      </c>
      <c r="N82" s="536">
        <f t="shared" si="2"/>
        <v>0.17437723017208295</v>
      </c>
      <c r="O82" s="34">
        <f t="shared" si="3"/>
        <v>0.17437723017208295</v>
      </c>
    </row>
    <row r="83" spans="1:16" x14ac:dyDescent="0.2">
      <c r="A83" s="100" t="s">
        <v>5</v>
      </c>
      <c r="B83" s="557" t="s">
        <v>39</v>
      </c>
      <c r="C83" s="546" t="s">
        <v>812</v>
      </c>
      <c r="D83" s="532" t="s">
        <v>65</v>
      </c>
      <c r="E83" s="305">
        <v>0</v>
      </c>
      <c r="G83" s="94" t="s">
        <v>78</v>
      </c>
      <c r="H83" s="305"/>
      <c r="I83" s="305"/>
      <c r="J83" s="305"/>
      <c r="K83" s="305"/>
      <c r="L83" s="85"/>
      <c r="M83" s="60" t="str">
        <f t="shared" si="4"/>
        <v/>
      </c>
      <c r="N83" s="534" t="str">
        <f t="shared" si="2"/>
        <v/>
      </c>
      <c r="O83" s="60" t="str">
        <f t="shared" si="3"/>
        <v/>
      </c>
    </row>
    <row r="84" spans="1:16" x14ac:dyDescent="0.2">
      <c r="A84" s="100" t="s">
        <v>5</v>
      </c>
      <c r="B84" s="557" t="s">
        <v>39</v>
      </c>
      <c r="C84" s="547" t="s">
        <v>813</v>
      </c>
      <c r="D84" s="532" t="s">
        <v>65</v>
      </c>
      <c r="E84" s="305">
        <v>0</v>
      </c>
      <c r="G84" s="94" t="s">
        <v>78</v>
      </c>
      <c r="H84" s="305"/>
      <c r="I84" s="305"/>
      <c r="J84" s="305"/>
      <c r="K84" s="305"/>
      <c r="L84" s="85"/>
      <c r="M84" s="60" t="str">
        <f t="shared" si="4"/>
        <v/>
      </c>
      <c r="N84" s="534" t="str">
        <f t="shared" si="2"/>
        <v/>
      </c>
      <c r="O84" s="60" t="str">
        <f t="shared" si="3"/>
        <v/>
      </c>
    </row>
    <row r="85" spans="1:16" x14ac:dyDescent="0.2">
      <c r="A85" s="373" t="s">
        <v>5</v>
      </c>
      <c r="B85" s="557" t="s">
        <v>40</v>
      </c>
      <c r="C85" s="543" t="s">
        <v>809</v>
      </c>
      <c r="D85" s="532" t="s">
        <v>65</v>
      </c>
      <c r="E85" s="535">
        <v>0.33258987357934588</v>
      </c>
      <c r="F85" s="77" t="s">
        <v>867</v>
      </c>
      <c r="G85" s="94" t="s">
        <v>78</v>
      </c>
      <c r="H85" s="309">
        <v>2</v>
      </c>
      <c r="I85" s="309">
        <v>2</v>
      </c>
      <c r="J85" s="309">
        <v>3</v>
      </c>
      <c r="K85" s="309">
        <v>1</v>
      </c>
      <c r="L85" s="66">
        <v>2</v>
      </c>
      <c r="M85" s="34">
        <f t="shared" si="4"/>
        <v>0.50042652380814845</v>
      </c>
      <c r="N85" s="536">
        <f t="shared" si="2"/>
        <v>0.3772021681554813</v>
      </c>
      <c r="O85" s="34">
        <f t="shared" si="3"/>
        <v>0.3772021681554813</v>
      </c>
    </row>
    <row r="86" spans="1:16" x14ac:dyDescent="0.2">
      <c r="A86" s="100" t="s">
        <v>5</v>
      </c>
      <c r="B86" s="557" t="s">
        <v>40</v>
      </c>
      <c r="C86" s="544" t="s">
        <v>810</v>
      </c>
      <c r="D86" s="532" t="s">
        <v>65</v>
      </c>
      <c r="E86" s="305">
        <v>0</v>
      </c>
      <c r="F86" s="486"/>
      <c r="G86" s="94" t="s">
        <v>78</v>
      </c>
      <c r="H86" s="305"/>
      <c r="I86" s="305"/>
      <c r="J86" s="305"/>
      <c r="K86" s="305"/>
      <c r="L86" s="85"/>
      <c r="M86" s="60" t="str">
        <f t="shared" si="4"/>
        <v/>
      </c>
      <c r="N86" s="534" t="str">
        <f t="shared" si="2"/>
        <v/>
      </c>
      <c r="O86" s="60" t="str">
        <f t="shared" si="3"/>
        <v/>
      </c>
    </row>
    <row r="87" spans="1:16" x14ac:dyDescent="0.2">
      <c r="A87" s="373" t="s">
        <v>5</v>
      </c>
      <c r="B87" s="557" t="s">
        <v>40</v>
      </c>
      <c r="C87" s="545" t="s">
        <v>811</v>
      </c>
      <c r="D87" s="532" t="s">
        <v>65</v>
      </c>
      <c r="E87" s="535">
        <v>0.31905009659619232</v>
      </c>
      <c r="F87" s="77" t="s">
        <v>867</v>
      </c>
      <c r="G87" s="94" t="s">
        <v>78</v>
      </c>
      <c r="H87" s="309">
        <v>2</v>
      </c>
      <c r="I87" s="309">
        <v>2</v>
      </c>
      <c r="J87" s="309">
        <v>1</v>
      </c>
      <c r="K87" s="309">
        <v>1</v>
      </c>
      <c r="L87" s="66">
        <v>2</v>
      </c>
      <c r="M87" s="34">
        <f t="shared" si="4"/>
        <v>0.37356464144298934</v>
      </c>
      <c r="N87" s="536">
        <f t="shared" si="2"/>
        <v>0.17437723017208295</v>
      </c>
      <c r="O87" s="34">
        <f t="shared" si="3"/>
        <v>0.17437723017208295</v>
      </c>
    </row>
    <row r="88" spans="1:16" x14ac:dyDescent="0.2">
      <c r="A88" s="100" t="s">
        <v>5</v>
      </c>
      <c r="B88" s="557" t="s">
        <v>40</v>
      </c>
      <c r="C88" s="546" t="s">
        <v>812</v>
      </c>
      <c r="D88" s="532" t="s">
        <v>65</v>
      </c>
      <c r="E88" s="305">
        <v>0</v>
      </c>
      <c r="G88" s="94" t="s">
        <v>78</v>
      </c>
      <c r="H88" s="305"/>
      <c r="I88" s="305"/>
      <c r="J88" s="305"/>
      <c r="K88" s="305"/>
      <c r="L88" s="85"/>
      <c r="M88" s="60" t="str">
        <f t="shared" si="4"/>
        <v/>
      </c>
      <c r="N88" s="534" t="str">
        <f t="shared" si="2"/>
        <v/>
      </c>
      <c r="O88" s="60" t="str">
        <f t="shared" si="3"/>
        <v/>
      </c>
    </row>
    <row r="89" spans="1:16" x14ac:dyDescent="0.2">
      <c r="A89" s="100" t="s">
        <v>5</v>
      </c>
      <c r="B89" s="557" t="s">
        <v>40</v>
      </c>
      <c r="C89" s="547" t="s">
        <v>813</v>
      </c>
      <c r="D89" s="532" t="s">
        <v>65</v>
      </c>
      <c r="E89" s="305">
        <v>0</v>
      </c>
      <c r="G89" s="94" t="s">
        <v>78</v>
      </c>
      <c r="H89" s="305"/>
      <c r="I89" s="305"/>
      <c r="J89" s="305"/>
      <c r="K89" s="305"/>
      <c r="L89" s="85"/>
      <c r="M89" s="60" t="str">
        <f t="shared" si="4"/>
        <v/>
      </c>
      <c r="N89" s="534" t="str">
        <f t="shared" si="2"/>
        <v/>
      </c>
      <c r="O89" s="60" t="str">
        <f t="shared" si="3"/>
        <v/>
      </c>
    </row>
    <row r="90" spans="1:16" s="565" customFormat="1" x14ac:dyDescent="0.2">
      <c r="A90" s="558" t="s">
        <v>5</v>
      </c>
      <c r="B90" s="559" t="s">
        <v>855</v>
      </c>
      <c r="C90" s="555" t="s">
        <v>65</v>
      </c>
      <c r="D90" s="560" t="s">
        <v>65</v>
      </c>
      <c r="E90" s="561">
        <v>0.1</v>
      </c>
      <c r="F90" s="562" t="s">
        <v>81</v>
      </c>
      <c r="G90" s="563" t="s">
        <v>78</v>
      </c>
      <c r="H90" s="564">
        <v>2</v>
      </c>
      <c r="I90" s="105">
        <v>2</v>
      </c>
      <c r="J90" s="105">
        <v>2</v>
      </c>
      <c r="K90" s="105">
        <v>3</v>
      </c>
      <c r="L90" s="105">
        <v>3</v>
      </c>
      <c r="M90" s="106">
        <v>2</v>
      </c>
      <c r="N90" s="536">
        <f t="shared" si="2"/>
        <v>0.60108474454521421</v>
      </c>
      <c r="O90" s="34">
        <f t="shared" si="3"/>
        <v>0.60108474454521421</v>
      </c>
      <c r="P90" s="109"/>
    </row>
    <row r="91" spans="1:16" x14ac:dyDescent="0.2">
      <c r="A91" s="4" t="s">
        <v>7</v>
      </c>
      <c r="B91" s="566" t="s">
        <v>13</v>
      </c>
      <c r="C91" s="543" t="s">
        <v>809</v>
      </c>
      <c r="D91" s="532" t="s">
        <v>65</v>
      </c>
      <c r="E91" s="567">
        <v>0</v>
      </c>
      <c r="F91" s="77" t="s">
        <v>868</v>
      </c>
      <c r="G91" s="94" t="s">
        <v>78</v>
      </c>
      <c r="H91" s="533"/>
      <c r="I91" s="305"/>
      <c r="J91" s="305"/>
      <c r="K91" s="305"/>
      <c r="L91" s="305"/>
      <c r="M91" s="85"/>
      <c r="N91" s="534" t="str">
        <f t="shared" si="2"/>
        <v/>
      </c>
      <c r="O91" s="60" t="str">
        <f t="shared" si="3"/>
        <v/>
      </c>
    </row>
    <row r="92" spans="1:16" x14ac:dyDescent="0.2">
      <c r="A92" s="4" t="s">
        <v>7</v>
      </c>
      <c r="B92" s="566" t="s">
        <v>13</v>
      </c>
      <c r="C92" s="544" t="s">
        <v>810</v>
      </c>
      <c r="D92" s="532" t="s">
        <v>65</v>
      </c>
      <c r="E92" s="567">
        <v>0</v>
      </c>
      <c r="F92" s="77" t="s">
        <v>868</v>
      </c>
      <c r="G92" s="94" t="s">
        <v>78</v>
      </c>
      <c r="H92" s="533"/>
      <c r="I92" s="305"/>
      <c r="J92" s="305"/>
      <c r="K92" s="305"/>
      <c r="L92" s="305"/>
      <c r="M92" s="85"/>
      <c r="N92" s="534" t="str">
        <f t="shared" si="2"/>
        <v/>
      </c>
      <c r="O92" s="60" t="str">
        <f t="shared" si="3"/>
        <v/>
      </c>
    </row>
    <row r="93" spans="1:16" x14ac:dyDescent="0.2">
      <c r="A93" s="4" t="s">
        <v>7</v>
      </c>
      <c r="B93" s="566" t="s">
        <v>13</v>
      </c>
      <c r="C93" s="545" t="s">
        <v>811</v>
      </c>
      <c r="D93" s="532" t="s">
        <v>65</v>
      </c>
      <c r="E93" s="551">
        <v>0.64300000000000002</v>
      </c>
      <c r="F93" s="77" t="s">
        <v>868</v>
      </c>
      <c r="G93" s="94" t="s">
        <v>78</v>
      </c>
      <c r="H93" s="64">
        <v>2</v>
      </c>
      <c r="I93" s="309">
        <v>2</v>
      </c>
      <c r="J93" s="309">
        <v>2</v>
      </c>
      <c r="K93" s="309">
        <v>1</v>
      </c>
      <c r="L93" s="309">
        <v>1</v>
      </c>
      <c r="M93" s="66">
        <v>2</v>
      </c>
      <c r="N93" s="536">
        <f t="shared" si="2"/>
        <v>0.37356464144298934</v>
      </c>
      <c r="O93" s="34">
        <f t="shared" si="3"/>
        <v>0.37356464144298934</v>
      </c>
    </row>
    <row r="94" spans="1:16" x14ac:dyDescent="0.2">
      <c r="A94" s="4" t="s">
        <v>7</v>
      </c>
      <c r="B94" s="566" t="s">
        <v>13</v>
      </c>
      <c r="C94" s="546" t="s">
        <v>812</v>
      </c>
      <c r="D94" s="532" t="s">
        <v>65</v>
      </c>
      <c r="E94" s="567">
        <v>0</v>
      </c>
      <c r="F94" s="77" t="s">
        <v>868</v>
      </c>
      <c r="G94" s="94" t="s">
        <v>78</v>
      </c>
      <c r="H94" s="533"/>
      <c r="I94" s="305"/>
      <c r="J94" s="305"/>
      <c r="K94" s="305"/>
      <c r="L94" s="305"/>
      <c r="M94" s="85"/>
      <c r="N94" s="534" t="str">
        <f t="shared" si="2"/>
        <v/>
      </c>
      <c r="O94" s="60" t="str">
        <f t="shared" si="3"/>
        <v/>
      </c>
    </row>
    <row r="95" spans="1:16" x14ac:dyDescent="0.2">
      <c r="A95" s="4" t="s">
        <v>7</v>
      </c>
      <c r="B95" s="566" t="s">
        <v>13</v>
      </c>
      <c r="C95" s="547" t="s">
        <v>813</v>
      </c>
      <c r="D95" s="532" t="s">
        <v>65</v>
      </c>
      <c r="E95" s="567">
        <v>0</v>
      </c>
      <c r="F95" s="77" t="s">
        <v>868</v>
      </c>
      <c r="G95" s="94" t="s">
        <v>78</v>
      </c>
      <c r="H95" s="533"/>
      <c r="I95" s="305"/>
      <c r="J95" s="305"/>
      <c r="K95" s="305"/>
      <c r="L95" s="305"/>
      <c r="M95" s="85"/>
      <c r="N95" s="534" t="str">
        <f t="shared" si="2"/>
        <v/>
      </c>
      <c r="O95" s="60" t="str">
        <f t="shared" si="3"/>
        <v/>
      </c>
    </row>
    <row r="96" spans="1:16" x14ac:dyDescent="0.2">
      <c r="A96" s="4" t="s">
        <v>7</v>
      </c>
      <c r="B96" s="566" t="s">
        <v>14</v>
      </c>
      <c r="C96" s="543" t="s">
        <v>809</v>
      </c>
      <c r="D96" s="532" t="s">
        <v>65</v>
      </c>
      <c r="E96" s="567">
        <v>0</v>
      </c>
      <c r="F96" s="77" t="s">
        <v>868</v>
      </c>
      <c r="G96" s="94" t="s">
        <v>78</v>
      </c>
      <c r="H96" s="533"/>
      <c r="I96" s="305"/>
      <c r="J96" s="305"/>
      <c r="K96" s="305"/>
      <c r="L96" s="305"/>
      <c r="M96" s="85"/>
      <c r="N96" s="534" t="str">
        <f t="shared" si="2"/>
        <v/>
      </c>
      <c r="O96" s="60" t="str">
        <f t="shared" si="3"/>
        <v/>
      </c>
    </row>
    <row r="97" spans="1:15" x14ac:dyDescent="0.2">
      <c r="A97" s="4" t="s">
        <v>7</v>
      </c>
      <c r="B97" s="566" t="s">
        <v>14</v>
      </c>
      <c r="C97" s="544" t="s">
        <v>810</v>
      </c>
      <c r="D97" s="532" t="s">
        <v>65</v>
      </c>
      <c r="E97" s="567">
        <v>0</v>
      </c>
      <c r="F97" s="77" t="s">
        <v>868</v>
      </c>
      <c r="G97" s="94" t="s">
        <v>78</v>
      </c>
      <c r="H97" s="533"/>
      <c r="I97" s="305"/>
      <c r="J97" s="305"/>
      <c r="K97" s="305"/>
      <c r="L97" s="305"/>
      <c r="M97" s="85"/>
      <c r="N97" s="534" t="str">
        <f t="shared" si="2"/>
        <v/>
      </c>
      <c r="O97" s="60" t="str">
        <f t="shared" si="3"/>
        <v/>
      </c>
    </row>
    <row r="98" spans="1:15" x14ac:dyDescent="0.2">
      <c r="A98" s="4" t="s">
        <v>7</v>
      </c>
      <c r="B98" s="566" t="s">
        <v>14</v>
      </c>
      <c r="C98" s="545" t="s">
        <v>811</v>
      </c>
      <c r="D98" s="532" t="s">
        <v>65</v>
      </c>
      <c r="E98" s="551">
        <v>0.28299999999999997</v>
      </c>
      <c r="F98" s="77" t="s">
        <v>868</v>
      </c>
      <c r="G98" s="94" t="s">
        <v>78</v>
      </c>
      <c r="H98" s="64">
        <v>2</v>
      </c>
      <c r="I98" s="309">
        <v>2</v>
      </c>
      <c r="J98" s="309">
        <v>2</v>
      </c>
      <c r="K98" s="309">
        <v>1</v>
      </c>
      <c r="L98" s="309">
        <v>1</v>
      </c>
      <c r="M98" s="66">
        <v>2</v>
      </c>
      <c r="N98" s="536">
        <f t="shared" si="2"/>
        <v>0.37356464144298934</v>
      </c>
      <c r="O98" s="34">
        <f t="shared" si="3"/>
        <v>0.37356464144298934</v>
      </c>
    </row>
    <row r="99" spans="1:15" x14ac:dyDescent="0.2">
      <c r="A99" s="4" t="s">
        <v>7</v>
      </c>
      <c r="B99" s="566" t="s">
        <v>14</v>
      </c>
      <c r="C99" s="546" t="s">
        <v>812</v>
      </c>
      <c r="D99" s="532" t="s">
        <v>65</v>
      </c>
      <c r="E99" s="567">
        <v>0</v>
      </c>
      <c r="F99" s="77" t="s">
        <v>868</v>
      </c>
      <c r="G99" s="94" t="s">
        <v>78</v>
      </c>
      <c r="H99" s="533"/>
      <c r="I99" s="305"/>
      <c r="J99" s="305"/>
      <c r="K99" s="305"/>
      <c r="L99" s="305"/>
      <c r="M99" s="85"/>
      <c r="N99" s="534" t="str">
        <f t="shared" si="2"/>
        <v/>
      </c>
      <c r="O99" s="60" t="str">
        <f t="shared" si="3"/>
        <v/>
      </c>
    </row>
    <row r="100" spans="1:15" x14ac:dyDescent="0.2">
      <c r="A100" s="4" t="s">
        <v>7</v>
      </c>
      <c r="B100" s="566" t="s">
        <v>14</v>
      </c>
      <c r="C100" s="547" t="s">
        <v>813</v>
      </c>
      <c r="D100" s="532" t="s">
        <v>65</v>
      </c>
      <c r="E100" s="567">
        <v>0</v>
      </c>
      <c r="F100" s="77" t="s">
        <v>868</v>
      </c>
      <c r="G100" s="94" t="s">
        <v>78</v>
      </c>
      <c r="H100" s="533"/>
      <c r="I100" s="305"/>
      <c r="J100" s="305"/>
      <c r="K100" s="305"/>
      <c r="L100" s="305"/>
      <c r="M100" s="85"/>
      <c r="N100" s="534" t="str">
        <f t="shared" si="2"/>
        <v/>
      </c>
      <c r="O100" s="60" t="str">
        <f t="shared" si="3"/>
        <v/>
      </c>
    </row>
    <row r="101" spans="1:15" x14ac:dyDescent="0.2">
      <c r="A101" s="4" t="s">
        <v>7</v>
      </c>
      <c r="B101" s="566" t="s">
        <v>16</v>
      </c>
      <c r="C101" s="543" t="s">
        <v>809</v>
      </c>
      <c r="D101" s="532" t="s">
        <v>65</v>
      </c>
      <c r="E101" s="568">
        <v>0.5</v>
      </c>
      <c r="F101" s="77" t="s">
        <v>868</v>
      </c>
      <c r="G101" s="94" t="s">
        <v>78</v>
      </c>
      <c r="H101" s="64">
        <v>2</v>
      </c>
      <c r="I101" s="309">
        <v>2</v>
      </c>
      <c r="J101" s="309">
        <v>2</v>
      </c>
      <c r="K101" s="309">
        <v>1</v>
      </c>
      <c r="L101" s="309">
        <v>1</v>
      </c>
      <c r="M101" s="66">
        <v>3</v>
      </c>
      <c r="N101" s="536">
        <f t="shared" si="2"/>
        <v>1.0248662490928169</v>
      </c>
      <c r="O101" s="34">
        <f t="shared" si="3"/>
        <v>1.0248662490928169</v>
      </c>
    </row>
    <row r="102" spans="1:15" x14ac:dyDescent="0.2">
      <c r="A102" s="4" t="s">
        <v>7</v>
      </c>
      <c r="B102" s="566" t="s">
        <v>16</v>
      </c>
      <c r="C102" s="544" t="s">
        <v>810</v>
      </c>
      <c r="D102" s="532" t="s">
        <v>65</v>
      </c>
      <c r="E102" s="567">
        <v>0</v>
      </c>
      <c r="F102" s="77" t="s">
        <v>868</v>
      </c>
      <c r="G102" s="94" t="s">
        <v>78</v>
      </c>
      <c r="H102" s="533"/>
      <c r="I102" s="305"/>
      <c r="J102" s="305"/>
      <c r="K102" s="305"/>
      <c r="L102" s="305"/>
      <c r="M102" s="85"/>
      <c r="N102" s="534" t="str">
        <f t="shared" si="2"/>
        <v/>
      </c>
      <c r="O102" s="60" t="str">
        <f t="shared" si="3"/>
        <v/>
      </c>
    </row>
    <row r="103" spans="1:15" x14ac:dyDescent="0.2">
      <c r="A103" s="4" t="s">
        <v>7</v>
      </c>
      <c r="B103" s="566" t="s">
        <v>16</v>
      </c>
      <c r="C103" s="545" t="s">
        <v>811</v>
      </c>
      <c r="D103" s="532" t="s">
        <v>65</v>
      </c>
      <c r="E103" s="568">
        <v>4.3999999999999997E-2</v>
      </c>
      <c r="F103" s="77" t="s">
        <v>868</v>
      </c>
      <c r="G103" s="94" t="s">
        <v>78</v>
      </c>
      <c r="H103" s="64">
        <v>2</v>
      </c>
      <c r="I103" s="309">
        <v>2</v>
      </c>
      <c r="J103" s="309">
        <v>2</v>
      </c>
      <c r="K103" s="309">
        <v>1</v>
      </c>
      <c r="L103" s="309">
        <v>1</v>
      </c>
      <c r="M103" s="66">
        <v>2</v>
      </c>
      <c r="N103" s="536">
        <f t="shared" si="2"/>
        <v>0.37356464144298934</v>
      </c>
      <c r="O103" s="34">
        <f t="shared" si="3"/>
        <v>0.37356464144298934</v>
      </c>
    </row>
    <row r="104" spans="1:15" x14ac:dyDescent="0.2">
      <c r="A104" s="4" t="s">
        <v>7</v>
      </c>
      <c r="B104" s="566" t="s">
        <v>16</v>
      </c>
      <c r="C104" s="546" t="s">
        <v>812</v>
      </c>
      <c r="D104" s="532" t="s">
        <v>65</v>
      </c>
      <c r="E104" s="567">
        <v>0</v>
      </c>
      <c r="F104" s="77" t="s">
        <v>868</v>
      </c>
      <c r="G104" s="94" t="s">
        <v>78</v>
      </c>
      <c r="H104" s="533"/>
      <c r="I104" s="305"/>
      <c r="J104" s="305"/>
      <c r="K104" s="305"/>
      <c r="L104" s="305"/>
      <c r="M104" s="85"/>
      <c r="N104" s="534" t="str">
        <f t="shared" si="2"/>
        <v/>
      </c>
      <c r="O104" s="60" t="str">
        <f t="shared" si="3"/>
        <v/>
      </c>
    </row>
    <row r="105" spans="1:15" x14ac:dyDescent="0.2">
      <c r="A105" s="4" t="s">
        <v>7</v>
      </c>
      <c r="B105" s="566" t="s">
        <v>16</v>
      </c>
      <c r="C105" s="547" t="s">
        <v>813</v>
      </c>
      <c r="D105" s="532" t="s">
        <v>65</v>
      </c>
      <c r="E105" s="567">
        <v>0</v>
      </c>
      <c r="F105" s="77" t="s">
        <v>868</v>
      </c>
      <c r="G105" s="94" t="s">
        <v>78</v>
      </c>
      <c r="H105" s="533"/>
      <c r="I105" s="305"/>
      <c r="J105" s="305"/>
      <c r="K105" s="305"/>
      <c r="L105" s="305"/>
      <c r="M105" s="85"/>
      <c r="N105" s="534" t="str">
        <f t="shared" si="2"/>
        <v/>
      </c>
      <c r="O105" s="60" t="str">
        <f t="shared" si="3"/>
        <v/>
      </c>
    </row>
    <row r="106" spans="1:15" x14ac:dyDescent="0.2">
      <c r="A106" s="374" t="s">
        <v>7</v>
      </c>
      <c r="B106" s="566" t="s">
        <v>17</v>
      </c>
      <c r="C106" s="543" t="s">
        <v>809</v>
      </c>
      <c r="D106" s="532" t="s">
        <v>65</v>
      </c>
      <c r="E106" s="567">
        <v>0</v>
      </c>
      <c r="F106" s="77" t="s">
        <v>868</v>
      </c>
      <c r="G106" s="94" t="s">
        <v>78</v>
      </c>
      <c r="H106" s="533"/>
      <c r="I106" s="305"/>
      <c r="J106" s="305"/>
      <c r="K106" s="305"/>
      <c r="L106" s="305"/>
      <c r="M106" s="85"/>
      <c r="N106" s="534" t="str">
        <f t="shared" si="2"/>
        <v/>
      </c>
      <c r="O106" s="60" t="str">
        <f t="shared" si="3"/>
        <v/>
      </c>
    </row>
    <row r="107" spans="1:15" x14ac:dyDescent="0.2">
      <c r="A107" s="4" t="s">
        <v>7</v>
      </c>
      <c r="B107" s="566" t="s">
        <v>17</v>
      </c>
      <c r="C107" s="544" t="s">
        <v>810</v>
      </c>
      <c r="D107" s="532" t="s">
        <v>65</v>
      </c>
      <c r="E107" s="567">
        <v>0</v>
      </c>
      <c r="F107" s="77" t="s">
        <v>868</v>
      </c>
      <c r="G107" s="94" t="s">
        <v>78</v>
      </c>
      <c r="H107" s="533"/>
      <c r="I107" s="305"/>
      <c r="J107" s="305"/>
      <c r="K107" s="305"/>
      <c r="L107" s="305"/>
      <c r="M107" s="85"/>
      <c r="N107" s="534" t="str">
        <f t="shared" si="2"/>
        <v/>
      </c>
      <c r="O107" s="60" t="str">
        <f t="shared" si="3"/>
        <v/>
      </c>
    </row>
    <row r="108" spans="1:15" x14ac:dyDescent="0.2">
      <c r="A108" s="4" t="s">
        <v>7</v>
      </c>
      <c r="B108" s="566" t="s">
        <v>17</v>
      </c>
      <c r="C108" s="545" t="s">
        <v>811</v>
      </c>
      <c r="D108" s="532" t="s">
        <v>65</v>
      </c>
      <c r="E108" s="568">
        <v>0.03</v>
      </c>
      <c r="F108" s="77" t="s">
        <v>868</v>
      </c>
      <c r="G108" s="94" t="s">
        <v>78</v>
      </c>
      <c r="H108" s="64">
        <v>2</v>
      </c>
      <c r="I108" s="309">
        <v>2</v>
      </c>
      <c r="J108" s="309">
        <v>2</v>
      </c>
      <c r="K108" s="309">
        <v>1</v>
      </c>
      <c r="L108" s="309">
        <v>1</v>
      </c>
      <c r="M108" s="66">
        <v>2</v>
      </c>
      <c r="N108" s="536">
        <f t="shared" si="2"/>
        <v>0.37356464144298934</v>
      </c>
      <c r="O108" s="34">
        <f t="shared" si="3"/>
        <v>0.37356464144298934</v>
      </c>
    </row>
    <row r="109" spans="1:15" x14ac:dyDescent="0.2">
      <c r="A109" s="4" t="s">
        <v>7</v>
      </c>
      <c r="B109" s="566" t="s">
        <v>17</v>
      </c>
      <c r="C109" s="546" t="s">
        <v>812</v>
      </c>
      <c r="D109" s="532" t="s">
        <v>65</v>
      </c>
      <c r="E109" s="567">
        <v>0</v>
      </c>
      <c r="F109" s="77" t="s">
        <v>868</v>
      </c>
      <c r="G109" s="94" t="s">
        <v>78</v>
      </c>
      <c r="H109" s="533"/>
      <c r="I109" s="305"/>
      <c r="J109" s="305"/>
      <c r="K109" s="305"/>
      <c r="L109" s="305"/>
      <c r="M109" s="85"/>
      <c r="N109" s="534" t="str">
        <f t="shared" si="2"/>
        <v/>
      </c>
      <c r="O109" s="60" t="str">
        <f t="shared" si="3"/>
        <v/>
      </c>
    </row>
    <row r="110" spans="1:15" x14ac:dyDescent="0.2">
      <c r="A110" s="4" t="s">
        <v>7</v>
      </c>
      <c r="B110" s="566" t="s">
        <v>17</v>
      </c>
      <c r="C110" s="547" t="s">
        <v>813</v>
      </c>
      <c r="D110" s="532" t="s">
        <v>65</v>
      </c>
      <c r="E110" s="567">
        <v>0</v>
      </c>
      <c r="F110" s="77" t="s">
        <v>868</v>
      </c>
      <c r="G110" s="94" t="s">
        <v>78</v>
      </c>
      <c r="H110" s="533"/>
      <c r="I110" s="305"/>
      <c r="J110" s="305"/>
      <c r="K110" s="305"/>
      <c r="L110" s="305"/>
      <c r="M110" s="85"/>
      <c r="N110" s="534" t="str">
        <f t="shared" si="2"/>
        <v/>
      </c>
      <c r="O110" s="60" t="str">
        <f t="shared" si="3"/>
        <v/>
      </c>
    </row>
    <row r="111" spans="1:15" x14ac:dyDescent="0.2">
      <c r="A111" s="4" t="s">
        <v>7</v>
      </c>
      <c r="B111" s="566" t="s">
        <v>18</v>
      </c>
      <c r="C111" s="543" t="s">
        <v>809</v>
      </c>
      <c r="D111" s="532" t="s">
        <v>65</v>
      </c>
      <c r="E111" s="567">
        <v>0</v>
      </c>
      <c r="F111" s="77" t="s">
        <v>868</v>
      </c>
      <c r="G111" s="94" t="s">
        <v>78</v>
      </c>
      <c r="H111" s="533"/>
      <c r="I111" s="305"/>
      <c r="J111" s="305"/>
      <c r="K111" s="305"/>
      <c r="L111" s="305"/>
      <c r="M111" s="85"/>
      <c r="N111" s="534" t="str">
        <f t="shared" si="2"/>
        <v/>
      </c>
      <c r="O111" s="60" t="str">
        <f t="shared" si="3"/>
        <v/>
      </c>
    </row>
    <row r="112" spans="1:15" x14ac:dyDescent="0.2">
      <c r="A112" s="4" t="s">
        <v>7</v>
      </c>
      <c r="B112" s="566" t="s">
        <v>18</v>
      </c>
      <c r="C112" s="544" t="s">
        <v>810</v>
      </c>
      <c r="D112" s="532" t="s">
        <v>65</v>
      </c>
      <c r="E112" s="567">
        <v>0</v>
      </c>
      <c r="F112" s="77" t="s">
        <v>868</v>
      </c>
      <c r="G112" s="94" t="s">
        <v>78</v>
      </c>
      <c r="H112" s="533"/>
      <c r="I112" s="305"/>
      <c r="J112" s="305"/>
      <c r="K112" s="305"/>
      <c r="L112" s="305"/>
      <c r="M112" s="85"/>
      <c r="N112" s="534" t="str">
        <f t="shared" si="2"/>
        <v/>
      </c>
      <c r="O112" s="60" t="str">
        <f t="shared" si="3"/>
        <v/>
      </c>
    </row>
    <row r="113" spans="1:16" x14ac:dyDescent="0.2">
      <c r="A113" s="4" t="s">
        <v>7</v>
      </c>
      <c r="B113" s="566" t="s">
        <v>18</v>
      </c>
      <c r="C113" s="545" t="s">
        <v>811</v>
      </c>
      <c r="D113" s="532" t="s">
        <v>65</v>
      </c>
      <c r="E113" s="567">
        <v>0</v>
      </c>
      <c r="F113" s="77" t="s">
        <v>868</v>
      </c>
      <c r="G113" s="94" t="s">
        <v>78</v>
      </c>
      <c r="H113" s="533"/>
      <c r="I113" s="305"/>
      <c r="J113" s="305"/>
      <c r="K113" s="305"/>
      <c r="L113" s="305"/>
      <c r="M113" s="85"/>
      <c r="N113" s="534" t="str">
        <f t="shared" si="2"/>
        <v/>
      </c>
      <c r="O113" s="60" t="str">
        <f t="shared" si="3"/>
        <v/>
      </c>
    </row>
    <row r="114" spans="1:16" x14ac:dyDescent="0.2">
      <c r="A114" s="4" t="s">
        <v>7</v>
      </c>
      <c r="B114" s="566" t="s">
        <v>18</v>
      </c>
      <c r="C114" s="546" t="s">
        <v>812</v>
      </c>
      <c r="D114" s="532" t="s">
        <v>65</v>
      </c>
      <c r="E114" s="567">
        <v>0</v>
      </c>
      <c r="F114" s="77" t="s">
        <v>868</v>
      </c>
      <c r="G114" s="94" t="s">
        <v>78</v>
      </c>
      <c r="H114" s="533"/>
      <c r="I114" s="305"/>
      <c r="J114" s="305"/>
      <c r="K114" s="305"/>
      <c r="L114" s="305"/>
      <c r="M114" s="85"/>
      <c r="N114" s="534" t="str">
        <f t="shared" si="2"/>
        <v/>
      </c>
      <c r="O114" s="60" t="str">
        <f t="shared" si="3"/>
        <v/>
      </c>
    </row>
    <row r="115" spans="1:16" x14ac:dyDescent="0.2">
      <c r="A115" s="4" t="s">
        <v>7</v>
      </c>
      <c r="B115" s="566" t="s">
        <v>18</v>
      </c>
      <c r="C115" s="547" t="s">
        <v>813</v>
      </c>
      <c r="D115" s="532" t="s">
        <v>65</v>
      </c>
      <c r="E115" s="567">
        <v>0</v>
      </c>
      <c r="F115" s="77" t="s">
        <v>868</v>
      </c>
      <c r="G115" s="94" t="s">
        <v>78</v>
      </c>
      <c r="H115" s="533"/>
      <c r="I115" s="305"/>
      <c r="J115" s="305"/>
      <c r="K115" s="305"/>
      <c r="L115" s="305"/>
      <c r="M115" s="85"/>
      <c r="N115" s="534" t="str">
        <f t="shared" si="2"/>
        <v/>
      </c>
      <c r="O115" s="60" t="str">
        <f t="shared" si="3"/>
        <v/>
      </c>
    </row>
    <row r="116" spans="1:16" x14ac:dyDescent="0.2">
      <c r="A116" s="374" t="s">
        <v>7</v>
      </c>
      <c r="B116" s="566" t="s">
        <v>19</v>
      </c>
      <c r="C116" s="543" t="s">
        <v>809</v>
      </c>
      <c r="D116" s="532" t="s">
        <v>65</v>
      </c>
      <c r="E116" s="567">
        <v>0</v>
      </c>
      <c r="F116" s="77" t="s">
        <v>868</v>
      </c>
      <c r="G116" s="94" t="s">
        <v>78</v>
      </c>
      <c r="H116" s="533"/>
      <c r="I116" s="305"/>
      <c r="J116" s="305"/>
      <c r="K116" s="305"/>
      <c r="L116" s="305"/>
      <c r="M116" s="85"/>
      <c r="N116" s="534" t="str">
        <f t="shared" si="2"/>
        <v/>
      </c>
      <c r="O116" s="60" t="str">
        <f t="shared" si="3"/>
        <v/>
      </c>
    </row>
    <row r="117" spans="1:16" x14ac:dyDescent="0.2">
      <c r="A117" s="4" t="s">
        <v>7</v>
      </c>
      <c r="B117" s="566" t="s">
        <v>19</v>
      </c>
      <c r="C117" s="544" t="s">
        <v>810</v>
      </c>
      <c r="D117" s="532" t="s">
        <v>65</v>
      </c>
      <c r="E117" s="567">
        <v>0</v>
      </c>
      <c r="F117" s="77" t="s">
        <v>868</v>
      </c>
      <c r="G117" s="94" t="s">
        <v>78</v>
      </c>
      <c r="H117" s="533"/>
      <c r="I117" s="305"/>
      <c r="J117" s="305"/>
      <c r="K117" s="305"/>
      <c r="L117" s="305"/>
      <c r="M117" s="85"/>
      <c r="N117" s="534" t="str">
        <f t="shared" si="2"/>
        <v/>
      </c>
      <c r="O117" s="60" t="str">
        <f t="shared" si="3"/>
        <v/>
      </c>
    </row>
    <row r="118" spans="1:16" x14ac:dyDescent="0.2">
      <c r="A118" s="4" t="s">
        <v>7</v>
      </c>
      <c r="B118" s="566" t="s">
        <v>19</v>
      </c>
      <c r="C118" s="545" t="s">
        <v>811</v>
      </c>
      <c r="D118" s="532" t="s">
        <v>65</v>
      </c>
      <c r="E118" s="567">
        <v>0</v>
      </c>
      <c r="F118" s="77" t="s">
        <v>868</v>
      </c>
      <c r="G118" s="94" t="s">
        <v>78</v>
      </c>
      <c r="H118" s="533"/>
      <c r="I118" s="305"/>
      <c r="J118" s="305"/>
      <c r="K118" s="305"/>
      <c r="L118" s="305"/>
      <c r="M118" s="85"/>
      <c r="N118" s="534" t="str">
        <f t="shared" si="2"/>
        <v/>
      </c>
      <c r="O118" s="60" t="str">
        <f t="shared" si="3"/>
        <v/>
      </c>
      <c r="P118" s="158"/>
    </row>
    <row r="119" spans="1:16" x14ac:dyDescent="0.2">
      <c r="A119" s="4" t="s">
        <v>7</v>
      </c>
      <c r="B119" s="566" t="s">
        <v>19</v>
      </c>
      <c r="C119" s="546" t="s">
        <v>812</v>
      </c>
      <c r="D119" s="532" t="s">
        <v>65</v>
      </c>
      <c r="E119" s="567">
        <v>0</v>
      </c>
      <c r="F119" s="77" t="s">
        <v>868</v>
      </c>
      <c r="G119" s="94" t="s">
        <v>78</v>
      </c>
      <c r="H119" s="533"/>
      <c r="I119" s="305"/>
      <c r="J119" s="305"/>
      <c r="K119" s="305"/>
      <c r="L119" s="305"/>
      <c r="M119" s="85"/>
      <c r="N119" s="534" t="str">
        <f t="shared" si="2"/>
        <v/>
      </c>
      <c r="O119" s="60" t="str">
        <f t="shared" si="3"/>
        <v/>
      </c>
    </row>
    <row r="120" spans="1:16" x14ac:dyDescent="0.2">
      <c r="A120" s="4" t="s">
        <v>7</v>
      </c>
      <c r="B120" s="566" t="s">
        <v>19</v>
      </c>
      <c r="C120" s="547" t="s">
        <v>813</v>
      </c>
      <c r="D120" s="532" t="s">
        <v>65</v>
      </c>
      <c r="E120" s="567">
        <v>0</v>
      </c>
      <c r="F120" s="77" t="s">
        <v>868</v>
      </c>
      <c r="G120" s="94" t="s">
        <v>78</v>
      </c>
      <c r="H120" s="533"/>
      <c r="I120" s="305"/>
      <c r="J120" s="305"/>
      <c r="K120" s="305"/>
      <c r="L120" s="305"/>
      <c r="M120" s="85"/>
      <c r="N120" s="534" t="str">
        <f t="shared" si="2"/>
        <v/>
      </c>
      <c r="O120" s="60" t="str">
        <f t="shared" si="3"/>
        <v/>
      </c>
    </row>
    <row r="121" spans="1:16" x14ac:dyDescent="0.2">
      <c r="A121" s="4" t="s">
        <v>7</v>
      </c>
      <c r="B121" s="566" t="s">
        <v>20</v>
      </c>
      <c r="C121" s="543" t="s">
        <v>809</v>
      </c>
      <c r="D121" s="532" t="s">
        <v>65</v>
      </c>
      <c r="E121" s="567">
        <v>0</v>
      </c>
      <c r="F121" s="77" t="s">
        <v>868</v>
      </c>
      <c r="G121" s="94" t="s">
        <v>78</v>
      </c>
      <c r="H121" s="533"/>
      <c r="I121" s="305"/>
      <c r="J121" s="305"/>
      <c r="K121" s="305"/>
      <c r="L121" s="305"/>
      <c r="M121" s="85"/>
      <c r="N121" s="534" t="str">
        <f t="shared" si="2"/>
        <v/>
      </c>
      <c r="O121" s="60" t="str">
        <f t="shared" si="3"/>
        <v/>
      </c>
    </row>
    <row r="122" spans="1:16" x14ac:dyDescent="0.2">
      <c r="A122" s="4" t="s">
        <v>7</v>
      </c>
      <c r="B122" s="566" t="s">
        <v>20</v>
      </c>
      <c r="C122" s="544" t="s">
        <v>810</v>
      </c>
      <c r="D122" s="532" t="s">
        <v>65</v>
      </c>
      <c r="E122" s="567">
        <v>0</v>
      </c>
      <c r="F122" s="77" t="s">
        <v>868</v>
      </c>
      <c r="G122" s="94" t="s">
        <v>78</v>
      </c>
      <c r="H122" s="533"/>
      <c r="I122" s="305"/>
      <c r="J122" s="305"/>
      <c r="K122" s="305"/>
      <c r="L122" s="305"/>
      <c r="M122" s="85"/>
      <c r="N122" s="534" t="str">
        <f t="shared" si="2"/>
        <v/>
      </c>
      <c r="O122" s="60" t="str">
        <f t="shared" si="3"/>
        <v/>
      </c>
    </row>
    <row r="123" spans="1:16" x14ac:dyDescent="0.2">
      <c r="A123" s="4" t="s">
        <v>7</v>
      </c>
      <c r="B123" s="566" t="s">
        <v>20</v>
      </c>
      <c r="C123" s="545" t="s">
        <v>811</v>
      </c>
      <c r="D123" s="532" t="s">
        <v>65</v>
      </c>
      <c r="E123" s="567">
        <v>0</v>
      </c>
      <c r="F123" s="77" t="s">
        <v>868</v>
      </c>
      <c r="G123" s="94" t="s">
        <v>78</v>
      </c>
      <c r="H123" s="533"/>
      <c r="I123" s="305"/>
      <c r="J123" s="305"/>
      <c r="K123" s="305"/>
      <c r="L123" s="305"/>
      <c r="M123" s="85"/>
      <c r="N123" s="534" t="str">
        <f t="shared" si="2"/>
        <v/>
      </c>
      <c r="O123" s="60" t="str">
        <f t="shared" si="3"/>
        <v/>
      </c>
    </row>
    <row r="124" spans="1:16" x14ac:dyDescent="0.2">
      <c r="A124" s="4" t="s">
        <v>7</v>
      </c>
      <c r="B124" s="566" t="s">
        <v>20</v>
      </c>
      <c r="C124" s="546" t="s">
        <v>812</v>
      </c>
      <c r="D124" s="532" t="s">
        <v>65</v>
      </c>
      <c r="E124" s="567">
        <v>0</v>
      </c>
      <c r="F124" s="77" t="s">
        <v>868</v>
      </c>
      <c r="G124" s="94" t="s">
        <v>78</v>
      </c>
      <c r="H124" s="533"/>
      <c r="I124" s="305"/>
      <c r="J124" s="305"/>
      <c r="K124" s="305"/>
      <c r="L124" s="305"/>
      <c r="M124" s="85"/>
      <c r="N124" s="534" t="str">
        <f t="shared" si="2"/>
        <v/>
      </c>
      <c r="O124" s="60" t="str">
        <f t="shared" si="3"/>
        <v/>
      </c>
    </row>
    <row r="125" spans="1:16" x14ac:dyDescent="0.2">
      <c r="A125" s="4" t="s">
        <v>7</v>
      </c>
      <c r="B125" s="566" t="s">
        <v>20</v>
      </c>
      <c r="C125" s="547" t="s">
        <v>813</v>
      </c>
      <c r="D125" s="532" t="s">
        <v>65</v>
      </c>
      <c r="E125" s="567">
        <v>0</v>
      </c>
      <c r="F125" s="77" t="s">
        <v>868</v>
      </c>
      <c r="G125" s="94" t="s">
        <v>78</v>
      </c>
      <c r="H125" s="533"/>
      <c r="I125" s="305"/>
      <c r="J125" s="305"/>
      <c r="K125" s="305"/>
      <c r="L125" s="305"/>
      <c r="M125" s="85"/>
      <c r="N125" s="534" t="str">
        <f t="shared" si="2"/>
        <v/>
      </c>
      <c r="O125" s="60" t="str">
        <f t="shared" si="3"/>
        <v/>
      </c>
    </row>
    <row r="126" spans="1:16" x14ac:dyDescent="0.2">
      <c r="A126" s="374" t="s">
        <v>7</v>
      </c>
      <c r="B126" s="566" t="s">
        <v>21</v>
      </c>
      <c r="C126" s="543" t="s">
        <v>809</v>
      </c>
      <c r="D126" s="532" t="s">
        <v>65</v>
      </c>
      <c r="E126" s="567">
        <v>0</v>
      </c>
      <c r="F126" s="77" t="s">
        <v>868</v>
      </c>
      <c r="G126" s="94" t="s">
        <v>78</v>
      </c>
      <c r="H126" s="533"/>
      <c r="I126" s="305"/>
      <c r="J126" s="305"/>
      <c r="K126" s="305"/>
      <c r="L126" s="305"/>
      <c r="M126" s="85"/>
      <c r="N126" s="534" t="str">
        <f t="shared" si="2"/>
        <v/>
      </c>
      <c r="O126" s="60" t="str">
        <f t="shared" si="3"/>
        <v/>
      </c>
    </row>
    <row r="127" spans="1:16" x14ac:dyDescent="0.2">
      <c r="A127" s="4" t="s">
        <v>7</v>
      </c>
      <c r="B127" s="566" t="s">
        <v>21</v>
      </c>
      <c r="C127" s="544" t="s">
        <v>810</v>
      </c>
      <c r="D127" s="532" t="s">
        <v>65</v>
      </c>
      <c r="E127" s="567">
        <v>0</v>
      </c>
      <c r="F127" s="77" t="s">
        <v>868</v>
      </c>
      <c r="G127" s="94" t="s">
        <v>78</v>
      </c>
      <c r="H127" s="533"/>
      <c r="I127" s="305"/>
      <c r="J127" s="305"/>
      <c r="K127" s="305"/>
      <c r="L127" s="305"/>
      <c r="M127" s="85"/>
      <c r="N127" s="534" t="str">
        <f t="shared" si="2"/>
        <v/>
      </c>
      <c r="O127" s="60" t="str">
        <f t="shared" si="3"/>
        <v/>
      </c>
    </row>
    <row r="128" spans="1:16" x14ac:dyDescent="0.2">
      <c r="A128" s="4" t="s">
        <v>7</v>
      </c>
      <c r="B128" s="566" t="s">
        <v>21</v>
      </c>
      <c r="C128" s="545" t="s">
        <v>811</v>
      </c>
      <c r="D128" s="532" t="s">
        <v>65</v>
      </c>
      <c r="E128" s="567">
        <v>0</v>
      </c>
      <c r="F128" s="77" t="s">
        <v>868</v>
      </c>
      <c r="G128" s="94" t="s">
        <v>78</v>
      </c>
      <c r="H128" s="533"/>
      <c r="I128" s="305"/>
      <c r="J128" s="305"/>
      <c r="K128" s="305"/>
      <c r="L128" s="305"/>
      <c r="M128" s="85"/>
      <c r="N128" s="534" t="str">
        <f t="shared" si="2"/>
        <v/>
      </c>
      <c r="O128" s="60" t="str">
        <f t="shared" si="3"/>
        <v/>
      </c>
    </row>
    <row r="129" spans="1:16" x14ac:dyDescent="0.2">
      <c r="A129" s="4" t="s">
        <v>7</v>
      </c>
      <c r="B129" s="566" t="s">
        <v>21</v>
      </c>
      <c r="C129" s="546" t="s">
        <v>812</v>
      </c>
      <c r="D129" s="532" t="s">
        <v>65</v>
      </c>
      <c r="E129" s="567">
        <v>0</v>
      </c>
      <c r="F129" s="77" t="s">
        <v>868</v>
      </c>
      <c r="G129" s="94" t="s">
        <v>78</v>
      </c>
      <c r="H129" s="533"/>
      <c r="I129" s="305"/>
      <c r="J129" s="305"/>
      <c r="K129" s="305"/>
      <c r="L129" s="305"/>
      <c r="M129" s="85"/>
      <c r="N129" s="534" t="str">
        <f t="shared" si="2"/>
        <v/>
      </c>
      <c r="O129" s="60" t="str">
        <f t="shared" si="3"/>
        <v/>
      </c>
    </row>
    <row r="130" spans="1:16" x14ac:dyDescent="0.2">
      <c r="A130" s="4" t="s">
        <v>7</v>
      </c>
      <c r="B130" s="566" t="s">
        <v>21</v>
      </c>
      <c r="C130" s="547" t="s">
        <v>813</v>
      </c>
      <c r="D130" s="532" t="s">
        <v>65</v>
      </c>
      <c r="E130" s="567">
        <v>0</v>
      </c>
      <c r="F130" s="77" t="s">
        <v>868</v>
      </c>
      <c r="G130" s="94" t="s">
        <v>78</v>
      </c>
      <c r="H130" s="533"/>
      <c r="I130" s="305"/>
      <c r="J130" s="305"/>
      <c r="K130" s="305"/>
      <c r="L130" s="305"/>
      <c r="M130" s="85"/>
      <c r="N130" s="534" t="str">
        <f t="shared" si="2"/>
        <v/>
      </c>
      <c r="O130" s="60" t="str">
        <f t="shared" si="3"/>
        <v/>
      </c>
    </row>
    <row r="131" spans="1:16" x14ac:dyDescent="0.2">
      <c r="A131" s="4" t="s">
        <v>7</v>
      </c>
      <c r="B131" s="566" t="s">
        <v>22</v>
      </c>
      <c r="C131" s="543" t="s">
        <v>809</v>
      </c>
      <c r="D131" s="532" t="s">
        <v>65</v>
      </c>
      <c r="E131" s="551">
        <v>0.5</v>
      </c>
      <c r="F131" s="77" t="s">
        <v>868</v>
      </c>
      <c r="G131" s="94" t="s">
        <v>78</v>
      </c>
      <c r="H131" s="64">
        <v>2</v>
      </c>
      <c r="I131" s="309">
        <v>2</v>
      </c>
      <c r="J131" s="309">
        <v>2</v>
      </c>
      <c r="K131" s="309">
        <v>1</v>
      </c>
      <c r="L131" s="309">
        <v>1</v>
      </c>
      <c r="M131" s="66">
        <v>3</v>
      </c>
      <c r="N131" s="534">
        <f t="shared" ref="N131:N194" si="5">IF( OR( ISBLANK(H131),ISBLANK(J131), ISBLANK(K131), ISBLANK(L131), ISBLANK(M131) ), "", 1.5*SQRT(   EXP(2.21*(H131-1)) + EXP(2.21*(J131-1)) + EXP(2.21*(K131-1)) + EXP(2.21*(L131-1)) + EXP(2.21*M131)   )/100*2.45 )</f>
        <v>1.0248662490928169</v>
      </c>
      <c r="O131" s="60">
        <f t="shared" ref="O131:O194" si="6">IF( OR( ISBLANK(I131),ISBLANK(J131), ISBLANK(K131), ISBLANK(L131), ISBLANK(M131) ), "", 1.5*SQRT(   EXP(2.21*(I131-1)) + EXP(2.21*(J131-1)) + EXP(2.21*(K131-1)) + EXP(2.21*(L131-1)) + EXP(2.21*M131)   )/100*2.45 )</f>
        <v>1.0248662490928169</v>
      </c>
    </row>
    <row r="132" spans="1:16" x14ac:dyDescent="0.2">
      <c r="A132" s="4" t="s">
        <v>7</v>
      </c>
      <c r="B132" s="566" t="s">
        <v>22</v>
      </c>
      <c r="C132" s="544" t="s">
        <v>810</v>
      </c>
      <c r="D132" s="532" t="s">
        <v>65</v>
      </c>
      <c r="E132" s="568">
        <v>1</v>
      </c>
      <c r="F132" s="77" t="s">
        <v>868</v>
      </c>
      <c r="G132" s="94" t="s">
        <v>78</v>
      </c>
      <c r="H132" s="64">
        <v>2</v>
      </c>
      <c r="I132" s="309">
        <v>2</v>
      </c>
      <c r="J132" s="309">
        <v>2</v>
      </c>
      <c r="K132" s="309">
        <v>1</v>
      </c>
      <c r="L132" s="309">
        <v>1</v>
      </c>
      <c r="M132" s="66">
        <v>2</v>
      </c>
      <c r="N132" s="534">
        <f t="shared" si="5"/>
        <v>0.37356464144298934</v>
      </c>
      <c r="O132" s="60">
        <f t="shared" si="6"/>
        <v>0.37356464144298934</v>
      </c>
    </row>
    <row r="133" spans="1:16" x14ac:dyDescent="0.2">
      <c r="A133" s="4" t="s">
        <v>7</v>
      </c>
      <c r="B133" s="566" t="s">
        <v>22</v>
      </c>
      <c r="C133" s="545" t="s">
        <v>811</v>
      </c>
      <c r="D133" s="532" t="s">
        <v>65</v>
      </c>
      <c r="E133" s="567">
        <v>0</v>
      </c>
      <c r="F133" s="77" t="s">
        <v>868</v>
      </c>
      <c r="G133" s="94" t="s">
        <v>78</v>
      </c>
      <c r="H133" s="533"/>
      <c r="I133" s="305"/>
      <c r="J133" s="305"/>
      <c r="K133" s="305"/>
      <c r="L133" s="305"/>
      <c r="M133" s="85"/>
      <c r="N133" s="534" t="str">
        <f t="shared" si="5"/>
        <v/>
      </c>
      <c r="O133" s="60" t="str">
        <f t="shared" si="6"/>
        <v/>
      </c>
    </row>
    <row r="134" spans="1:16" x14ac:dyDescent="0.2">
      <c r="A134" s="4" t="s">
        <v>7</v>
      </c>
      <c r="B134" s="566" t="s">
        <v>22</v>
      </c>
      <c r="C134" s="546" t="s">
        <v>812</v>
      </c>
      <c r="D134" s="532" t="s">
        <v>65</v>
      </c>
      <c r="E134" s="568">
        <v>1</v>
      </c>
      <c r="F134" s="77" t="s">
        <v>868</v>
      </c>
      <c r="G134" s="94" t="s">
        <v>78</v>
      </c>
      <c r="H134" s="64">
        <v>2</v>
      </c>
      <c r="I134" s="309">
        <v>2</v>
      </c>
      <c r="J134" s="309">
        <v>2</v>
      </c>
      <c r="K134" s="309">
        <v>1</v>
      </c>
      <c r="L134" s="309">
        <v>1</v>
      </c>
      <c r="M134" s="66">
        <v>2</v>
      </c>
      <c r="N134" s="534">
        <f t="shared" si="5"/>
        <v>0.37356464144298934</v>
      </c>
      <c r="O134" s="60">
        <f t="shared" si="6"/>
        <v>0.37356464144298934</v>
      </c>
    </row>
    <row r="135" spans="1:16" s="505" customFormat="1" x14ac:dyDescent="0.2">
      <c r="A135" s="447" t="s">
        <v>7</v>
      </c>
      <c r="B135" s="569" t="s">
        <v>22</v>
      </c>
      <c r="C135" s="547" t="s">
        <v>813</v>
      </c>
      <c r="D135" s="542" t="s">
        <v>65</v>
      </c>
      <c r="E135" s="567">
        <v>0</v>
      </c>
      <c r="F135" s="77" t="s">
        <v>868</v>
      </c>
      <c r="G135" s="96" t="s">
        <v>78</v>
      </c>
      <c r="H135" s="533"/>
      <c r="I135" s="305"/>
      <c r="J135" s="305"/>
      <c r="K135" s="305"/>
      <c r="L135" s="305"/>
      <c r="M135" s="85"/>
      <c r="N135" s="534" t="str">
        <f t="shared" si="5"/>
        <v/>
      </c>
      <c r="O135" s="60" t="str">
        <f t="shared" si="6"/>
        <v/>
      </c>
      <c r="P135" s="81"/>
    </row>
    <row r="136" spans="1:16" x14ac:dyDescent="0.2">
      <c r="A136" s="1" t="s">
        <v>8</v>
      </c>
      <c r="B136" s="566" t="s">
        <v>23</v>
      </c>
      <c r="C136" s="543" t="s">
        <v>809</v>
      </c>
      <c r="D136" s="532" t="s">
        <v>65</v>
      </c>
      <c r="E136" s="567">
        <v>0</v>
      </c>
      <c r="F136" s="77" t="s">
        <v>70</v>
      </c>
      <c r="G136" s="94" t="s">
        <v>78</v>
      </c>
      <c r="H136" s="533"/>
      <c r="I136" s="305"/>
      <c r="J136" s="305"/>
      <c r="K136" s="305"/>
      <c r="L136" s="305"/>
      <c r="M136" s="85"/>
      <c r="N136" s="534" t="str">
        <f t="shared" si="5"/>
        <v/>
      </c>
      <c r="O136" s="60" t="str">
        <f t="shared" si="6"/>
        <v/>
      </c>
    </row>
    <row r="137" spans="1:16" x14ac:dyDescent="0.2">
      <c r="A137" s="1" t="s">
        <v>8</v>
      </c>
      <c r="B137" s="566" t="s">
        <v>23</v>
      </c>
      <c r="C137" s="544" t="s">
        <v>810</v>
      </c>
      <c r="D137" s="532" t="s">
        <v>65</v>
      </c>
      <c r="E137" s="568">
        <v>0.10384615384615385</v>
      </c>
      <c r="F137" s="77" t="s">
        <v>70</v>
      </c>
      <c r="G137" s="94" t="s">
        <v>78</v>
      </c>
      <c r="H137" s="64">
        <v>1</v>
      </c>
      <c r="I137" s="309">
        <v>2</v>
      </c>
      <c r="J137" s="309">
        <v>4</v>
      </c>
      <c r="K137" s="309">
        <v>1</v>
      </c>
      <c r="L137" s="309">
        <v>1</v>
      </c>
      <c r="M137" s="66">
        <v>2</v>
      </c>
      <c r="N137" s="534">
        <f t="shared" si="5"/>
        <v>1.0673825127299523</v>
      </c>
      <c r="O137" s="60">
        <f t="shared" si="6"/>
        <v>1.0725046436742278</v>
      </c>
    </row>
    <row r="138" spans="1:16" x14ac:dyDescent="0.2">
      <c r="A138" s="1" t="s">
        <v>8</v>
      </c>
      <c r="B138" s="566" t="s">
        <v>23</v>
      </c>
      <c r="C138" s="545" t="s">
        <v>811</v>
      </c>
      <c r="D138" s="532" t="s">
        <v>65</v>
      </c>
      <c r="E138" s="568">
        <v>0.2</v>
      </c>
      <c r="F138" s="77" t="s">
        <v>70</v>
      </c>
      <c r="G138" s="94" t="s">
        <v>78</v>
      </c>
      <c r="H138" s="64">
        <v>1</v>
      </c>
      <c r="I138" s="309">
        <v>2</v>
      </c>
      <c r="J138" s="309">
        <v>4</v>
      </c>
      <c r="K138" s="309">
        <v>1</v>
      </c>
      <c r="L138" s="309">
        <v>1</v>
      </c>
      <c r="M138" s="66">
        <v>2</v>
      </c>
      <c r="N138" s="534">
        <f t="shared" si="5"/>
        <v>1.0673825127299523</v>
      </c>
      <c r="O138" s="60">
        <f t="shared" si="6"/>
        <v>1.0725046436742278</v>
      </c>
    </row>
    <row r="139" spans="1:16" x14ac:dyDescent="0.2">
      <c r="A139" s="1" t="s">
        <v>8</v>
      </c>
      <c r="B139" s="566" t="s">
        <v>23</v>
      </c>
      <c r="C139" s="546" t="s">
        <v>812</v>
      </c>
      <c r="D139" s="532" t="s">
        <v>65</v>
      </c>
      <c r="E139" s="567">
        <v>0</v>
      </c>
      <c r="F139" s="77" t="s">
        <v>70</v>
      </c>
      <c r="G139" s="94" t="s">
        <v>78</v>
      </c>
      <c r="H139" s="533"/>
      <c r="I139" s="305"/>
      <c r="J139" s="305"/>
      <c r="K139" s="305"/>
      <c r="L139" s="305"/>
      <c r="M139" s="85"/>
      <c r="N139" s="534" t="str">
        <f t="shared" si="5"/>
        <v/>
      </c>
      <c r="O139" s="60" t="str">
        <f t="shared" si="6"/>
        <v/>
      </c>
    </row>
    <row r="140" spans="1:16" x14ac:dyDescent="0.2">
      <c r="A140" s="1" t="s">
        <v>8</v>
      </c>
      <c r="B140" s="566" t="s">
        <v>23</v>
      </c>
      <c r="C140" s="547" t="s">
        <v>813</v>
      </c>
      <c r="D140" s="532" t="s">
        <v>65</v>
      </c>
      <c r="E140" s="551">
        <v>0.1111111111111111</v>
      </c>
      <c r="F140" s="77" t="s">
        <v>70</v>
      </c>
      <c r="G140" s="94" t="s">
        <v>78</v>
      </c>
      <c r="H140" s="64">
        <v>1</v>
      </c>
      <c r="I140" s="309">
        <v>2</v>
      </c>
      <c r="J140" s="309">
        <v>4</v>
      </c>
      <c r="K140" s="309">
        <v>1</v>
      </c>
      <c r="L140" s="309">
        <v>1</v>
      </c>
      <c r="M140" s="66">
        <v>2</v>
      </c>
      <c r="N140" s="534">
        <f t="shared" si="5"/>
        <v>1.0673825127299523</v>
      </c>
      <c r="O140" s="60">
        <f t="shared" si="6"/>
        <v>1.0725046436742278</v>
      </c>
    </row>
    <row r="141" spans="1:16" x14ac:dyDescent="0.2">
      <c r="A141" s="4" t="s">
        <v>8</v>
      </c>
      <c r="B141" s="566" t="s">
        <v>24</v>
      </c>
      <c r="C141" s="543" t="s">
        <v>809</v>
      </c>
      <c r="D141" s="532" t="s">
        <v>65</v>
      </c>
      <c r="E141" s="568">
        <v>0.66114180478821361</v>
      </c>
      <c r="F141" s="77" t="s">
        <v>70</v>
      </c>
      <c r="G141" s="94" t="s">
        <v>78</v>
      </c>
      <c r="H141" s="64">
        <v>2</v>
      </c>
      <c r="I141" s="309">
        <v>2</v>
      </c>
      <c r="J141" s="309">
        <v>4</v>
      </c>
      <c r="K141" s="309">
        <v>1</v>
      </c>
      <c r="L141" s="309">
        <v>1</v>
      </c>
      <c r="M141" s="66">
        <v>2</v>
      </c>
      <c r="N141" s="534">
        <f t="shared" si="5"/>
        <v>1.0725046436742278</v>
      </c>
      <c r="O141" s="60">
        <f t="shared" si="6"/>
        <v>1.0725046436742278</v>
      </c>
    </row>
    <row r="142" spans="1:16" x14ac:dyDescent="0.2">
      <c r="A142" s="4" t="s">
        <v>8</v>
      </c>
      <c r="B142" s="566" t="s">
        <v>24</v>
      </c>
      <c r="C142" s="544" t="s">
        <v>810</v>
      </c>
      <c r="D142" s="532" t="s">
        <v>65</v>
      </c>
      <c r="E142" s="567">
        <v>0</v>
      </c>
      <c r="F142" s="77" t="s">
        <v>70</v>
      </c>
      <c r="G142" s="94" t="s">
        <v>78</v>
      </c>
      <c r="H142" s="533"/>
      <c r="I142" s="305"/>
      <c r="J142" s="305"/>
      <c r="K142" s="305"/>
      <c r="L142" s="305"/>
      <c r="M142" s="85"/>
      <c r="N142" s="534" t="str">
        <f t="shared" si="5"/>
        <v/>
      </c>
      <c r="O142" s="60" t="str">
        <f t="shared" si="6"/>
        <v/>
      </c>
    </row>
    <row r="143" spans="1:16" x14ac:dyDescent="0.2">
      <c r="A143" s="4" t="s">
        <v>8</v>
      </c>
      <c r="B143" s="566" t="s">
        <v>24</v>
      </c>
      <c r="C143" s="545" t="s">
        <v>811</v>
      </c>
      <c r="D143" s="532" t="s">
        <v>65</v>
      </c>
      <c r="E143" s="567">
        <v>0</v>
      </c>
      <c r="F143" s="77" t="s">
        <v>70</v>
      </c>
      <c r="G143" s="94" t="s">
        <v>78</v>
      </c>
      <c r="H143" s="533"/>
      <c r="I143" s="305"/>
      <c r="J143" s="305"/>
      <c r="K143" s="305"/>
      <c r="L143" s="305"/>
      <c r="M143" s="85"/>
      <c r="N143" s="534" t="str">
        <f t="shared" si="5"/>
        <v/>
      </c>
      <c r="O143" s="60" t="str">
        <f t="shared" si="6"/>
        <v/>
      </c>
    </row>
    <row r="144" spans="1:16" x14ac:dyDescent="0.2">
      <c r="A144" s="4" t="s">
        <v>8</v>
      </c>
      <c r="B144" s="566" t="s">
        <v>24</v>
      </c>
      <c r="C144" s="546" t="s">
        <v>812</v>
      </c>
      <c r="D144" s="532" t="s">
        <v>65</v>
      </c>
      <c r="E144" s="567">
        <v>0</v>
      </c>
      <c r="F144" s="77" t="s">
        <v>70</v>
      </c>
      <c r="G144" s="94" t="s">
        <v>78</v>
      </c>
      <c r="H144" s="533"/>
      <c r="I144" s="305"/>
      <c r="J144" s="305"/>
      <c r="K144" s="305"/>
      <c r="L144" s="305"/>
      <c r="M144" s="85"/>
      <c r="N144" s="534" t="str">
        <f t="shared" si="5"/>
        <v/>
      </c>
      <c r="O144" s="60" t="str">
        <f t="shared" si="6"/>
        <v/>
      </c>
    </row>
    <row r="145" spans="1:15" x14ac:dyDescent="0.2">
      <c r="A145" s="4" t="s">
        <v>8</v>
      </c>
      <c r="B145" s="566" t="s">
        <v>24</v>
      </c>
      <c r="C145" s="547" t="s">
        <v>813</v>
      </c>
      <c r="D145" s="532" t="s">
        <v>65</v>
      </c>
      <c r="E145" s="567">
        <v>0</v>
      </c>
      <c r="F145" s="77" t="s">
        <v>70</v>
      </c>
      <c r="G145" s="94" t="s">
        <v>78</v>
      </c>
      <c r="H145" s="533"/>
      <c r="I145" s="305"/>
      <c r="J145" s="305"/>
      <c r="K145" s="305"/>
      <c r="L145" s="305"/>
      <c r="M145" s="85"/>
      <c r="N145" s="534" t="str">
        <f t="shared" si="5"/>
        <v/>
      </c>
      <c r="O145" s="60" t="str">
        <f t="shared" si="6"/>
        <v/>
      </c>
    </row>
    <row r="146" spans="1:15" x14ac:dyDescent="0.2">
      <c r="A146" s="374" t="s">
        <v>8</v>
      </c>
      <c r="B146" s="566" t="s">
        <v>25</v>
      </c>
      <c r="C146" s="543" t="s">
        <v>809</v>
      </c>
      <c r="D146" s="532" t="s">
        <v>65</v>
      </c>
      <c r="E146" s="551">
        <v>0.33885819521178634</v>
      </c>
      <c r="F146" s="77" t="s">
        <v>70</v>
      </c>
      <c r="G146" s="94" t="s">
        <v>78</v>
      </c>
      <c r="H146" s="64">
        <v>2</v>
      </c>
      <c r="I146" s="309">
        <v>2</v>
      </c>
      <c r="J146" s="309">
        <v>4</v>
      </c>
      <c r="K146" s="309">
        <v>1</v>
      </c>
      <c r="L146" s="309">
        <v>1</v>
      </c>
      <c r="M146" s="66">
        <v>2</v>
      </c>
      <c r="N146" s="534">
        <f t="shared" si="5"/>
        <v>1.0725046436742278</v>
      </c>
      <c r="O146" s="60">
        <f t="shared" si="6"/>
        <v>1.0725046436742278</v>
      </c>
    </row>
    <row r="147" spans="1:15" x14ac:dyDescent="0.2">
      <c r="A147" s="1" t="s">
        <v>8</v>
      </c>
      <c r="B147" s="566" t="s">
        <v>25</v>
      </c>
      <c r="C147" s="544" t="s">
        <v>810</v>
      </c>
      <c r="D147" s="532" t="s">
        <v>65</v>
      </c>
      <c r="E147" s="567">
        <v>0</v>
      </c>
      <c r="F147" s="77" t="s">
        <v>70</v>
      </c>
      <c r="G147" s="94" t="s">
        <v>78</v>
      </c>
      <c r="H147" s="533"/>
      <c r="I147" s="305"/>
      <c r="J147" s="305"/>
      <c r="K147" s="305"/>
      <c r="L147" s="305"/>
      <c r="M147" s="85"/>
      <c r="N147" s="534" t="str">
        <f t="shared" si="5"/>
        <v/>
      </c>
      <c r="O147" s="60" t="str">
        <f t="shared" si="6"/>
        <v/>
      </c>
    </row>
    <row r="148" spans="1:15" x14ac:dyDescent="0.2">
      <c r="A148" s="1" t="s">
        <v>8</v>
      </c>
      <c r="B148" s="566" t="s">
        <v>25</v>
      </c>
      <c r="C148" s="545" t="s">
        <v>811</v>
      </c>
      <c r="D148" s="532" t="s">
        <v>65</v>
      </c>
      <c r="E148" s="567">
        <v>0</v>
      </c>
      <c r="F148" s="77" t="s">
        <v>70</v>
      </c>
      <c r="G148" s="94" t="s">
        <v>78</v>
      </c>
      <c r="H148" s="533"/>
      <c r="I148" s="305"/>
      <c r="J148" s="305"/>
      <c r="K148" s="305"/>
      <c r="L148" s="305"/>
      <c r="M148" s="85"/>
      <c r="N148" s="534" t="str">
        <f t="shared" si="5"/>
        <v/>
      </c>
      <c r="O148" s="60" t="str">
        <f t="shared" si="6"/>
        <v/>
      </c>
    </row>
    <row r="149" spans="1:15" x14ac:dyDescent="0.2">
      <c r="A149" s="1" t="s">
        <v>8</v>
      </c>
      <c r="B149" s="566" t="s">
        <v>25</v>
      </c>
      <c r="C149" s="546" t="s">
        <v>812</v>
      </c>
      <c r="D149" s="532" t="s">
        <v>65</v>
      </c>
      <c r="E149" s="567">
        <v>0</v>
      </c>
      <c r="F149" s="77" t="s">
        <v>70</v>
      </c>
      <c r="G149" s="94" t="s">
        <v>78</v>
      </c>
      <c r="H149" s="533"/>
      <c r="I149" s="305"/>
      <c r="J149" s="305"/>
      <c r="K149" s="305"/>
      <c r="L149" s="305"/>
      <c r="M149" s="85"/>
      <c r="N149" s="534" t="str">
        <f t="shared" si="5"/>
        <v/>
      </c>
      <c r="O149" s="60" t="str">
        <f t="shared" si="6"/>
        <v/>
      </c>
    </row>
    <row r="150" spans="1:15" x14ac:dyDescent="0.2">
      <c r="A150" s="1" t="s">
        <v>8</v>
      </c>
      <c r="B150" s="566" t="s">
        <v>25</v>
      </c>
      <c r="C150" s="547" t="s">
        <v>813</v>
      </c>
      <c r="D150" s="532" t="s">
        <v>65</v>
      </c>
      <c r="E150" s="567">
        <v>0</v>
      </c>
      <c r="F150" s="77" t="s">
        <v>70</v>
      </c>
      <c r="G150" s="94" t="s">
        <v>78</v>
      </c>
      <c r="H150" s="533"/>
      <c r="I150" s="305"/>
      <c r="J150" s="305"/>
      <c r="K150" s="305"/>
      <c r="L150" s="305"/>
      <c r="M150" s="85"/>
      <c r="N150" s="534" t="str">
        <f t="shared" si="5"/>
        <v/>
      </c>
      <c r="O150" s="60" t="str">
        <f t="shared" si="6"/>
        <v/>
      </c>
    </row>
    <row r="151" spans="1:15" x14ac:dyDescent="0.2">
      <c r="A151" s="4" t="s">
        <v>8</v>
      </c>
      <c r="B151" s="566" t="s">
        <v>26</v>
      </c>
      <c r="C151" s="543" t="s">
        <v>809</v>
      </c>
      <c r="D151" s="532" t="s">
        <v>65</v>
      </c>
      <c r="E151" s="567">
        <v>0</v>
      </c>
      <c r="F151" s="77" t="s">
        <v>70</v>
      </c>
      <c r="G151" s="94" t="s">
        <v>78</v>
      </c>
      <c r="H151" s="533"/>
      <c r="I151" s="305"/>
      <c r="J151" s="305"/>
      <c r="K151" s="305"/>
      <c r="L151" s="305"/>
      <c r="M151" s="85"/>
      <c r="N151" s="534" t="str">
        <f t="shared" si="5"/>
        <v/>
      </c>
      <c r="O151" s="60" t="str">
        <f t="shared" si="6"/>
        <v/>
      </c>
    </row>
    <row r="152" spans="1:15" x14ac:dyDescent="0.2">
      <c r="A152" s="4" t="s">
        <v>8</v>
      </c>
      <c r="B152" s="566" t="s">
        <v>26</v>
      </c>
      <c r="C152" s="544" t="s">
        <v>810</v>
      </c>
      <c r="D152" s="532" t="s">
        <v>65</v>
      </c>
      <c r="E152" s="567">
        <v>0</v>
      </c>
      <c r="F152" s="77" t="s">
        <v>70</v>
      </c>
      <c r="G152" s="94" t="s">
        <v>78</v>
      </c>
      <c r="H152" s="533"/>
      <c r="I152" s="305"/>
      <c r="J152" s="305"/>
      <c r="K152" s="305"/>
      <c r="L152" s="305"/>
      <c r="M152" s="85"/>
      <c r="N152" s="534" t="str">
        <f t="shared" si="5"/>
        <v/>
      </c>
      <c r="O152" s="60" t="str">
        <f t="shared" si="6"/>
        <v/>
      </c>
    </row>
    <row r="153" spans="1:15" x14ac:dyDescent="0.2">
      <c r="A153" s="4" t="s">
        <v>8</v>
      </c>
      <c r="B153" s="566" t="s">
        <v>26</v>
      </c>
      <c r="C153" s="545" t="s">
        <v>811</v>
      </c>
      <c r="D153" s="532" t="s">
        <v>65</v>
      </c>
      <c r="E153" s="568">
        <v>0.64794816414686829</v>
      </c>
      <c r="F153" s="77" t="s">
        <v>70</v>
      </c>
      <c r="G153" s="94" t="s">
        <v>78</v>
      </c>
      <c r="H153" s="64">
        <v>1</v>
      </c>
      <c r="I153" s="309">
        <v>2</v>
      </c>
      <c r="J153" s="309">
        <v>4</v>
      </c>
      <c r="K153" s="309">
        <v>1</v>
      </c>
      <c r="L153" s="309">
        <v>1</v>
      </c>
      <c r="M153" s="66">
        <v>2</v>
      </c>
      <c r="N153" s="534">
        <f t="shared" si="5"/>
        <v>1.0673825127299523</v>
      </c>
      <c r="O153" s="60">
        <f t="shared" si="6"/>
        <v>1.0725046436742278</v>
      </c>
    </row>
    <row r="154" spans="1:15" x14ac:dyDescent="0.2">
      <c r="A154" s="4" t="s">
        <v>8</v>
      </c>
      <c r="B154" s="566" t="s">
        <v>26</v>
      </c>
      <c r="C154" s="546" t="s">
        <v>812</v>
      </c>
      <c r="D154" s="532" t="s">
        <v>65</v>
      </c>
      <c r="E154" s="568">
        <v>0.89552238805970152</v>
      </c>
      <c r="F154" s="77" t="s">
        <v>70</v>
      </c>
      <c r="G154" s="94" t="s">
        <v>78</v>
      </c>
      <c r="H154" s="64">
        <v>1</v>
      </c>
      <c r="I154" s="309">
        <v>2</v>
      </c>
      <c r="J154" s="309">
        <v>4</v>
      </c>
      <c r="K154" s="309">
        <v>1</v>
      </c>
      <c r="L154" s="309">
        <v>1</v>
      </c>
      <c r="M154" s="66">
        <v>2</v>
      </c>
      <c r="N154" s="534">
        <f t="shared" si="5"/>
        <v>1.0673825127299523</v>
      </c>
      <c r="O154" s="60">
        <f t="shared" si="6"/>
        <v>1.0725046436742278</v>
      </c>
    </row>
    <row r="155" spans="1:15" x14ac:dyDescent="0.2">
      <c r="A155" s="4" t="s">
        <v>8</v>
      </c>
      <c r="B155" s="566" t="s">
        <v>26</v>
      </c>
      <c r="C155" s="547" t="s">
        <v>813</v>
      </c>
      <c r="D155" s="532" t="s">
        <v>65</v>
      </c>
      <c r="E155" s="568">
        <v>0.88888888888888884</v>
      </c>
      <c r="F155" s="77" t="s">
        <v>70</v>
      </c>
      <c r="G155" s="94" t="s">
        <v>78</v>
      </c>
      <c r="H155" s="64">
        <v>1</v>
      </c>
      <c r="I155" s="309">
        <v>2</v>
      </c>
      <c r="J155" s="309">
        <v>4</v>
      </c>
      <c r="K155" s="309">
        <v>1</v>
      </c>
      <c r="L155" s="309">
        <v>1</v>
      </c>
      <c r="M155" s="66">
        <v>2</v>
      </c>
      <c r="N155" s="534">
        <f t="shared" si="5"/>
        <v>1.0673825127299523</v>
      </c>
      <c r="O155" s="60">
        <f t="shared" si="6"/>
        <v>1.0725046436742278</v>
      </c>
    </row>
    <row r="156" spans="1:15" x14ac:dyDescent="0.2">
      <c r="A156" s="374" t="s">
        <v>8</v>
      </c>
      <c r="B156" s="566" t="s">
        <v>27</v>
      </c>
      <c r="C156" s="543" t="s">
        <v>809</v>
      </c>
      <c r="D156" s="532" t="s">
        <v>65</v>
      </c>
      <c r="E156" s="567">
        <v>0</v>
      </c>
      <c r="F156" s="77" t="s">
        <v>70</v>
      </c>
      <c r="G156" s="94" t="s">
        <v>78</v>
      </c>
      <c r="H156" s="533"/>
      <c r="I156" s="305"/>
      <c r="J156" s="305"/>
      <c r="K156" s="305"/>
      <c r="L156" s="305"/>
      <c r="M156" s="85"/>
      <c r="N156" s="534" t="str">
        <f t="shared" si="5"/>
        <v/>
      </c>
      <c r="O156" s="60" t="str">
        <f t="shared" si="6"/>
        <v/>
      </c>
    </row>
    <row r="157" spans="1:15" x14ac:dyDescent="0.2">
      <c r="A157" s="4" t="s">
        <v>8</v>
      </c>
      <c r="B157" s="566" t="s">
        <v>27</v>
      </c>
      <c r="C157" s="544" t="s">
        <v>810</v>
      </c>
      <c r="D157" s="532" t="s">
        <v>65</v>
      </c>
      <c r="E157" s="551">
        <v>0.89615384615384619</v>
      </c>
      <c r="F157" s="77" t="s">
        <v>70</v>
      </c>
      <c r="G157" s="94" t="s">
        <v>78</v>
      </c>
      <c r="H157" s="64">
        <v>1</v>
      </c>
      <c r="I157" s="309">
        <v>2</v>
      </c>
      <c r="J157" s="309">
        <v>4</v>
      </c>
      <c r="K157" s="309">
        <v>1</v>
      </c>
      <c r="L157" s="309">
        <v>1</v>
      </c>
      <c r="M157" s="66">
        <v>2</v>
      </c>
      <c r="N157" s="534">
        <f t="shared" si="5"/>
        <v>1.0673825127299523</v>
      </c>
      <c r="O157" s="60">
        <f t="shared" si="6"/>
        <v>1.0725046436742278</v>
      </c>
    </row>
    <row r="158" spans="1:15" x14ac:dyDescent="0.2">
      <c r="A158" s="4" t="s">
        <v>8</v>
      </c>
      <c r="B158" s="566" t="s">
        <v>27</v>
      </c>
      <c r="C158" s="545" t="s">
        <v>811</v>
      </c>
      <c r="D158" s="532" t="s">
        <v>65</v>
      </c>
      <c r="E158" s="551">
        <v>0.35205183585313177</v>
      </c>
      <c r="F158" s="77" t="s">
        <v>70</v>
      </c>
      <c r="G158" s="94" t="s">
        <v>78</v>
      </c>
      <c r="H158" s="64">
        <v>1</v>
      </c>
      <c r="I158" s="309">
        <v>2</v>
      </c>
      <c r="J158" s="309">
        <v>4</v>
      </c>
      <c r="K158" s="309">
        <v>1</v>
      </c>
      <c r="L158" s="309">
        <v>1</v>
      </c>
      <c r="M158" s="66">
        <v>2</v>
      </c>
      <c r="N158" s="534">
        <f t="shared" si="5"/>
        <v>1.0673825127299523</v>
      </c>
      <c r="O158" s="60">
        <f t="shared" si="6"/>
        <v>1.0725046436742278</v>
      </c>
    </row>
    <row r="159" spans="1:15" x14ac:dyDescent="0.2">
      <c r="A159" s="4" t="s">
        <v>8</v>
      </c>
      <c r="B159" s="566" t="s">
        <v>27</v>
      </c>
      <c r="C159" s="546" t="s">
        <v>812</v>
      </c>
      <c r="D159" s="532" t="s">
        <v>65</v>
      </c>
      <c r="E159" s="551">
        <v>0.1044776119402985</v>
      </c>
      <c r="F159" s="77" t="s">
        <v>70</v>
      </c>
      <c r="G159" s="94" t="s">
        <v>78</v>
      </c>
      <c r="H159" s="64">
        <v>1</v>
      </c>
      <c r="I159" s="309">
        <v>2</v>
      </c>
      <c r="J159" s="309">
        <v>4</v>
      </c>
      <c r="K159" s="309">
        <v>1</v>
      </c>
      <c r="L159" s="309">
        <v>1</v>
      </c>
      <c r="M159" s="66">
        <v>2</v>
      </c>
      <c r="N159" s="534">
        <f t="shared" si="5"/>
        <v>1.0673825127299523</v>
      </c>
      <c r="O159" s="60">
        <f t="shared" si="6"/>
        <v>1.0725046436742278</v>
      </c>
    </row>
    <row r="160" spans="1:15" x14ac:dyDescent="0.2">
      <c r="A160" s="4" t="s">
        <v>8</v>
      </c>
      <c r="B160" s="566" t="s">
        <v>27</v>
      </c>
      <c r="C160" s="547" t="s">
        <v>813</v>
      </c>
      <c r="D160" s="532" t="s">
        <v>65</v>
      </c>
      <c r="E160" s="567">
        <v>0</v>
      </c>
      <c r="F160" s="77" t="s">
        <v>70</v>
      </c>
      <c r="G160" s="94" t="s">
        <v>78</v>
      </c>
      <c r="H160" s="533"/>
      <c r="I160" s="305"/>
      <c r="J160" s="305"/>
      <c r="K160" s="305"/>
      <c r="L160" s="305"/>
      <c r="M160" s="85"/>
      <c r="N160" s="534" t="str">
        <f t="shared" si="5"/>
        <v/>
      </c>
      <c r="O160" s="60" t="str">
        <f t="shared" si="6"/>
        <v/>
      </c>
    </row>
    <row r="161" spans="1:16" s="565" customFormat="1" x14ac:dyDescent="0.2">
      <c r="A161" s="570" t="s">
        <v>9</v>
      </c>
      <c r="B161" s="131" t="s">
        <v>112</v>
      </c>
      <c r="C161" s="555" t="s">
        <v>65</v>
      </c>
      <c r="D161" s="560" t="s">
        <v>65</v>
      </c>
      <c r="E161" s="571">
        <v>1</v>
      </c>
      <c r="F161" s="562"/>
      <c r="G161" s="563"/>
      <c r="H161" s="572"/>
      <c r="I161" s="110"/>
      <c r="J161" s="110"/>
      <c r="K161" s="110"/>
      <c r="L161" s="110"/>
      <c r="M161" s="111"/>
      <c r="N161" s="534" t="str">
        <f t="shared" si="5"/>
        <v/>
      </c>
      <c r="O161" s="60" t="str">
        <f t="shared" si="6"/>
        <v/>
      </c>
      <c r="P161" s="109"/>
    </row>
    <row r="162" spans="1:16" s="565" customFormat="1" x14ac:dyDescent="0.2">
      <c r="A162" s="570" t="s">
        <v>10</v>
      </c>
      <c r="B162" s="131" t="s">
        <v>113</v>
      </c>
      <c r="C162" s="555" t="s">
        <v>65</v>
      </c>
      <c r="D162" s="560" t="s">
        <v>65</v>
      </c>
      <c r="E162" s="571">
        <v>1</v>
      </c>
      <c r="F162" s="562"/>
      <c r="G162" s="563"/>
      <c r="H162" s="572"/>
      <c r="I162" s="110"/>
      <c r="J162" s="110"/>
      <c r="K162" s="110"/>
      <c r="L162" s="110"/>
      <c r="M162" s="111"/>
      <c r="N162" s="534" t="str">
        <f t="shared" si="5"/>
        <v/>
      </c>
      <c r="O162" s="60" t="str">
        <f t="shared" si="6"/>
        <v/>
      </c>
      <c r="P162" s="109"/>
    </row>
    <row r="163" spans="1:16" x14ac:dyDescent="0.2">
      <c r="A163" s="374" t="s">
        <v>11</v>
      </c>
      <c r="B163" s="375" t="s">
        <v>31</v>
      </c>
      <c r="C163" s="543" t="s">
        <v>809</v>
      </c>
      <c r="D163" s="532" t="s">
        <v>65</v>
      </c>
      <c r="E163" s="305">
        <v>0</v>
      </c>
      <c r="G163" s="94" t="s">
        <v>78</v>
      </c>
      <c r="H163" s="533"/>
      <c r="I163" s="305"/>
      <c r="J163" s="305"/>
      <c r="K163" s="305"/>
      <c r="L163" s="305"/>
      <c r="M163" s="85"/>
      <c r="N163" s="534" t="str">
        <f t="shared" si="5"/>
        <v/>
      </c>
      <c r="O163" s="60" t="str">
        <f t="shared" si="6"/>
        <v/>
      </c>
    </row>
    <row r="164" spans="1:16" x14ac:dyDescent="0.2">
      <c r="A164" s="374" t="s">
        <v>11</v>
      </c>
      <c r="B164" s="375" t="s">
        <v>31</v>
      </c>
      <c r="C164" s="544" t="s">
        <v>810</v>
      </c>
      <c r="D164" s="532" t="s">
        <v>65</v>
      </c>
      <c r="E164" s="305">
        <v>0</v>
      </c>
      <c r="G164" s="94" t="s">
        <v>78</v>
      </c>
      <c r="H164" s="533"/>
      <c r="I164" s="305"/>
      <c r="J164" s="305"/>
      <c r="K164" s="305"/>
      <c r="L164" s="305"/>
      <c r="M164" s="85"/>
      <c r="N164" s="534" t="str">
        <f t="shared" si="5"/>
        <v/>
      </c>
      <c r="O164" s="60" t="str">
        <f t="shared" si="6"/>
        <v/>
      </c>
    </row>
    <row r="165" spans="1:16" x14ac:dyDescent="0.2">
      <c r="A165" s="374" t="s">
        <v>11</v>
      </c>
      <c r="B165" s="375" t="s">
        <v>31</v>
      </c>
      <c r="C165" s="545" t="s">
        <v>811</v>
      </c>
      <c r="D165" s="532" t="s">
        <v>65</v>
      </c>
      <c r="E165" s="573">
        <v>1</v>
      </c>
      <c r="G165" s="94" t="s">
        <v>78</v>
      </c>
      <c r="H165" s="64">
        <v>2</v>
      </c>
      <c r="I165" s="309">
        <v>2</v>
      </c>
      <c r="J165" s="309">
        <v>3</v>
      </c>
      <c r="K165" s="309">
        <v>1</v>
      </c>
      <c r="L165" s="309">
        <v>1</v>
      </c>
      <c r="M165" s="66">
        <v>2</v>
      </c>
      <c r="N165" s="534">
        <f t="shared" si="5"/>
        <v>0.48935255543384243</v>
      </c>
      <c r="O165" s="60">
        <f t="shared" si="6"/>
        <v>0.48935255543384243</v>
      </c>
    </row>
    <row r="166" spans="1:16" x14ac:dyDescent="0.2">
      <c r="A166" s="374" t="s">
        <v>11</v>
      </c>
      <c r="B166" s="375" t="s">
        <v>31</v>
      </c>
      <c r="C166" s="546" t="s">
        <v>812</v>
      </c>
      <c r="D166" s="532" t="s">
        <v>65</v>
      </c>
      <c r="E166" s="305">
        <v>0</v>
      </c>
      <c r="G166" s="94" t="s">
        <v>78</v>
      </c>
      <c r="H166" s="533"/>
      <c r="I166" s="305"/>
      <c r="J166" s="305"/>
      <c r="K166" s="305"/>
      <c r="L166" s="305"/>
      <c r="M166" s="85"/>
      <c r="N166" s="534" t="str">
        <f t="shared" si="5"/>
        <v/>
      </c>
      <c r="O166" s="60" t="str">
        <f t="shared" si="6"/>
        <v/>
      </c>
    </row>
    <row r="167" spans="1:16" x14ac:dyDescent="0.2">
      <c r="A167" s="374" t="s">
        <v>11</v>
      </c>
      <c r="B167" s="375" t="s">
        <v>31</v>
      </c>
      <c r="C167" s="547" t="s">
        <v>813</v>
      </c>
      <c r="D167" s="532" t="s">
        <v>65</v>
      </c>
      <c r="E167" s="305">
        <v>0</v>
      </c>
      <c r="G167" s="94" t="s">
        <v>78</v>
      </c>
      <c r="H167" s="533"/>
      <c r="I167" s="305"/>
      <c r="J167" s="305"/>
      <c r="K167" s="305"/>
      <c r="L167" s="305"/>
      <c r="M167" s="85"/>
      <c r="N167" s="534" t="str">
        <f t="shared" si="5"/>
        <v/>
      </c>
      <c r="O167" s="60" t="str">
        <f t="shared" si="6"/>
        <v/>
      </c>
    </row>
    <row r="168" spans="1:16" x14ac:dyDescent="0.2">
      <c r="A168" s="374" t="s">
        <v>11</v>
      </c>
      <c r="B168" s="375" t="s">
        <v>33</v>
      </c>
      <c r="C168" s="543" t="s">
        <v>809</v>
      </c>
      <c r="D168" s="532" t="s">
        <v>65</v>
      </c>
      <c r="E168" s="309">
        <v>1</v>
      </c>
      <c r="G168" s="94" t="s">
        <v>78</v>
      </c>
      <c r="H168" s="64">
        <v>2</v>
      </c>
      <c r="I168" s="309">
        <v>2</v>
      </c>
      <c r="J168" s="309">
        <v>3</v>
      </c>
      <c r="K168" s="309">
        <v>1</v>
      </c>
      <c r="L168" s="309">
        <v>1</v>
      </c>
      <c r="M168" s="66">
        <v>2</v>
      </c>
      <c r="N168" s="534">
        <f t="shared" si="5"/>
        <v>0.48935255543384243</v>
      </c>
      <c r="O168" s="60">
        <f t="shared" si="6"/>
        <v>0.48935255543384243</v>
      </c>
    </row>
    <row r="169" spans="1:16" x14ac:dyDescent="0.2">
      <c r="A169" s="374" t="s">
        <v>11</v>
      </c>
      <c r="B169" s="375" t="s">
        <v>33</v>
      </c>
      <c r="C169" s="544" t="s">
        <v>810</v>
      </c>
      <c r="D169" s="532" t="s">
        <v>65</v>
      </c>
      <c r="E169" s="305">
        <v>0</v>
      </c>
      <c r="G169" s="94" t="s">
        <v>78</v>
      </c>
      <c r="H169" s="533"/>
      <c r="I169" s="305"/>
      <c r="J169" s="305"/>
      <c r="K169" s="305"/>
      <c r="L169" s="305"/>
      <c r="M169" s="85"/>
      <c r="N169" s="534" t="str">
        <f t="shared" si="5"/>
        <v/>
      </c>
      <c r="O169" s="60" t="str">
        <f t="shared" si="6"/>
        <v/>
      </c>
    </row>
    <row r="170" spans="1:16" x14ac:dyDescent="0.2">
      <c r="A170" s="374" t="s">
        <v>11</v>
      </c>
      <c r="B170" s="375" t="s">
        <v>33</v>
      </c>
      <c r="C170" s="545" t="s">
        <v>811</v>
      </c>
      <c r="D170" s="532" t="s">
        <v>65</v>
      </c>
      <c r="E170" s="305">
        <v>0</v>
      </c>
      <c r="G170" s="94" t="s">
        <v>78</v>
      </c>
      <c r="H170" s="533"/>
      <c r="I170" s="305"/>
      <c r="J170" s="305"/>
      <c r="K170" s="305"/>
      <c r="L170" s="305"/>
      <c r="M170" s="85"/>
      <c r="N170" s="534" t="str">
        <f t="shared" si="5"/>
        <v/>
      </c>
      <c r="O170" s="60" t="str">
        <f t="shared" si="6"/>
        <v/>
      </c>
    </row>
    <row r="171" spans="1:16" x14ac:dyDescent="0.2">
      <c r="A171" s="374" t="s">
        <v>11</v>
      </c>
      <c r="B171" s="574" t="s">
        <v>33</v>
      </c>
      <c r="C171" s="546" t="s">
        <v>812</v>
      </c>
      <c r="D171" s="532" t="s">
        <v>65</v>
      </c>
      <c r="E171" s="309">
        <v>1</v>
      </c>
      <c r="G171" s="94" t="s">
        <v>78</v>
      </c>
      <c r="H171" s="64">
        <v>2</v>
      </c>
      <c r="I171" s="309">
        <v>2</v>
      </c>
      <c r="J171" s="309">
        <v>3</v>
      </c>
      <c r="K171" s="309">
        <v>1</v>
      </c>
      <c r="L171" s="309">
        <v>1</v>
      </c>
      <c r="M171" s="66">
        <v>2</v>
      </c>
      <c r="N171" s="534">
        <f t="shared" si="5"/>
        <v>0.48935255543384243</v>
      </c>
      <c r="O171" s="60">
        <f t="shared" si="6"/>
        <v>0.48935255543384243</v>
      </c>
    </row>
    <row r="172" spans="1:16" x14ac:dyDescent="0.2">
      <c r="A172" s="575" t="s">
        <v>11</v>
      </c>
      <c r="B172" s="576" t="s">
        <v>33</v>
      </c>
      <c r="C172" s="547" t="s">
        <v>813</v>
      </c>
      <c r="D172" s="532" t="s">
        <v>65</v>
      </c>
      <c r="E172" s="309">
        <v>1</v>
      </c>
      <c r="G172" s="94" t="s">
        <v>78</v>
      </c>
      <c r="H172" s="64">
        <v>2</v>
      </c>
      <c r="I172" s="309">
        <v>2</v>
      </c>
      <c r="J172" s="309">
        <v>3</v>
      </c>
      <c r="K172" s="309">
        <v>1</v>
      </c>
      <c r="L172" s="309">
        <v>1</v>
      </c>
      <c r="M172" s="66">
        <v>2</v>
      </c>
      <c r="N172" s="534">
        <f t="shared" si="5"/>
        <v>0.48935255543384243</v>
      </c>
      <c r="O172" s="60">
        <f t="shared" si="6"/>
        <v>0.48935255543384243</v>
      </c>
    </row>
    <row r="173" spans="1:16" x14ac:dyDescent="0.2">
      <c r="A173" s="374" t="s">
        <v>12</v>
      </c>
      <c r="B173" s="375" t="s">
        <v>34</v>
      </c>
      <c r="C173" s="543" t="s">
        <v>809</v>
      </c>
      <c r="D173" s="26" t="s">
        <v>65</v>
      </c>
      <c r="E173" s="551">
        <v>0.13</v>
      </c>
      <c r="F173" s="77" t="s">
        <v>99</v>
      </c>
      <c r="G173" s="94" t="s">
        <v>78</v>
      </c>
      <c r="H173" s="64">
        <v>2</v>
      </c>
      <c r="I173" s="309">
        <v>2</v>
      </c>
      <c r="J173" s="309">
        <v>1</v>
      </c>
      <c r="K173" s="309">
        <v>3</v>
      </c>
      <c r="L173" s="309">
        <v>1</v>
      </c>
      <c r="M173" s="66">
        <v>3</v>
      </c>
      <c r="N173" s="534">
        <f t="shared" si="5"/>
        <v>1.0725046436742278</v>
      </c>
      <c r="O173" s="60">
        <f t="shared" si="6"/>
        <v>1.0725046436742278</v>
      </c>
    </row>
    <row r="174" spans="1:16" x14ac:dyDescent="0.2">
      <c r="A174" s="374" t="s">
        <v>12</v>
      </c>
      <c r="B174" s="375" t="s">
        <v>34</v>
      </c>
      <c r="C174" s="544" t="s">
        <v>810</v>
      </c>
      <c r="D174" s="26" t="s">
        <v>65</v>
      </c>
      <c r="E174" s="26">
        <v>0</v>
      </c>
      <c r="G174" s="94" t="s">
        <v>78</v>
      </c>
      <c r="H174" s="533"/>
      <c r="I174" s="305"/>
      <c r="J174" s="305"/>
      <c r="K174" s="305"/>
      <c r="L174" s="305"/>
      <c r="M174" s="85"/>
      <c r="N174" s="534" t="str">
        <f t="shared" si="5"/>
        <v/>
      </c>
      <c r="O174" s="60" t="str">
        <f t="shared" si="6"/>
        <v/>
      </c>
    </row>
    <row r="175" spans="1:16" x14ac:dyDescent="0.2">
      <c r="A175" s="374" t="s">
        <v>12</v>
      </c>
      <c r="B175" s="375" t="s">
        <v>34</v>
      </c>
      <c r="C175" s="545" t="s">
        <v>811</v>
      </c>
      <c r="D175" s="26" t="s">
        <v>65</v>
      </c>
      <c r="E175" s="551">
        <v>0.34</v>
      </c>
      <c r="F175" s="77" t="s">
        <v>99</v>
      </c>
      <c r="G175" s="94" t="s">
        <v>78</v>
      </c>
      <c r="H175" s="64">
        <v>1</v>
      </c>
      <c r="I175" s="309">
        <v>2</v>
      </c>
      <c r="J175" s="309">
        <v>2</v>
      </c>
      <c r="K175" s="309">
        <v>1</v>
      </c>
      <c r="L175" s="309">
        <v>1</v>
      </c>
      <c r="M175" s="66">
        <v>2</v>
      </c>
      <c r="N175" s="534">
        <f t="shared" si="5"/>
        <v>0.35859414261160716</v>
      </c>
      <c r="O175" s="60">
        <f t="shared" si="6"/>
        <v>0.37356464144298934</v>
      </c>
    </row>
    <row r="176" spans="1:16" x14ac:dyDescent="0.2">
      <c r="A176" s="374" t="s">
        <v>12</v>
      </c>
      <c r="B176" s="375" t="s">
        <v>34</v>
      </c>
      <c r="C176" s="546" t="s">
        <v>812</v>
      </c>
      <c r="D176" s="26" t="s">
        <v>65</v>
      </c>
      <c r="E176" s="551">
        <v>0.63</v>
      </c>
      <c r="F176" s="77" t="s">
        <v>99</v>
      </c>
      <c r="G176" s="94" t="s">
        <v>78</v>
      </c>
      <c r="H176" s="64">
        <v>1</v>
      </c>
      <c r="I176" s="309">
        <v>2</v>
      </c>
      <c r="J176" s="309">
        <v>2</v>
      </c>
      <c r="K176" s="309">
        <v>1</v>
      </c>
      <c r="L176" s="309">
        <v>1</v>
      </c>
      <c r="M176" s="66">
        <v>2</v>
      </c>
      <c r="N176" s="534">
        <f t="shared" si="5"/>
        <v>0.35859414261160716</v>
      </c>
      <c r="O176" s="60">
        <f t="shared" si="6"/>
        <v>0.37356464144298934</v>
      </c>
    </row>
    <row r="177" spans="1:16" x14ac:dyDescent="0.2">
      <c r="A177" s="374" t="s">
        <v>12</v>
      </c>
      <c r="B177" s="375" t="s">
        <v>34</v>
      </c>
      <c r="C177" s="547" t="s">
        <v>813</v>
      </c>
      <c r="D177" s="26" t="s">
        <v>65</v>
      </c>
      <c r="E177" s="551">
        <v>0.35</v>
      </c>
      <c r="F177" s="77" t="s">
        <v>869</v>
      </c>
      <c r="G177" s="94" t="s">
        <v>78</v>
      </c>
      <c r="H177" s="64">
        <v>2</v>
      </c>
      <c r="I177" s="309">
        <v>2</v>
      </c>
      <c r="J177" s="309">
        <v>1</v>
      </c>
      <c r="K177" s="309">
        <v>3</v>
      </c>
      <c r="L177" s="309">
        <v>1</v>
      </c>
      <c r="M177" s="66">
        <v>3</v>
      </c>
      <c r="N177" s="534">
        <f t="shared" si="5"/>
        <v>1.0725046436742278</v>
      </c>
      <c r="O177" s="60">
        <f t="shared" si="6"/>
        <v>1.0725046436742278</v>
      </c>
    </row>
    <row r="178" spans="1:16" x14ac:dyDescent="0.2">
      <c r="A178" s="4" t="s">
        <v>12</v>
      </c>
      <c r="B178" s="375" t="s">
        <v>35</v>
      </c>
      <c r="C178" s="543" t="s">
        <v>809</v>
      </c>
      <c r="D178" s="26" t="s">
        <v>65</v>
      </c>
      <c r="E178" s="551">
        <v>0.62</v>
      </c>
      <c r="F178" s="77" t="s">
        <v>265</v>
      </c>
      <c r="G178" s="94" t="s">
        <v>78</v>
      </c>
      <c r="H178" s="64">
        <v>2</v>
      </c>
      <c r="I178" s="309">
        <v>2</v>
      </c>
      <c r="J178" s="309">
        <v>1</v>
      </c>
      <c r="K178" s="309">
        <v>3</v>
      </c>
      <c r="L178" s="309">
        <v>1</v>
      </c>
      <c r="M178" s="66">
        <v>3</v>
      </c>
      <c r="N178" s="534">
        <f t="shared" si="5"/>
        <v>1.0725046436742278</v>
      </c>
      <c r="O178" s="60">
        <f t="shared" si="6"/>
        <v>1.0725046436742278</v>
      </c>
    </row>
    <row r="179" spans="1:16" x14ac:dyDescent="0.2">
      <c r="A179" s="4" t="s">
        <v>12</v>
      </c>
      <c r="B179" s="375" t="s">
        <v>35</v>
      </c>
      <c r="C179" s="544" t="s">
        <v>810</v>
      </c>
      <c r="D179" s="26" t="s">
        <v>65</v>
      </c>
      <c r="E179" s="551">
        <v>0</v>
      </c>
      <c r="F179" s="77" t="s">
        <v>99</v>
      </c>
      <c r="G179" s="94" t="s">
        <v>78</v>
      </c>
      <c r="N179" s="534" t="str">
        <f t="shared" si="5"/>
        <v/>
      </c>
      <c r="O179" s="60" t="str">
        <f t="shared" si="6"/>
        <v/>
      </c>
    </row>
    <row r="180" spans="1:16" x14ac:dyDescent="0.2">
      <c r="A180" s="4" t="s">
        <v>12</v>
      </c>
      <c r="B180" s="375" t="s">
        <v>35</v>
      </c>
      <c r="C180" s="545" t="s">
        <v>811</v>
      </c>
      <c r="D180" s="26" t="s">
        <v>65</v>
      </c>
      <c r="E180" s="551">
        <v>0.12</v>
      </c>
      <c r="F180" s="77" t="s">
        <v>870</v>
      </c>
      <c r="G180" s="94" t="s">
        <v>78</v>
      </c>
      <c r="H180" s="64">
        <v>2</v>
      </c>
      <c r="I180" s="309">
        <v>2</v>
      </c>
      <c r="J180" s="309">
        <v>1</v>
      </c>
      <c r="K180" s="309">
        <v>3</v>
      </c>
      <c r="L180" s="309">
        <v>1</v>
      </c>
      <c r="M180" s="66">
        <v>3</v>
      </c>
      <c r="N180" s="534">
        <f t="shared" si="5"/>
        <v>1.0725046436742278</v>
      </c>
      <c r="O180" s="60">
        <f t="shared" si="6"/>
        <v>1.0725046436742278</v>
      </c>
    </row>
    <row r="181" spans="1:16" x14ac:dyDescent="0.2">
      <c r="A181" s="4" t="s">
        <v>12</v>
      </c>
      <c r="B181" s="375" t="s">
        <v>35</v>
      </c>
      <c r="C181" s="546" t="s">
        <v>812</v>
      </c>
      <c r="D181" s="26" t="s">
        <v>65</v>
      </c>
      <c r="E181" s="551">
        <v>0</v>
      </c>
      <c r="F181" s="77" t="s">
        <v>265</v>
      </c>
      <c r="G181" s="94" t="s">
        <v>78</v>
      </c>
      <c r="H181" s="533"/>
      <c r="I181" s="305"/>
      <c r="J181" s="305"/>
      <c r="K181" s="305"/>
      <c r="L181" s="305"/>
      <c r="M181" s="85"/>
      <c r="N181" s="534" t="str">
        <f t="shared" si="5"/>
        <v/>
      </c>
      <c r="O181" s="60" t="str">
        <f t="shared" si="6"/>
        <v/>
      </c>
    </row>
    <row r="182" spans="1:16" x14ac:dyDescent="0.2">
      <c r="A182" s="4" t="s">
        <v>12</v>
      </c>
      <c r="B182" s="375" t="s">
        <v>35</v>
      </c>
      <c r="C182" s="547" t="s">
        <v>813</v>
      </c>
      <c r="D182" s="26" t="s">
        <v>65</v>
      </c>
      <c r="E182" s="26">
        <v>0</v>
      </c>
      <c r="G182" s="94" t="s">
        <v>78</v>
      </c>
      <c r="H182" s="533"/>
      <c r="I182" s="305"/>
      <c r="J182" s="305"/>
      <c r="K182" s="305"/>
      <c r="L182" s="305"/>
      <c r="M182" s="85"/>
      <c r="N182" s="534" t="str">
        <f t="shared" si="5"/>
        <v/>
      </c>
      <c r="O182" s="60" t="str">
        <f t="shared" si="6"/>
        <v/>
      </c>
    </row>
    <row r="183" spans="1:16" x14ac:dyDescent="0.2">
      <c r="A183" s="374" t="s">
        <v>12</v>
      </c>
      <c r="B183" s="375" t="s">
        <v>36</v>
      </c>
      <c r="C183" s="543" t="s">
        <v>809</v>
      </c>
      <c r="D183" s="26" t="s">
        <v>65</v>
      </c>
      <c r="E183" s="551">
        <v>0.1</v>
      </c>
      <c r="F183" s="77" t="s">
        <v>265</v>
      </c>
      <c r="G183" s="94" t="s">
        <v>78</v>
      </c>
      <c r="H183" s="64">
        <v>2</v>
      </c>
      <c r="I183" s="309">
        <v>2</v>
      </c>
      <c r="J183" s="309">
        <v>1</v>
      </c>
      <c r="K183" s="309">
        <v>3</v>
      </c>
      <c r="L183" s="309">
        <v>1</v>
      </c>
      <c r="M183" s="66">
        <v>3</v>
      </c>
      <c r="N183" s="534">
        <f t="shared" si="5"/>
        <v>1.0725046436742278</v>
      </c>
      <c r="O183" s="60">
        <f t="shared" si="6"/>
        <v>1.0725046436742278</v>
      </c>
    </row>
    <row r="184" spans="1:16" x14ac:dyDescent="0.2">
      <c r="A184" s="374" t="s">
        <v>12</v>
      </c>
      <c r="B184" s="375" t="s">
        <v>36</v>
      </c>
      <c r="C184" s="544" t="s">
        <v>810</v>
      </c>
      <c r="D184" s="26" t="s">
        <v>65</v>
      </c>
      <c r="E184" s="551">
        <v>0</v>
      </c>
      <c r="G184" s="94" t="s">
        <v>78</v>
      </c>
      <c r="H184" s="533"/>
      <c r="I184" s="305"/>
      <c r="J184" s="305"/>
      <c r="K184" s="305"/>
      <c r="L184" s="305"/>
      <c r="M184" s="85"/>
      <c r="N184" s="534" t="str">
        <f t="shared" si="5"/>
        <v/>
      </c>
      <c r="O184" s="60" t="str">
        <f t="shared" si="6"/>
        <v/>
      </c>
    </row>
    <row r="185" spans="1:16" x14ac:dyDescent="0.2">
      <c r="A185" s="374" t="s">
        <v>12</v>
      </c>
      <c r="B185" s="375" t="s">
        <v>36</v>
      </c>
      <c r="C185" s="545" t="s">
        <v>811</v>
      </c>
      <c r="D185" s="26" t="s">
        <v>65</v>
      </c>
      <c r="E185" s="551">
        <v>0.23</v>
      </c>
      <c r="F185" s="77" t="s">
        <v>265</v>
      </c>
      <c r="G185" s="94" t="s">
        <v>78</v>
      </c>
      <c r="H185" s="64">
        <v>2</v>
      </c>
      <c r="I185" s="309">
        <v>2</v>
      </c>
      <c r="J185" s="309">
        <v>1</v>
      </c>
      <c r="K185" s="309">
        <v>3</v>
      </c>
      <c r="L185" s="309">
        <v>1</v>
      </c>
      <c r="M185" s="66">
        <v>3</v>
      </c>
      <c r="N185" s="534">
        <f t="shared" si="5"/>
        <v>1.0725046436742278</v>
      </c>
      <c r="O185" s="60">
        <f t="shared" si="6"/>
        <v>1.0725046436742278</v>
      </c>
    </row>
    <row r="186" spans="1:16" x14ac:dyDescent="0.2">
      <c r="A186" s="374" t="s">
        <v>12</v>
      </c>
      <c r="B186" s="375" t="s">
        <v>36</v>
      </c>
      <c r="C186" s="546" t="s">
        <v>812</v>
      </c>
      <c r="D186" s="26" t="s">
        <v>65</v>
      </c>
      <c r="E186" s="551">
        <v>0</v>
      </c>
      <c r="G186" s="94" t="s">
        <v>78</v>
      </c>
      <c r="H186" s="533"/>
      <c r="I186" s="305"/>
      <c r="J186" s="305"/>
      <c r="K186" s="305"/>
      <c r="L186" s="305"/>
      <c r="M186" s="85"/>
      <c r="N186" s="534" t="str">
        <f t="shared" si="5"/>
        <v/>
      </c>
      <c r="O186" s="60" t="str">
        <f t="shared" si="6"/>
        <v/>
      </c>
    </row>
    <row r="187" spans="1:16" x14ac:dyDescent="0.2">
      <c r="A187" s="374" t="s">
        <v>12</v>
      </c>
      <c r="B187" s="375" t="s">
        <v>36</v>
      </c>
      <c r="C187" s="547" t="s">
        <v>813</v>
      </c>
      <c r="D187" s="26" t="s">
        <v>65</v>
      </c>
      <c r="E187" s="551">
        <v>0</v>
      </c>
      <c r="G187" s="94" t="s">
        <v>78</v>
      </c>
      <c r="H187" s="533"/>
      <c r="I187" s="305"/>
      <c r="J187" s="305"/>
      <c r="K187" s="305"/>
      <c r="L187" s="305"/>
      <c r="M187" s="85"/>
      <c r="N187" s="534" t="str">
        <f t="shared" si="5"/>
        <v/>
      </c>
      <c r="O187" s="60" t="str">
        <f t="shared" si="6"/>
        <v/>
      </c>
    </row>
    <row r="188" spans="1:16" x14ac:dyDescent="0.2">
      <c r="A188" s="4" t="s">
        <v>12</v>
      </c>
      <c r="B188" s="375" t="s">
        <v>37</v>
      </c>
      <c r="C188" s="543" t="s">
        <v>809</v>
      </c>
      <c r="D188" s="26" t="s">
        <v>65</v>
      </c>
      <c r="E188" s="535">
        <v>1E-3</v>
      </c>
      <c r="F188" s="77" t="s">
        <v>830</v>
      </c>
      <c r="G188" s="94" t="s">
        <v>78</v>
      </c>
      <c r="H188" s="64">
        <v>2</v>
      </c>
      <c r="I188" s="309">
        <v>2</v>
      </c>
      <c r="J188" s="309">
        <v>2</v>
      </c>
      <c r="K188" s="309">
        <v>3</v>
      </c>
      <c r="L188" s="309">
        <v>1</v>
      </c>
      <c r="M188" s="66">
        <v>3</v>
      </c>
      <c r="N188" s="534">
        <f t="shared" si="5"/>
        <v>1.0776024280428556</v>
      </c>
      <c r="O188" s="60">
        <f t="shared" si="6"/>
        <v>1.0776024280428556</v>
      </c>
      <c r="P188" s="343" t="s">
        <v>871</v>
      </c>
    </row>
    <row r="189" spans="1:16" x14ac:dyDescent="0.2">
      <c r="A189" s="4" t="s">
        <v>12</v>
      </c>
      <c r="B189" s="375" t="s">
        <v>37</v>
      </c>
      <c r="C189" s="544" t="s">
        <v>810</v>
      </c>
      <c r="D189" s="26" t="s">
        <v>65</v>
      </c>
      <c r="E189" s="305">
        <v>0</v>
      </c>
      <c r="G189" s="94" t="s">
        <v>78</v>
      </c>
      <c r="H189" s="533"/>
      <c r="I189" s="305"/>
      <c r="J189" s="305"/>
      <c r="K189" s="305"/>
      <c r="L189" s="305"/>
      <c r="M189" s="85"/>
      <c r="N189" s="534" t="str">
        <f t="shared" si="5"/>
        <v/>
      </c>
      <c r="O189" s="60" t="str">
        <f t="shared" si="6"/>
        <v/>
      </c>
    </row>
    <row r="190" spans="1:16" x14ac:dyDescent="0.2">
      <c r="A190" s="4" t="s">
        <v>12</v>
      </c>
      <c r="B190" s="375" t="s">
        <v>37</v>
      </c>
      <c r="C190" s="545" t="s">
        <v>811</v>
      </c>
      <c r="D190" s="26" t="s">
        <v>65</v>
      </c>
      <c r="E190" s="535">
        <v>1E-3</v>
      </c>
      <c r="F190" s="77" t="s">
        <v>830</v>
      </c>
      <c r="G190" s="94" t="s">
        <v>78</v>
      </c>
      <c r="H190" s="64">
        <v>2</v>
      </c>
      <c r="I190" s="309">
        <v>2</v>
      </c>
      <c r="J190" s="309">
        <v>2</v>
      </c>
      <c r="K190" s="309">
        <v>3</v>
      </c>
      <c r="L190" s="309">
        <v>1</v>
      </c>
      <c r="M190" s="66">
        <v>3</v>
      </c>
      <c r="N190" s="534">
        <f t="shared" si="5"/>
        <v>1.0776024280428556</v>
      </c>
      <c r="O190" s="60">
        <f t="shared" si="6"/>
        <v>1.0776024280428556</v>
      </c>
      <c r="P190" s="343" t="s">
        <v>871</v>
      </c>
    </row>
    <row r="191" spans="1:16" x14ac:dyDescent="0.2">
      <c r="A191" s="4" t="s">
        <v>12</v>
      </c>
      <c r="B191" s="375" t="s">
        <v>37</v>
      </c>
      <c r="C191" s="546" t="s">
        <v>812</v>
      </c>
      <c r="D191" s="26" t="s">
        <v>65</v>
      </c>
      <c r="E191" s="305">
        <v>0</v>
      </c>
      <c r="G191" s="94" t="s">
        <v>78</v>
      </c>
      <c r="H191" s="533"/>
      <c r="I191" s="305"/>
      <c r="J191" s="305"/>
      <c r="K191" s="305"/>
      <c r="L191" s="305"/>
      <c r="M191" s="85"/>
      <c r="N191" s="534" t="str">
        <f t="shared" si="5"/>
        <v/>
      </c>
      <c r="O191" s="60" t="str">
        <f t="shared" si="6"/>
        <v/>
      </c>
    </row>
    <row r="192" spans="1:16" x14ac:dyDescent="0.2">
      <c r="A192" s="4" t="s">
        <v>12</v>
      </c>
      <c r="B192" s="375" t="s">
        <v>37</v>
      </c>
      <c r="C192" s="547" t="s">
        <v>813</v>
      </c>
      <c r="D192" s="26" t="s">
        <v>65</v>
      </c>
      <c r="E192" s="305">
        <v>0</v>
      </c>
      <c r="G192" s="94" t="s">
        <v>78</v>
      </c>
      <c r="H192" s="533"/>
      <c r="I192" s="305"/>
      <c r="J192" s="305"/>
      <c r="K192" s="305"/>
      <c r="L192" s="305"/>
      <c r="M192" s="85"/>
      <c r="N192" s="534" t="str">
        <f t="shared" si="5"/>
        <v/>
      </c>
      <c r="O192" s="60" t="str">
        <f t="shared" si="6"/>
        <v/>
      </c>
      <c r="P192" s="486"/>
    </row>
    <row r="193" spans="1:16" x14ac:dyDescent="0.2">
      <c r="A193" s="374" t="s">
        <v>12</v>
      </c>
      <c r="B193" s="375" t="s">
        <v>38</v>
      </c>
      <c r="C193" s="543" t="s">
        <v>809</v>
      </c>
      <c r="D193" s="26" t="s">
        <v>65</v>
      </c>
      <c r="E193" s="577" t="s">
        <v>56</v>
      </c>
      <c r="G193" s="94" t="s">
        <v>78</v>
      </c>
      <c r="H193" s="533"/>
      <c r="I193" s="305"/>
      <c r="J193" s="305"/>
      <c r="K193" s="305"/>
      <c r="L193" s="305"/>
      <c r="M193" s="85"/>
      <c r="N193" s="534" t="str">
        <f t="shared" si="5"/>
        <v/>
      </c>
      <c r="O193" s="60" t="str">
        <f t="shared" si="6"/>
        <v/>
      </c>
    </row>
    <row r="194" spans="1:16" x14ac:dyDescent="0.2">
      <c r="A194" s="374" t="s">
        <v>12</v>
      </c>
      <c r="B194" s="375" t="s">
        <v>38</v>
      </c>
      <c r="C194" s="544" t="s">
        <v>810</v>
      </c>
      <c r="D194" s="26" t="s">
        <v>65</v>
      </c>
      <c r="E194" s="577" t="s">
        <v>56</v>
      </c>
      <c r="G194" s="94" t="s">
        <v>78</v>
      </c>
      <c r="H194" s="533"/>
      <c r="I194" s="305"/>
      <c r="J194" s="305"/>
      <c r="K194" s="305"/>
      <c r="L194" s="305"/>
      <c r="M194" s="85"/>
      <c r="N194" s="534" t="str">
        <f t="shared" si="5"/>
        <v/>
      </c>
      <c r="O194" s="60" t="str">
        <f t="shared" si="6"/>
        <v/>
      </c>
    </row>
    <row r="195" spans="1:16" x14ac:dyDescent="0.2">
      <c r="A195" s="374" t="s">
        <v>12</v>
      </c>
      <c r="B195" s="375" t="s">
        <v>38</v>
      </c>
      <c r="C195" s="545" t="s">
        <v>811</v>
      </c>
      <c r="D195" s="26" t="s">
        <v>65</v>
      </c>
      <c r="E195" s="577" t="s">
        <v>56</v>
      </c>
      <c r="G195" s="94" t="s">
        <v>78</v>
      </c>
      <c r="H195" s="533"/>
      <c r="I195" s="305"/>
      <c r="J195" s="305"/>
      <c r="K195" s="305"/>
      <c r="L195" s="305"/>
      <c r="M195" s="85"/>
      <c r="N195" s="534" t="str">
        <f t="shared" ref="N195:N258" si="7">IF( OR( ISBLANK(H195),ISBLANK(J195), ISBLANK(K195), ISBLANK(L195), ISBLANK(M195) ), "", 1.5*SQRT(   EXP(2.21*(H195-1)) + EXP(2.21*(J195-1)) + EXP(2.21*(K195-1)) + EXP(2.21*(L195-1)) + EXP(2.21*M195)   )/100*2.45 )</f>
        <v/>
      </c>
      <c r="O195" s="60" t="str">
        <f t="shared" ref="O195:O258" si="8">IF( OR( ISBLANK(I195),ISBLANK(J195), ISBLANK(K195), ISBLANK(L195), ISBLANK(M195) ), "", 1.5*SQRT(   EXP(2.21*(I195-1)) + EXP(2.21*(J195-1)) + EXP(2.21*(K195-1)) + EXP(2.21*(L195-1)) + EXP(2.21*M195)   )/100*2.45 )</f>
        <v/>
      </c>
    </row>
    <row r="196" spans="1:16" x14ac:dyDescent="0.2">
      <c r="A196" s="374" t="s">
        <v>12</v>
      </c>
      <c r="B196" s="375" t="s">
        <v>38</v>
      </c>
      <c r="C196" s="546" t="s">
        <v>812</v>
      </c>
      <c r="D196" s="26" t="s">
        <v>65</v>
      </c>
      <c r="E196" s="577" t="s">
        <v>56</v>
      </c>
      <c r="G196" s="94" t="s">
        <v>78</v>
      </c>
      <c r="H196" s="533"/>
      <c r="I196" s="305"/>
      <c r="J196" s="305"/>
      <c r="K196" s="305"/>
      <c r="L196" s="305"/>
      <c r="M196" s="85"/>
      <c r="N196" s="534" t="str">
        <f t="shared" si="7"/>
        <v/>
      </c>
      <c r="O196" s="60" t="str">
        <f t="shared" si="8"/>
        <v/>
      </c>
    </row>
    <row r="197" spans="1:16" x14ac:dyDescent="0.2">
      <c r="A197" s="374" t="s">
        <v>12</v>
      </c>
      <c r="B197" s="375" t="s">
        <v>38</v>
      </c>
      <c r="C197" s="547" t="s">
        <v>813</v>
      </c>
      <c r="D197" s="26" t="s">
        <v>65</v>
      </c>
      <c r="E197" s="577" t="s">
        <v>56</v>
      </c>
      <c r="G197" s="94" t="s">
        <v>78</v>
      </c>
      <c r="H197" s="533"/>
      <c r="I197" s="305"/>
      <c r="J197" s="305"/>
      <c r="K197" s="305"/>
      <c r="L197" s="305"/>
      <c r="M197" s="85"/>
      <c r="N197" s="534" t="str">
        <f t="shared" si="7"/>
        <v/>
      </c>
      <c r="O197" s="60" t="str">
        <f t="shared" si="8"/>
        <v/>
      </c>
    </row>
    <row r="198" spans="1:16" s="565" customFormat="1" x14ac:dyDescent="0.2">
      <c r="A198" s="570" t="s">
        <v>86</v>
      </c>
      <c r="B198" s="131" t="s">
        <v>114</v>
      </c>
      <c r="C198" s="555" t="s">
        <v>65</v>
      </c>
      <c r="D198" s="560" t="s">
        <v>65</v>
      </c>
      <c r="E198" s="571">
        <v>1</v>
      </c>
      <c r="F198" s="562"/>
      <c r="G198" s="563"/>
      <c r="H198" s="572"/>
      <c r="I198" s="110"/>
      <c r="J198" s="110"/>
      <c r="K198" s="110"/>
      <c r="L198" s="110"/>
      <c r="M198" s="111"/>
      <c r="N198" s="534" t="str">
        <f t="shared" si="7"/>
        <v/>
      </c>
      <c r="O198" s="60" t="str">
        <f t="shared" si="8"/>
        <v/>
      </c>
      <c r="P198" s="109"/>
    </row>
    <row r="199" spans="1:16" s="565" customFormat="1" x14ac:dyDescent="0.2">
      <c r="A199" s="570" t="s">
        <v>39</v>
      </c>
      <c r="B199" s="131" t="s">
        <v>115</v>
      </c>
      <c r="C199" s="555" t="s">
        <v>65</v>
      </c>
      <c r="D199" s="560" t="s">
        <v>65</v>
      </c>
      <c r="E199" s="571">
        <v>1</v>
      </c>
      <c r="F199" s="562"/>
      <c r="G199" s="563"/>
      <c r="H199" s="572"/>
      <c r="I199" s="110"/>
      <c r="J199" s="110"/>
      <c r="K199" s="110"/>
      <c r="L199" s="110"/>
      <c r="M199" s="111"/>
      <c r="N199" s="534" t="str">
        <f t="shared" si="7"/>
        <v/>
      </c>
      <c r="O199" s="60" t="str">
        <f t="shared" si="8"/>
        <v/>
      </c>
      <c r="P199" s="109"/>
    </row>
    <row r="200" spans="1:16" s="497" customFormat="1" x14ac:dyDescent="0.2">
      <c r="A200" s="3" t="s">
        <v>40</v>
      </c>
      <c r="B200" s="25" t="s">
        <v>87</v>
      </c>
      <c r="C200" s="543" t="s">
        <v>809</v>
      </c>
      <c r="D200" s="28" t="s">
        <v>65</v>
      </c>
      <c r="E200" s="26">
        <v>7.0000000000000007E-2</v>
      </c>
      <c r="F200" s="77" t="s">
        <v>872</v>
      </c>
      <c r="G200" s="95" t="s">
        <v>78</v>
      </c>
      <c r="H200" s="64">
        <v>2</v>
      </c>
      <c r="I200" s="309">
        <v>2</v>
      </c>
      <c r="J200" s="309">
        <v>2</v>
      </c>
      <c r="K200" s="309">
        <v>1</v>
      </c>
      <c r="L200" s="309">
        <v>1</v>
      </c>
      <c r="M200" s="66">
        <v>2</v>
      </c>
      <c r="N200" s="534">
        <f t="shared" si="7"/>
        <v>0.37356464144298934</v>
      </c>
      <c r="O200" s="60">
        <f t="shared" si="8"/>
        <v>0.37356464144298934</v>
      </c>
      <c r="P200" s="82"/>
    </row>
    <row r="201" spans="1:16" x14ac:dyDescent="0.2">
      <c r="A201" s="4" t="s">
        <v>40</v>
      </c>
      <c r="B201" s="375" t="s">
        <v>87</v>
      </c>
      <c r="C201" s="544" t="s">
        <v>810</v>
      </c>
      <c r="D201" s="26" t="s">
        <v>65</v>
      </c>
      <c r="E201" s="567">
        <v>0</v>
      </c>
      <c r="G201" s="94" t="s">
        <v>78</v>
      </c>
      <c r="H201" s="540"/>
      <c r="I201" s="61"/>
      <c r="J201" s="61"/>
      <c r="K201" s="61"/>
      <c r="L201" s="61"/>
      <c r="M201" s="30"/>
      <c r="N201" s="534" t="str">
        <f t="shared" si="7"/>
        <v/>
      </c>
      <c r="O201" s="60" t="str">
        <f t="shared" si="8"/>
        <v/>
      </c>
    </row>
    <row r="202" spans="1:16" x14ac:dyDescent="0.2">
      <c r="A202" s="4" t="s">
        <v>40</v>
      </c>
      <c r="B202" s="375" t="s">
        <v>87</v>
      </c>
      <c r="C202" s="545" t="s">
        <v>811</v>
      </c>
      <c r="D202" s="26" t="s">
        <v>65</v>
      </c>
      <c r="E202" s="26">
        <v>7.0000000000000007E-2</v>
      </c>
      <c r="F202" s="77" t="s">
        <v>872</v>
      </c>
      <c r="G202" s="94" t="s">
        <v>78</v>
      </c>
      <c r="H202" s="64">
        <v>2</v>
      </c>
      <c r="I202" s="309">
        <v>2</v>
      </c>
      <c r="J202" s="309">
        <v>2</v>
      </c>
      <c r="K202" s="309">
        <v>1</v>
      </c>
      <c r="L202" s="309">
        <v>1</v>
      </c>
      <c r="M202" s="66">
        <v>2</v>
      </c>
      <c r="N202" s="534">
        <f t="shared" si="7"/>
        <v>0.37356464144298934</v>
      </c>
      <c r="O202" s="60">
        <f t="shared" si="8"/>
        <v>0.37356464144298934</v>
      </c>
    </row>
    <row r="203" spans="1:16" x14ac:dyDescent="0.2">
      <c r="A203" s="4" t="s">
        <v>40</v>
      </c>
      <c r="B203" s="375" t="s">
        <v>87</v>
      </c>
      <c r="C203" s="546" t="s">
        <v>812</v>
      </c>
      <c r="D203" s="26" t="s">
        <v>65</v>
      </c>
      <c r="E203" s="567">
        <v>0</v>
      </c>
      <c r="G203" s="94" t="s">
        <v>78</v>
      </c>
      <c r="H203" s="533"/>
      <c r="I203" s="305"/>
      <c r="J203" s="305"/>
      <c r="K203" s="305"/>
      <c r="L203" s="305"/>
      <c r="M203" s="85"/>
      <c r="N203" s="534" t="str">
        <f t="shared" si="7"/>
        <v/>
      </c>
      <c r="O203" s="60" t="str">
        <f t="shared" si="8"/>
        <v/>
      </c>
    </row>
    <row r="204" spans="1:16" x14ac:dyDescent="0.2">
      <c r="A204" s="4" t="s">
        <v>40</v>
      </c>
      <c r="B204" s="375" t="s">
        <v>87</v>
      </c>
      <c r="C204" s="547" t="s">
        <v>813</v>
      </c>
      <c r="D204" s="26" t="s">
        <v>65</v>
      </c>
      <c r="E204" s="567">
        <v>0</v>
      </c>
      <c r="G204" s="94" t="s">
        <v>78</v>
      </c>
      <c r="H204" s="533"/>
      <c r="I204" s="305"/>
      <c r="J204" s="305"/>
      <c r="K204" s="305"/>
      <c r="L204" s="305"/>
      <c r="M204" s="85"/>
      <c r="N204" s="534" t="str">
        <f t="shared" si="7"/>
        <v/>
      </c>
      <c r="O204" s="60" t="str">
        <f t="shared" si="8"/>
        <v/>
      </c>
    </row>
    <row r="205" spans="1:16" x14ac:dyDescent="0.2">
      <c r="A205" s="374" t="s">
        <v>40</v>
      </c>
      <c r="B205" s="375" t="s">
        <v>88</v>
      </c>
      <c r="C205" s="543" t="s">
        <v>809</v>
      </c>
      <c r="D205" s="26" t="s">
        <v>65</v>
      </c>
      <c r="E205" s="567">
        <v>0</v>
      </c>
      <c r="G205" s="94" t="s">
        <v>78</v>
      </c>
      <c r="H205" s="533"/>
      <c r="I205" s="305"/>
      <c r="J205" s="305"/>
      <c r="K205" s="305"/>
      <c r="L205" s="305"/>
      <c r="M205" s="85"/>
      <c r="N205" s="534" t="str">
        <f t="shared" si="7"/>
        <v/>
      </c>
      <c r="O205" s="60" t="str">
        <f t="shared" si="8"/>
        <v/>
      </c>
      <c r="P205" s="343" t="s">
        <v>873</v>
      </c>
    </row>
    <row r="206" spans="1:16" x14ac:dyDescent="0.2">
      <c r="A206" s="374" t="s">
        <v>40</v>
      </c>
      <c r="B206" s="375" t="s">
        <v>88</v>
      </c>
      <c r="C206" s="544" t="s">
        <v>810</v>
      </c>
      <c r="D206" s="26" t="s">
        <v>65</v>
      </c>
      <c r="E206" s="567">
        <v>0</v>
      </c>
      <c r="G206" s="94" t="s">
        <v>78</v>
      </c>
      <c r="H206" s="533"/>
      <c r="I206" s="305"/>
      <c r="J206" s="305"/>
      <c r="K206" s="305"/>
      <c r="L206" s="305"/>
      <c r="M206" s="85"/>
      <c r="N206" s="534" t="str">
        <f t="shared" si="7"/>
        <v/>
      </c>
      <c r="O206" s="60" t="str">
        <f t="shared" si="8"/>
        <v/>
      </c>
      <c r="P206" s="343" t="s">
        <v>873</v>
      </c>
    </row>
    <row r="207" spans="1:16" x14ac:dyDescent="0.2">
      <c r="A207" s="374" t="s">
        <v>40</v>
      </c>
      <c r="B207" s="375" t="s">
        <v>88</v>
      </c>
      <c r="C207" s="545" t="s">
        <v>811</v>
      </c>
      <c r="D207" s="26" t="s">
        <v>65</v>
      </c>
      <c r="E207" s="568">
        <v>4.2000000000000003E-2</v>
      </c>
      <c r="F207" s="77" t="s">
        <v>872</v>
      </c>
      <c r="G207" s="94" t="s">
        <v>78</v>
      </c>
      <c r="H207" s="64">
        <v>2</v>
      </c>
      <c r="I207" s="309">
        <v>2</v>
      </c>
      <c r="J207" s="309">
        <v>2</v>
      </c>
      <c r="K207" s="309">
        <v>1</v>
      </c>
      <c r="L207" s="309">
        <v>1</v>
      </c>
      <c r="M207" s="66">
        <v>2</v>
      </c>
      <c r="N207" s="534">
        <f t="shared" si="7"/>
        <v>0.37356464144298934</v>
      </c>
      <c r="O207" s="60">
        <f t="shared" si="8"/>
        <v>0.37356464144298934</v>
      </c>
    </row>
    <row r="208" spans="1:16" x14ac:dyDescent="0.2">
      <c r="A208" s="374" t="s">
        <v>40</v>
      </c>
      <c r="B208" s="375" t="s">
        <v>88</v>
      </c>
      <c r="C208" s="546" t="s">
        <v>812</v>
      </c>
      <c r="D208" s="26" t="s">
        <v>65</v>
      </c>
      <c r="E208" s="567">
        <v>0</v>
      </c>
      <c r="G208" s="94" t="s">
        <v>78</v>
      </c>
      <c r="H208" s="533"/>
      <c r="I208" s="305"/>
      <c r="J208" s="305"/>
      <c r="K208" s="305"/>
      <c r="L208" s="305"/>
      <c r="M208" s="85"/>
      <c r="N208" s="534" t="str">
        <f t="shared" si="7"/>
        <v/>
      </c>
      <c r="O208" s="60" t="str">
        <f t="shared" si="8"/>
        <v/>
      </c>
    </row>
    <row r="209" spans="1:16" x14ac:dyDescent="0.2">
      <c r="A209" s="374" t="s">
        <v>40</v>
      </c>
      <c r="B209" s="375" t="s">
        <v>88</v>
      </c>
      <c r="C209" s="547" t="s">
        <v>813</v>
      </c>
      <c r="D209" s="26" t="s">
        <v>65</v>
      </c>
      <c r="E209" s="567">
        <v>0</v>
      </c>
      <c r="G209" s="94" t="s">
        <v>78</v>
      </c>
      <c r="H209" s="533"/>
      <c r="I209" s="305"/>
      <c r="J209" s="305"/>
      <c r="K209" s="305"/>
      <c r="L209" s="305"/>
      <c r="M209" s="85"/>
      <c r="N209" s="534" t="str">
        <f t="shared" si="7"/>
        <v/>
      </c>
      <c r="O209" s="60" t="str">
        <f t="shared" si="8"/>
        <v/>
      </c>
    </row>
    <row r="210" spans="1:16" x14ac:dyDescent="0.2">
      <c r="A210" s="4" t="s">
        <v>40</v>
      </c>
      <c r="B210" s="375" t="s">
        <v>89</v>
      </c>
      <c r="C210" s="543" t="s">
        <v>809</v>
      </c>
      <c r="D210" s="26" t="s">
        <v>65</v>
      </c>
      <c r="E210" s="26">
        <v>0.23</v>
      </c>
      <c r="F210" s="77" t="s">
        <v>872</v>
      </c>
      <c r="G210" s="94" t="s">
        <v>78</v>
      </c>
      <c r="H210" s="64">
        <v>2</v>
      </c>
      <c r="I210" s="309">
        <v>2</v>
      </c>
      <c r="J210" s="309">
        <v>2</v>
      </c>
      <c r="K210" s="309">
        <v>1</v>
      </c>
      <c r="L210" s="309">
        <v>1</v>
      </c>
      <c r="M210" s="66">
        <v>2</v>
      </c>
      <c r="N210" s="534">
        <f t="shared" si="7"/>
        <v>0.37356464144298934</v>
      </c>
      <c r="O210" s="60">
        <f t="shared" si="8"/>
        <v>0.37356464144298934</v>
      </c>
      <c r="P210" s="343" t="s">
        <v>874</v>
      </c>
    </row>
    <row r="211" spans="1:16" x14ac:dyDescent="0.2">
      <c r="A211" s="4" t="s">
        <v>40</v>
      </c>
      <c r="B211" s="375" t="s">
        <v>89</v>
      </c>
      <c r="C211" s="544" t="s">
        <v>810</v>
      </c>
      <c r="D211" s="26" t="s">
        <v>65</v>
      </c>
      <c r="E211" s="567">
        <v>0</v>
      </c>
      <c r="G211" s="94" t="s">
        <v>78</v>
      </c>
      <c r="H211" s="533"/>
      <c r="I211" s="305"/>
      <c r="J211" s="305"/>
      <c r="K211" s="305"/>
      <c r="L211" s="305"/>
      <c r="M211" s="85"/>
      <c r="N211" s="534" t="str">
        <f t="shared" si="7"/>
        <v/>
      </c>
      <c r="O211" s="60" t="str">
        <f t="shared" si="8"/>
        <v/>
      </c>
    </row>
    <row r="212" spans="1:16" x14ac:dyDescent="0.2">
      <c r="A212" s="4" t="s">
        <v>40</v>
      </c>
      <c r="B212" s="375" t="s">
        <v>89</v>
      </c>
      <c r="C212" s="545" t="s">
        <v>811</v>
      </c>
      <c r="D212" s="26" t="s">
        <v>65</v>
      </c>
      <c r="E212" s="26">
        <v>0.23</v>
      </c>
      <c r="F212" s="77" t="s">
        <v>872</v>
      </c>
      <c r="G212" s="94" t="s">
        <v>78</v>
      </c>
      <c r="H212" s="64">
        <v>2</v>
      </c>
      <c r="I212" s="309">
        <v>2</v>
      </c>
      <c r="J212" s="309">
        <v>2</v>
      </c>
      <c r="K212" s="309">
        <v>1</v>
      </c>
      <c r="L212" s="309">
        <v>1</v>
      </c>
      <c r="M212" s="66">
        <v>2</v>
      </c>
      <c r="N212" s="534">
        <f t="shared" si="7"/>
        <v>0.37356464144298934</v>
      </c>
      <c r="O212" s="60">
        <f t="shared" si="8"/>
        <v>0.37356464144298934</v>
      </c>
    </row>
    <row r="213" spans="1:16" x14ac:dyDescent="0.2">
      <c r="A213" s="4" t="s">
        <v>40</v>
      </c>
      <c r="B213" s="375" t="s">
        <v>89</v>
      </c>
      <c r="C213" s="546" t="s">
        <v>812</v>
      </c>
      <c r="D213" s="26" t="s">
        <v>65</v>
      </c>
      <c r="E213" s="567">
        <v>0</v>
      </c>
      <c r="G213" s="94" t="s">
        <v>78</v>
      </c>
      <c r="H213" s="533"/>
      <c r="I213" s="305"/>
      <c r="J213" s="305"/>
      <c r="K213" s="305"/>
      <c r="L213" s="305"/>
      <c r="M213" s="85"/>
      <c r="N213" s="534" t="str">
        <f t="shared" si="7"/>
        <v/>
      </c>
      <c r="O213" s="60" t="str">
        <f t="shared" si="8"/>
        <v/>
      </c>
    </row>
    <row r="214" spans="1:16" x14ac:dyDescent="0.2">
      <c r="A214" s="4" t="s">
        <v>40</v>
      </c>
      <c r="B214" s="375" t="s">
        <v>89</v>
      </c>
      <c r="C214" s="547" t="s">
        <v>813</v>
      </c>
      <c r="D214" s="26" t="s">
        <v>65</v>
      </c>
      <c r="E214" s="567">
        <v>0</v>
      </c>
      <c r="G214" s="94" t="s">
        <v>78</v>
      </c>
      <c r="H214" s="533"/>
      <c r="I214" s="305"/>
      <c r="J214" s="305"/>
      <c r="K214" s="305"/>
      <c r="L214" s="305"/>
      <c r="M214" s="85"/>
      <c r="N214" s="534" t="str">
        <f t="shared" si="7"/>
        <v/>
      </c>
      <c r="O214" s="60" t="str">
        <f t="shared" si="8"/>
        <v/>
      </c>
    </row>
    <row r="215" spans="1:16" x14ac:dyDescent="0.2">
      <c r="A215" s="4" t="s">
        <v>40</v>
      </c>
      <c r="B215" s="375" t="s">
        <v>90</v>
      </c>
      <c r="C215" s="543" t="s">
        <v>809</v>
      </c>
      <c r="D215" s="26" t="s">
        <v>65</v>
      </c>
      <c r="E215" s="567">
        <v>0</v>
      </c>
      <c r="F215" s="77" t="s">
        <v>94</v>
      </c>
      <c r="G215" s="94" t="s">
        <v>78</v>
      </c>
      <c r="H215" s="533"/>
      <c r="I215" s="305"/>
      <c r="J215" s="305"/>
      <c r="K215" s="305"/>
      <c r="L215" s="305"/>
      <c r="M215" s="85"/>
      <c r="N215" s="534" t="str">
        <f t="shared" si="7"/>
        <v/>
      </c>
      <c r="O215" s="60" t="str">
        <f t="shared" si="8"/>
        <v/>
      </c>
      <c r="P215" s="343" t="s">
        <v>873</v>
      </c>
    </row>
    <row r="216" spans="1:16" x14ac:dyDescent="0.2">
      <c r="A216" s="4" t="s">
        <v>40</v>
      </c>
      <c r="B216" s="375" t="s">
        <v>90</v>
      </c>
      <c r="C216" s="544" t="s">
        <v>810</v>
      </c>
      <c r="D216" s="26" t="s">
        <v>65</v>
      </c>
      <c r="E216" s="567">
        <v>0</v>
      </c>
      <c r="G216" s="94" t="s">
        <v>78</v>
      </c>
      <c r="H216" s="533"/>
      <c r="I216" s="305"/>
      <c r="J216" s="305"/>
      <c r="K216" s="305"/>
      <c r="L216" s="305"/>
      <c r="M216" s="85"/>
      <c r="N216" s="534" t="str">
        <f t="shared" si="7"/>
        <v/>
      </c>
      <c r="O216" s="60" t="str">
        <f t="shared" si="8"/>
        <v/>
      </c>
    </row>
    <row r="217" spans="1:16" x14ac:dyDescent="0.2">
      <c r="A217" s="4" t="s">
        <v>40</v>
      </c>
      <c r="B217" s="375" t="s">
        <v>90</v>
      </c>
      <c r="C217" s="545" t="s">
        <v>811</v>
      </c>
      <c r="D217" s="26" t="s">
        <v>65</v>
      </c>
      <c r="E217" s="568">
        <v>0.01</v>
      </c>
      <c r="F217" s="77" t="s">
        <v>872</v>
      </c>
      <c r="G217" s="94" t="s">
        <v>78</v>
      </c>
      <c r="H217" s="64">
        <v>2</v>
      </c>
      <c r="I217" s="309">
        <v>2</v>
      </c>
      <c r="J217" s="309">
        <v>2</v>
      </c>
      <c r="K217" s="309">
        <v>1</v>
      </c>
      <c r="L217" s="309">
        <v>1</v>
      </c>
      <c r="M217" s="66">
        <v>2</v>
      </c>
      <c r="N217" s="534">
        <f t="shared" si="7"/>
        <v>0.37356464144298934</v>
      </c>
      <c r="O217" s="60">
        <f t="shared" si="8"/>
        <v>0.37356464144298934</v>
      </c>
    </row>
    <row r="218" spans="1:16" x14ac:dyDescent="0.2">
      <c r="A218" s="4" t="s">
        <v>40</v>
      </c>
      <c r="B218" s="375" t="s">
        <v>90</v>
      </c>
      <c r="C218" s="546" t="s">
        <v>812</v>
      </c>
      <c r="D218" s="26" t="s">
        <v>65</v>
      </c>
      <c r="E218" s="567">
        <v>0</v>
      </c>
      <c r="G218" s="94" t="s">
        <v>78</v>
      </c>
      <c r="H218" s="533"/>
      <c r="I218" s="305"/>
      <c r="J218" s="305"/>
      <c r="K218" s="305"/>
      <c r="L218" s="305"/>
      <c r="M218" s="85"/>
      <c r="N218" s="534" t="str">
        <f t="shared" si="7"/>
        <v/>
      </c>
      <c r="O218" s="60" t="str">
        <f t="shared" si="8"/>
        <v/>
      </c>
    </row>
    <row r="219" spans="1:16" x14ac:dyDescent="0.2">
      <c r="A219" s="4" t="s">
        <v>40</v>
      </c>
      <c r="B219" s="375" t="s">
        <v>90</v>
      </c>
      <c r="C219" s="547" t="s">
        <v>813</v>
      </c>
      <c r="D219" s="26" t="s">
        <v>65</v>
      </c>
      <c r="E219" s="567">
        <v>0</v>
      </c>
      <c r="F219" s="486"/>
      <c r="G219" s="94" t="s">
        <v>78</v>
      </c>
      <c r="H219" s="533"/>
      <c r="I219" s="305"/>
      <c r="J219" s="305"/>
      <c r="K219" s="305"/>
      <c r="L219" s="305"/>
      <c r="M219" s="85"/>
      <c r="N219" s="534" t="str">
        <f t="shared" si="7"/>
        <v/>
      </c>
      <c r="O219" s="60" t="str">
        <f t="shared" si="8"/>
        <v/>
      </c>
    </row>
    <row r="220" spans="1:16" x14ac:dyDescent="0.2">
      <c r="A220" s="374" t="s">
        <v>40</v>
      </c>
      <c r="B220" s="375" t="s">
        <v>91</v>
      </c>
      <c r="C220" s="543" t="s">
        <v>809</v>
      </c>
      <c r="D220" s="26" t="s">
        <v>65</v>
      </c>
      <c r="E220" s="551">
        <v>0.2</v>
      </c>
      <c r="F220" s="77" t="s">
        <v>872</v>
      </c>
      <c r="G220" s="94" t="s">
        <v>78</v>
      </c>
      <c r="H220" s="64">
        <v>2</v>
      </c>
      <c r="I220" s="309">
        <v>2</v>
      </c>
      <c r="J220" s="309">
        <v>2</v>
      </c>
      <c r="K220" s="309">
        <v>1</v>
      </c>
      <c r="L220" s="309">
        <v>1</v>
      </c>
      <c r="M220" s="66">
        <v>2</v>
      </c>
      <c r="N220" s="534">
        <f t="shared" si="7"/>
        <v>0.37356464144298934</v>
      </c>
      <c r="O220" s="60">
        <f t="shared" si="8"/>
        <v>0.37356464144298934</v>
      </c>
    </row>
    <row r="221" spans="1:16" x14ac:dyDescent="0.2">
      <c r="A221" s="4" t="s">
        <v>40</v>
      </c>
      <c r="B221" s="375" t="s">
        <v>91</v>
      </c>
      <c r="C221" s="544" t="s">
        <v>810</v>
      </c>
      <c r="D221" s="26" t="s">
        <v>65</v>
      </c>
      <c r="E221" s="567">
        <v>0</v>
      </c>
      <c r="F221" s="486"/>
      <c r="G221" s="94" t="s">
        <v>78</v>
      </c>
      <c r="H221" s="533"/>
      <c r="I221" s="305"/>
      <c r="J221" s="305"/>
      <c r="K221" s="305"/>
      <c r="L221" s="305"/>
      <c r="M221" s="85"/>
      <c r="N221" s="534" t="str">
        <f t="shared" si="7"/>
        <v/>
      </c>
      <c r="O221" s="60" t="str">
        <f t="shared" si="8"/>
        <v/>
      </c>
      <c r="P221" s="343" t="s">
        <v>874</v>
      </c>
    </row>
    <row r="222" spans="1:16" x14ac:dyDescent="0.2">
      <c r="A222" s="4" t="s">
        <v>40</v>
      </c>
      <c r="B222" s="375" t="s">
        <v>91</v>
      </c>
      <c r="C222" s="545" t="s">
        <v>811</v>
      </c>
      <c r="D222" s="26" t="s">
        <v>65</v>
      </c>
      <c r="E222" s="568">
        <v>6.7000000000000004E-2</v>
      </c>
      <c r="F222" s="77" t="s">
        <v>94</v>
      </c>
      <c r="G222" s="94" t="s">
        <v>78</v>
      </c>
      <c r="H222" s="64">
        <v>2</v>
      </c>
      <c r="I222" s="309">
        <v>2</v>
      </c>
      <c r="J222" s="309">
        <v>2</v>
      </c>
      <c r="K222" s="309">
        <v>1</v>
      </c>
      <c r="L222" s="309">
        <v>1</v>
      </c>
      <c r="M222" s="66">
        <v>2</v>
      </c>
      <c r="N222" s="534">
        <f t="shared" si="7"/>
        <v>0.37356464144298934</v>
      </c>
      <c r="O222" s="60">
        <f t="shared" si="8"/>
        <v>0.37356464144298934</v>
      </c>
      <c r="P222" s="343" t="s">
        <v>874</v>
      </c>
    </row>
    <row r="223" spans="1:16" x14ac:dyDescent="0.2">
      <c r="A223" s="4" t="s">
        <v>40</v>
      </c>
      <c r="B223" s="375" t="s">
        <v>91</v>
      </c>
      <c r="C223" s="546" t="s">
        <v>812</v>
      </c>
      <c r="D223" s="26" t="s">
        <v>65</v>
      </c>
      <c r="E223" s="567">
        <v>0</v>
      </c>
      <c r="G223" s="94" t="s">
        <v>78</v>
      </c>
      <c r="H223" s="533"/>
      <c r="I223" s="305"/>
      <c r="J223" s="305"/>
      <c r="K223" s="305"/>
      <c r="L223" s="305"/>
      <c r="M223" s="85"/>
      <c r="N223" s="534" t="str">
        <f t="shared" si="7"/>
        <v/>
      </c>
      <c r="O223" s="60" t="str">
        <f t="shared" si="8"/>
        <v/>
      </c>
    </row>
    <row r="224" spans="1:16" x14ac:dyDescent="0.2">
      <c r="A224" s="4" t="s">
        <v>40</v>
      </c>
      <c r="B224" s="375" t="s">
        <v>91</v>
      </c>
      <c r="C224" s="547" t="s">
        <v>813</v>
      </c>
      <c r="D224" s="26" t="s">
        <v>65</v>
      </c>
      <c r="E224" s="567">
        <v>0</v>
      </c>
      <c r="G224" s="94" t="s">
        <v>78</v>
      </c>
      <c r="H224" s="533"/>
      <c r="I224" s="305"/>
      <c r="J224" s="305"/>
      <c r="K224" s="305"/>
      <c r="L224" s="305"/>
      <c r="M224" s="85"/>
      <c r="N224" s="534" t="str">
        <f t="shared" si="7"/>
        <v/>
      </c>
      <c r="O224" s="60" t="str">
        <f t="shared" si="8"/>
        <v/>
      </c>
    </row>
    <row r="225" spans="1:16" x14ac:dyDescent="0.2">
      <c r="A225" s="374" t="s">
        <v>40</v>
      </c>
      <c r="B225" s="375" t="s">
        <v>95</v>
      </c>
      <c r="C225" s="543" t="s">
        <v>809</v>
      </c>
      <c r="D225" s="26" t="s">
        <v>65</v>
      </c>
      <c r="E225" s="551">
        <v>7.0000000000000007E-2</v>
      </c>
      <c r="F225" s="77" t="s">
        <v>94</v>
      </c>
      <c r="G225" s="94" t="s">
        <v>78</v>
      </c>
      <c r="H225" s="64">
        <v>2</v>
      </c>
      <c r="I225" s="309">
        <v>2</v>
      </c>
      <c r="J225" s="309">
        <v>2</v>
      </c>
      <c r="K225" s="309">
        <v>3</v>
      </c>
      <c r="L225" s="309">
        <v>1</v>
      </c>
      <c r="M225" s="66">
        <v>2</v>
      </c>
      <c r="N225" s="534">
        <f t="shared" si="7"/>
        <v>0.50042652380814845</v>
      </c>
      <c r="O225" s="60">
        <f t="shared" si="8"/>
        <v>0.50042652380814845</v>
      </c>
      <c r="P225" s="343" t="s">
        <v>874</v>
      </c>
    </row>
    <row r="226" spans="1:16" x14ac:dyDescent="0.2">
      <c r="A226" s="374" t="s">
        <v>40</v>
      </c>
      <c r="B226" s="375" t="s">
        <v>95</v>
      </c>
      <c r="C226" s="544" t="s">
        <v>810</v>
      </c>
      <c r="D226" s="26" t="s">
        <v>65</v>
      </c>
      <c r="E226" s="567">
        <v>0</v>
      </c>
      <c r="G226" s="94" t="s">
        <v>78</v>
      </c>
      <c r="H226" s="533"/>
      <c r="I226" s="305"/>
      <c r="J226" s="305"/>
      <c r="K226" s="305"/>
      <c r="L226" s="305"/>
      <c r="M226" s="85"/>
      <c r="N226" s="534" t="str">
        <f t="shared" si="7"/>
        <v/>
      </c>
      <c r="O226" s="60" t="str">
        <f t="shared" si="8"/>
        <v/>
      </c>
    </row>
    <row r="227" spans="1:16" x14ac:dyDescent="0.2">
      <c r="A227" s="374" t="s">
        <v>40</v>
      </c>
      <c r="B227" s="375" t="s">
        <v>95</v>
      </c>
      <c r="C227" s="545" t="s">
        <v>811</v>
      </c>
      <c r="D227" s="26" t="s">
        <v>65</v>
      </c>
      <c r="E227" s="486">
        <v>0.17299999999999999</v>
      </c>
      <c r="F227" s="77" t="s">
        <v>111</v>
      </c>
      <c r="G227" s="94" t="s">
        <v>78</v>
      </c>
      <c r="H227" s="64">
        <v>2</v>
      </c>
      <c r="I227" s="309">
        <v>2</v>
      </c>
      <c r="J227" s="309">
        <v>2</v>
      </c>
      <c r="K227" s="309">
        <v>1</v>
      </c>
      <c r="L227" s="309">
        <v>1</v>
      </c>
      <c r="M227" s="66">
        <v>2</v>
      </c>
      <c r="N227" s="534">
        <f t="shared" si="7"/>
        <v>0.37356464144298934</v>
      </c>
      <c r="O227" s="60">
        <f t="shared" si="8"/>
        <v>0.37356464144298934</v>
      </c>
    </row>
    <row r="228" spans="1:16" x14ac:dyDescent="0.2">
      <c r="A228" s="374" t="s">
        <v>40</v>
      </c>
      <c r="B228" s="375" t="s">
        <v>95</v>
      </c>
      <c r="C228" s="546" t="s">
        <v>812</v>
      </c>
      <c r="D228" s="26" t="s">
        <v>65</v>
      </c>
      <c r="E228" s="567">
        <v>0</v>
      </c>
      <c r="G228" s="94" t="s">
        <v>78</v>
      </c>
      <c r="H228" s="533"/>
      <c r="I228" s="305"/>
      <c r="J228" s="305"/>
      <c r="K228" s="305"/>
      <c r="L228" s="305"/>
      <c r="M228" s="85"/>
      <c r="N228" s="534" t="str">
        <f t="shared" si="7"/>
        <v/>
      </c>
      <c r="O228" s="60" t="str">
        <f t="shared" si="8"/>
        <v/>
      </c>
    </row>
    <row r="229" spans="1:16" x14ac:dyDescent="0.2">
      <c r="A229" s="374" t="s">
        <v>40</v>
      </c>
      <c r="B229" s="375" t="s">
        <v>95</v>
      </c>
      <c r="C229" s="547" t="s">
        <v>813</v>
      </c>
      <c r="D229" s="26" t="s">
        <v>65</v>
      </c>
      <c r="E229" s="567">
        <v>0</v>
      </c>
      <c r="F229" s="486"/>
      <c r="G229" s="94" t="s">
        <v>78</v>
      </c>
      <c r="H229" s="533"/>
      <c r="I229" s="305"/>
      <c r="J229" s="305"/>
      <c r="K229" s="305"/>
      <c r="L229" s="305"/>
      <c r="M229" s="85"/>
      <c r="N229" s="534" t="str">
        <f t="shared" si="7"/>
        <v/>
      </c>
      <c r="O229" s="60" t="str">
        <f t="shared" si="8"/>
        <v/>
      </c>
    </row>
    <row r="230" spans="1:16" x14ac:dyDescent="0.2">
      <c r="A230" s="4" t="s">
        <v>40</v>
      </c>
      <c r="B230" s="375" t="s">
        <v>92</v>
      </c>
      <c r="C230" s="543" t="s">
        <v>809</v>
      </c>
      <c r="D230" s="26" t="s">
        <v>65</v>
      </c>
      <c r="E230" s="551">
        <v>0.23</v>
      </c>
      <c r="F230" s="77" t="s">
        <v>111</v>
      </c>
      <c r="G230" s="94" t="s">
        <v>78</v>
      </c>
      <c r="H230" s="533"/>
      <c r="I230" s="305"/>
      <c r="J230" s="305"/>
      <c r="K230" s="305"/>
      <c r="L230" s="305"/>
      <c r="M230" s="85"/>
      <c r="N230" s="534" t="str">
        <f t="shared" si="7"/>
        <v/>
      </c>
      <c r="O230" s="60" t="str">
        <f t="shared" si="8"/>
        <v/>
      </c>
    </row>
    <row r="231" spans="1:16" x14ac:dyDescent="0.2">
      <c r="A231" s="4" t="s">
        <v>40</v>
      </c>
      <c r="B231" s="375" t="s">
        <v>92</v>
      </c>
      <c r="C231" s="544" t="s">
        <v>810</v>
      </c>
      <c r="D231" s="26" t="s">
        <v>65</v>
      </c>
      <c r="E231" s="567">
        <v>0</v>
      </c>
      <c r="G231" s="94" t="s">
        <v>78</v>
      </c>
      <c r="H231" s="533"/>
      <c r="I231" s="305"/>
      <c r="J231" s="305"/>
      <c r="K231" s="305"/>
      <c r="L231" s="305"/>
      <c r="M231" s="85"/>
      <c r="N231" s="534" t="str">
        <f t="shared" si="7"/>
        <v/>
      </c>
      <c r="O231" s="60" t="str">
        <f t="shared" si="8"/>
        <v/>
      </c>
    </row>
    <row r="232" spans="1:16" x14ac:dyDescent="0.2">
      <c r="A232" s="4" t="s">
        <v>40</v>
      </c>
      <c r="B232" s="375" t="s">
        <v>92</v>
      </c>
      <c r="C232" s="545" t="s">
        <v>811</v>
      </c>
      <c r="D232" s="26" t="s">
        <v>65</v>
      </c>
      <c r="E232" s="486">
        <v>0.23</v>
      </c>
      <c r="F232" s="77" t="s">
        <v>94</v>
      </c>
      <c r="G232" s="94" t="s">
        <v>78</v>
      </c>
      <c r="H232" s="64">
        <v>4</v>
      </c>
      <c r="I232" s="309">
        <v>4</v>
      </c>
      <c r="J232" s="309">
        <v>2</v>
      </c>
      <c r="K232" s="309">
        <v>3</v>
      </c>
      <c r="L232" s="309">
        <v>1</v>
      </c>
      <c r="M232" s="66">
        <v>2</v>
      </c>
      <c r="N232" s="534">
        <f t="shared" si="7"/>
        <v>1.123005955058592</v>
      </c>
      <c r="O232" s="60">
        <f t="shared" si="8"/>
        <v>1.123005955058592</v>
      </c>
    </row>
    <row r="233" spans="1:16" x14ac:dyDescent="0.2">
      <c r="A233" s="4" t="s">
        <v>40</v>
      </c>
      <c r="B233" s="375" t="s">
        <v>92</v>
      </c>
      <c r="C233" s="546" t="s">
        <v>812</v>
      </c>
      <c r="D233" s="26" t="s">
        <v>65</v>
      </c>
      <c r="E233" s="578">
        <v>0</v>
      </c>
      <c r="F233" s="486"/>
      <c r="G233" s="94" t="s">
        <v>78</v>
      </c>
      <c r="H233" s="533"/>
      <c r="I233" s="305"/>
      <c r="J233" s="305"/>
      <c r="K233" s="305"/>
      <c r="L233" s="305"/>
      <c r="M233" s="85"/>
      <c r="N233" s="534" t="str">
        <f t="shared" si="7"/>
        <v/>
      </c>
      <c r="O233" s="60" t="str">
        <f t="shared" si="8"/>
        <v/>
      </c>
    </row>
    <row r="234" spans="1:16" x14ac:dyDescent="0.2">
      <c r="A234" s="4" t="s">
        <v>40</v>
      </c>
      <c r="B234" s="375" t="s">
        <v>92</v>
      </c>
      <c r="C234" s="547" t="s">
        <v>813</v>
      </c>
      <c r="D234" s="26" t="s">
        <v>65</v>
      </c>
      <c r="E234" s="567">
        <v>0</v>
      </c>
      <c r="F234" s="486"/>
      <c r="G234" s="94" t="s">
        <v>78</v>
      </c>
      <c r="H234" s="533"/>
      <c r="I234" s="305"/>
      <c r="J234" s="305"/>
      <c r="K234" s="305"/>
      <c r="L234" s="305"/>
      <c r="M234" s="85"/>
      <c r="N234" s="534" t="str">
        <f t="shared" si="7"/>
        <v/>
      </c>
      <c r="O234" s="60" t="str">
        <f t="shared" si="8"/>
        <v/>
      </c>
    </row>
    <row r="235" spans="1:16" x14ac:dyDescent="0.2">
      <c r="A235" s="374" t="s">
        <v>40</v>
      </c>
      <c r="B235" s="375" t="s">
        <v>93</v>
      </c>
      <c r="C235" s="543" t="s">
        <v>809</v>
      </c>
      <c r="D235" s="26" t="s">
        <v>65</v>
      </c>
      <c r="E235" s="551">
        <f>1-E230-E225-E220-E215-E210-E200</f>
        <v>0.1999999999999999</v>
      </c>
      <c r="F235" s="77" t="s">
        <v>94</v>
      </c>
      <c r="G235" s="94" t="s">
        <v>78</v>
      </c>
      <c r="H235" s="64">
        <v>4</v>
      </c>
      <c r="I235" s="309">
        <v>4</v>
      </c>
      <c r="J235" s="309">
        <v>2</v>
      </c>
      <c r="K235" s="309">
        <v>3</v>
      </c>
      <c r="L235" s="309">
        <v>1</v>
      </c>
      <c r="M235" s="66">
        <v>2</v>
      </c>
      <c r="N235" s="534">
        <f t="shared" si="7"/>
        <v>1.123005955058592</v>
      </c>
      <c r="O235" s="60">
        <f t="shared" si="8"/>
        <v>1.123005955058592</v>
      </c>
    </row>
    <row r="236" spans="1:16" x14ac:dyDescent="0.2">
      <c r="A236" s="374" t="s">
        <v>40</v>
      </c>
      <c r="B236" s="375" t="s">
        <v>93</v>
      </c>
      <c r="C236" s="544" t="s">
        <v>810</v>
      </c>
      <c r="D236" s="26" t="s">
        <v>65</v>
      </c>
      <c r="E236" s="567">
        <v>0</v>
      </c>
      <c r="F236" s="486"/>
      <c r="G236" s="94" t="s">
        <v>78</v>
      </c>
      <c r="H236" s="533"/>
      <c r="I236" s="305"/>
      <c r="J236" s="305"/>
      <c r="K236" s="305"/>
      <c r="L236" s="305"/>
      <c r="M236" s="85"/>
      <c r="N236" s="534" t="str">
        <f t="shared" si="7"/>
        <v/>
      </c>
      <c r="O236" s="60" t="str">
        <f t="shared" si="8"/>
        <v/>
      </c>
      <c r="P236" s="343" t="s">
        <v>874</v>
      </c>
    </row>
    <row r="237" spans="1:16" x14ac:dyDescent="0.2">
      <c r="A237" s="374" t="s">
        <v>40</v>
      </c>
      <c r="B237" s="375" t="s">
        <v>93</v>
      </c>
      <c r="C237" s="545" t="s">
        <v>811</v>
      </c>
      <c r="D237" s="26" t="s">
        <v>65</v>
      </c>
      <c r="E237" s="551">
        <f>1-E232-E227-E222-E217-E212-E207-E202</f>
        <v>0.17800000000000002</v>
      </c>
      <c r="F237" s="77" t="s">
        <v>94</v>
      </c>
      <c r="G237" s="94" t="s">
        <v>78</v>
      </c>
      <c r="H237" s="64">
        <v>4</v>
      </c>
      <c r="I237" s="309">
        <v>4</v>
      </c>
      <c r="J237" s="309">
        <v>2</v>
      </c>
      <c r="K237" s="309">
        <v>3</v>
      </c>
      <c r="L237" s="309">
        <v>1</v>
      </c>
      <c r="M237" s="66">
        <v>2</v>
      </c>
      <c r="N237" s="534">
        <f t="shared" si="7"/>
        <v>1.123005955058592</v>
      </c>
      <c r="O237" s="60">
        <f t="shared" si="8"/>
        <v>1.123005955058592</v>
      </c>
      <c r="P237" s="343" t="s">
        <v>874</v>
      </c>
    </row>
    <row r="238" spans="1:16" x14ac:dyDescent="0.2">
      <c r="A238" s="374" t="s">
        <v>40</v>
      </c>
      <c r="B238" s="375" t="s">
        <v>93</v>
      </c>
      <c r="C238" s="546" t="s">
        <v>812</v>
      </c>
      <c r="D238" s="26" t="s">
        <v>65</v>
      </c>
      <c r="E238" s="567">
        <v>0</v>
      </c>
      <c r="G238" s="94" t="s">
        <v>78</v>
      </c>
      <c r="H238" s="533"/>
      <c r="I238" s="305"/>
      <c r="J238" s="305"/>
      <c r="K238" s="305"/>
      <c r="L238" s="305"/>
      <c r="M238" s="85"/>
      <c r="N238" s="534" t="str">
        <f t="shared" si="7"/>
        <v/>
      </c>
      <c r="O238" s="60" t="str">
        <f t="shared" si="8"/>
        <v/>
      </c>
    </row>
    <row r="239" spans="1:16" x14ac:dyDescent="0.2">
      <c r="A239" s="374" t="s">
        <v>40</v>
      </c>
      <c r="B239" s="375" t="s">
        <v>93</v>
      </c>
      <c r="C239" s="547" t="s">
        <v>813</v>
      </c>
      <c r="D239" s="26" t="s">
        <v>65</v>
      </c>
      <c r="E239" s="567">
        <v>0</v>
      </c>
      <c r="G239" s="94" t="s">
        <v>78</v>
      </c>
      <c r="H239" s="533"/>
      <c r="I239" s="305"/>
      <c r="J239" s="305"/>
      <c r="K239" s="305"/>
      <c r="L239" s="305"/>
      <c r="M239" s="85"/>
      <c r="N239" s="534" t="str">
        <f t="shared" si="7"/>
        <v/>
      </c>
      <c r="O239" s="60" t="str">
        <f t="shared" si="8"/>
        <v/>
      </c>
    </row>
    <row r="240" spans="1:16" s="497" customFormat="1" x14ac:dyDescent="0.2">
      <c r="A240" s="49" t="s">
        <v>17</v>
      </c>
      <c r="B240" s="48" t="s">
        <v>42</v>
      </c>
      <c r="C240" s="67" t="s">
        <v>65</v>
      </c>
      <c r="D240" s="68" t="s">
        <v>65</v>
      </c>
      <c r="E240" s="314">
        <v>1</v>
      </c>
      <c r="F240" s="79"/>
      <c r="G240" s="95" t="s">
        <v>78</v>
      </c>
      <c r="H240" s="540"/>
      <c r="I240" s="61"/>
      <c r="J240" s="61"/>
      <c r="K240" s="61"/>
      <c r="L240" s="61"/>
      <c r="M240" s="30"/>
      <c r="N240" s="534" t="str">
        <f t="shared" si="7"/>
        <v/>
      </c>
      <c r="O240" s="60" t="str">
        <f t="shared" si="8"/>
        <v/>
      </c>
      <c r="P240" s="82"/>
    </row>
    <row r="241" spans="1:16" x14ac:dyDescent="0.2">
      <c r="A241" s="50" t="s">
        <v>18</v>
      </c>
      <c r="B241" s="376" t="s">
        <v>42</v>
      </c>
      <c r="C241" s="64" t="s">
        <v>65</v>
      </c>
      <c r="D241" s="309" t="s">
        <v>65</v>
      </c>
      <c r="E241" s="535">
        <v>1</v>
      </c>
      <c r="G241" s="94" t="s">
        <v>78</v>
      </c>
      <c r="H241" s="533"/>
      <c r="I241" s="305"/>
      <c r="J241" s="305"/>
      <c r="K241" s="305"/>
      <c r="L241" s="305"/>
      <c r="M241" s="85"/>
      <c r="N241" s="534" t="str">
        <f t="shared" si="7"/>
        <v/>
      </c>
      <c r="O241" s="60" t="str">
        <f t="shared" si="8"/>
        <v/>
      </c>
    </row>
    <row r="242" spans="1:16" s="505" customFormat="1" x14ac:dyDescent="0.2">
      <c r="A242" s="51" t="s">
        <v>19</v>
      </c>
      <c r="B242" s="22" t="s">
        <v>101</v>
      </c>
      <c r="C242" s="69" t="s">
        <v>65</v>
      </c>
      <c r="D242" s="70" t="s">
        <v>65</v>
      </c>
      <c r="E242" s="313">
        <v>1</v>
      </c>
      <c r="F242" s="78"/>
      <c r="G242" s="96" t="s">
        <v>78</v>
      </c>
      <c r="H242" s="549"/>
      <c r="I242" s="75"/>
      <c r="J242" s="75"/>
      <c r="K242" s="75"/>
      <c r="L242" s="75"/>
      <c r="M242" s="29"/>
      <c r="N242" s="534" t="str">
        <f t="shared" si="7"/>
        <v/>
      </c>
      <c r="O242" s="60" t="str">
        <f t="shared" si="8"/>
        <v/>
      </c>
      <c r="P242" s="81"/>
    </row>
    <row r="243" spans="1:16" s="497" customFormat="1" x14ac:dyDescent="0.2">
      <c r="A243" s="49" t="s">
        <v>13</v>
      </c>
      <c r="B243" s="48" t="s">
        <v>41</v>
      </c>
      <c r="C243" s="38" t="s">
        <v>65</v>
      </c>
      <c r="D243" s="68" t="s">
        <v>858</v>
      </c>
      <c r="E243" s="314">
        <v>0.15</v>
      </c>
      <c r="F243" s="79" t="s">
        <v>875</v>
      </c>
      <c r="G243" s="95" t="s">
        <v>78</v>
      </c>
      <c r="H243" s="67">
        <v>2</v>
      </c>
      <c r="I243" s="61"/>
      <c r="J243" s="68">
        <v>3</v>
      </c>
      <c r="K243" s="68">
        <v>3</v>
      </c>
      <c r="L243" s="68">
        <v>1</v>
      </c>
      <c r="M243" s="83">
        <v>3</v>
      </c>
      <c r="N243" s="534">
        <f t="shared" si="7"/>
        <v>1.123005955058592</v>
      </c>
      <c r="O243" s="60" t="str">
        <f t="shared" si="8"/>
        <v/>
      </c>
      <c r="P243" s="82" t="s">
        <v>876</v>
      </c>
    </row>
    <row r="244" spans="1:16" x14ac:dyDescent="0.2">
      <c r="A244" s="50" t="s">
        <v>13</v>
      </c>
      <c r="B244" s="376" t="s">
        <v>29</v>
      </c>
      <c r="C244" s="64" t="s">
        <v>65</v>
      </c>
      <c r="D244" s="309" t="s">
        <v>858</v>
      </c>
      <c r="E244" s="305" t="s">
        <v>854</v>
      </c>
      <c r="G244" s="94" t="s">
        <v>78</v>
      </c>
      <c r="H244" s="533"/>
      <c r="I244" s="305"/>
      <c r="J244" s="305"/>
      <c r="K244" s="305" t="str">
        <f t="shared" ref="K244:K269" si="9">IF( OR( ISBLANK(D244),ISBLANK(F244), ISBLANK(H244), ISBLANK(I244), ISBLANK(J244) ), "", 1.5*SQRT(   EXP(2.21*(D244-1)) + EXP(2.21*(F244-1)) + EXP(2.21*(H244-1)) + EXP(2.21*(I244-1)) + EXP(2.21*J244)   )/100 )</f>
        <v/>
      </c>
      <c r="L244" s="305" t="str">
        <f t="shared" ref="L244:L269" si="10">IF( OR( ISBLANK(E244),ISBLANK(F244), ISBLANK(H244), ISBLANK(I244), ISBLANK(J244) ), "", 1.5*SQRT(   EXP(2.21*(E244-1)) + EXP(2.21*(F244-1)) + EXP(2.21*(H244-1)) + EXP(2.21*(I244-1)) + EXP(2.21*J244)   )/100 )</f>
        <v/>
      </c>
      <c r="M244" s="85"/>
      <c r="N244" s="534" t="str">
        <f t="shared" si="7"/>
        <v/>
      </c>
      <c r="O244" s="60" t="str">
        <f t="shared" si="8"/>
        <v/>
      </c>
    </row>
    <row r="245" spans="1:16" x14ac:dyDescent="0.2">
      <c r="A245" s="50" t="s">
        <v>14</v>
      </c>
      <c r="B245" s="376" t="s">
        <v>41</v>
      </c>
      <c r="C245" s="64" t="s">
        <v>65</v>
      </c>
      <c r="D245" s="309" t="s">
        <v>858</v>
      </c>
      <c r="E245" s="535">
        <v>7.4999999999999997E-2</v>
      </c>
      <c r="F245" s="77" t="s">
        <v>875</v>
      </c>
      <c r="G245" s="94" t="s">
        <v>78</v>
      </c>
      <c r="H245" s="64">
        <v>2</v>
      </c>
      <c r="I245" s="305"/>
      <c r="J245" s="309">
        <v>3</v>
      </c>
      <c r="K245" s="309">
        <v>3</v>
      </c>
      <c r="L245" s="309">
        <v>1</v>
      </c>
      <c r="M245" s="66">
        <v>3</v>
      </c>
      <c r="N245" s="534">
        <f t="shared" si="7"/>
        <v>1.123005955058592</v>
      </c>
      <c r="O245" s="60" t="str">
        <f t="shared" si="8"/>
        <v/>
      </c>
      <c r="P245" s="343" t="s">
        <v>876</v>
      </c>
    </row>
    <row r="246" spans="1:16" x14ac:dyDescent="0.2">
      <c r="A246" s="50" t="s">
        <v>14</v>
      </c>
      <c r="B246" s="376" t="s">
        <v>29</v>
      </c>
      <c r="C246" s="64" t="s">
        <v>65</v>
      </c>
      <c r="D246" s="309" t="s">
        <v>858</v>
      </c>
      <c r="E246" s="305" t="s">
        <v>56</v>
      </c>
      <c r="G246" s="94" t="s">
        <v>78</v>
      </c>
      <c r="H246" s="533"/>
      <c r="I246" s="305"/>
      <c r="J246" s="305"/>
      <c r="K246" s="305" t="str">
        <f t="shared" si="9"/>
        <v/>
      </c>
      <c r="L246" s="305" t="str">
        <f t="shared" si="10"/>
        <v/>
      </c>
      <c r="M246" s="85"/>
      <c r="N246" s="534" t="str">
        <f t="shared" si="7"/>
        <v/>
      </c>
      <c r="O246" s="60" t="str">
        <f t="shared" si="8"/>
        <v/>
      </c>
    </row>
    <row r="247" spans="1:16" x14ac:dyDescent="0.2">
      <c r="A247" s="50" t="s">
        <v>15</v>
      </c>
      <c r="B247" s="376" t="s">
        <v>41</v>
      </c>
      <c r="C247" s="64" t="s">
        <v>65</v>
      </c>
      <c r="D247" s="309" t="s">
        <v>858</v>
      </c>
      <c r="E247" s="535">
        <v>0.375</v>
      </c>
      <c r="F247" s="77" t="s">
        <v>875</v>
      </c>
      <c r="G247" s="94" t="s">
        <v>78</v>
      </c>
      <c r="H247" s="64">
        <v>2</v>
      </c>
      <c r="I247" s="305"/>
      <c r="J247" s="309">
        <v>3</v>
      </c>
      <c r="K247" s="309">
        <v>3</v>
      </c>
      <c r="L247" s="309">
        <v>1</v>
      </c>
      <c r="M247" s="66">
        <v>3</v>
      </c>
      <c r="N247" s="534">
        <f t="shared" si="7"/>
        <v>1.123005955058592</v>
      </c>
      <c r="O247" s="60" t="str">
        <f t="shared" si="8"/>
        <v/>
      </c>
      <c r="P247" s="343" t="s">
        <v>876</v>
      </c>
    </row>
    <row r="248" spans="1:16" x14ac:dyDescent="0.2">
      <c r="A248" s="50" t="s">
        <v>16</v>
      </c>
      <c r="B248" s="376" t="s">
        <v>41</v>
      </c>
      <c r="C248" s="64" t="s">
        <v>65</v>
      </c>
      <c r="D248" s="309" t="s">
        <v>858</v>
      </c>
      <c r="E248" s="535">
        <v>4.4999999999999998E-2</v>
      </c>
      <c r="F248" s="77" t="s">
        <v>875</v>
      </c>
      <c r="G248" s="94" t="s">
        <v>78</v>
      </c>
      <c r="H248" s="64">
        <v>2</v>
      </c>
      <c r="I248" s="305"/>
      <c r="J248" s="309">
        <v>3</v>
      </c>
      <c r="K248" s="309">
        <v>3</v>
      </c>
      <c r="L248" s="309">
        <v>1</v>
      </c>
      <c r="M248" s="66">
        <v>3</v>
      </c>
      <c r="N248" s="534">
        <f t="shared" si="7"/>
        <v>1.123005955058592</v>
      </c>
      <c r="O248" s="60" t="str">
        <f t="shared" si="8"/>
        <v/>
      </c>
      <c r="P248" s="343" t="s">
        <v>876</v>
      </c>
    </row>
    <row r="249" spans="1:16" s="505" customFormat="1" x14ac:dyDescent="0.2">
      <c r="A249" s="51" t="s">
        <v>16</v>
      </c>
      <c r="B249" s="22" t="s">
        <v>29</v>
      </c>
      <c r="C249" s="69" t="s">
        <v>65</v>
      </c>
      <c r="D249" s="70" t="s">
        <v>858</v>
      </c>
      <c r="E249" s="548" t="s">
        <v>56</v>
      </c>
      <c r="F249" s="78"/>
      <c r="G249" s="96" t="s">
        <v>78</v>
      </c>
      <c r="H249" s="549"/>
      <c r="I249" s="75"/>
      <c r="J249" s="75"/>
      <c r="K249" s="75" t="str">
        <f t="shared" si="9"/>
        <v/>
      </c>
      <c r="L249" s="75" t="str">
        <f t="shared" si="10"/>
        <v/>
      </c>
      <c r="M249" s="29"/>
      <c r="N249" s="534" t="str">
        <f t="shared" si="7"/>
        <v/>
      </c>
      <c r="O249" s="60" t="str">
        <f t="shared" si="8"/>
        <v/>
      </c>
      <c r="P249" s="81"/>
    </row>
    <row r="250" spans="1:16" x14ac:dyDescent="0.2">
      <c r="A250" s="50" t="s">
        <v>20</v>
      </c>
      <c r="B250" s="376" t="s">
        <v>41</v>
      </c>
      <c r="C250" s="42" t="s">
        <v>65</v>
      </c>
      <c r="D250" s="309" t="s">
        <v>858</v>
      </c>
      <c r="E250" s="535">
        <v>0.15</v>
      </c>
      <c r="F250" s="77" t="s">
        <v>875</v>
      </c>
      <c r="G250" s="94" t="s">
        <v>78</v>
      </c>
      <c r="H250" s="64">
        <v>2</v>
      </c>
      <c r="I250" s="305"/>
      <c r="J250" s="309">
        <v>3</v>
      </c>
      <c r="K250" s="309">
        <v>1</v>
      </c>
      <c r="L250" s="309">
        <v>1</v>
      </c>
      <c r="M250" s="66">
        <v>3</v>
      </c>
      <c r="N250" s="534">
        <f t="shared" si="7"/>
        <v>1.0725046436742278</v>
      </c>
      <c r="O250" s="60" t="str">
        <f t="shared" si="8"/>
        <v/>
      </c>
      <c r="P250" s="343" t="s">
        <v>876</v>
      </c>
    </row>
    <row r="251" spans="1:16" x14ac:dyDescent="0.2">
      <c r="A251" s="50" t="s">
        <v>20</v>
      </c>
      <c r="B251" s="376" t="s">
        <v>29</v>
      </c>
      <c r="C251" s="64" t="s">
        <v>65</v>
      </c>
      <c r="D251" s="309" t="s">
        <v>858</v>
      </c>
      <c r="E251" s="312" t="s">
        <v>56</v>
      </c>
      <c r="G251" s="94" t="s">
        <v>78</v>
      </c>
      <c r="H251" s="533"/>
      <c r="I251" s="305"/>
      <c r="J251" s="305"/>
      <c r="K251" s="305"/>
      <c r="L251" s="305"/>
      <c r="M251" s="85"/>
      <c r="N251" s="534" t="str">
        <f t="shared" si="7"/>
        <v/>
      </c>
      <c r="O251" s="60" t="str">
        <f t="shared" si="8"/>
        <v/>
      </c>
    </row>
    <row r="252" spans="1:16" s="497" customFormat="1" x14ac:dyDescent="0.2">
      <c r="A252" s="49" t="s">
        <v>21</v>
      </c>
      <c r="B252" s="48" t="s">
        <v>41</v>
      </c>
      <c r="C252" s="543" t="s">
        <v>809</v>
      </c>
      <c r="D252" s="68" t="s">
        <v>858</v>
      </c>
      <c r="E252" s="535">
        <v>7.4999999999999997E-2</v>
      </c>
      <c r="F252" s="79" t="s">
        <v>875</v>
      </c>
      <c r="G252" s="95" t="s">
        <v>78</v>
      </c>
      <c r="H252" s="67">
        <v>2</v>
      </c>
      <c r="I252" s="61"/>
      <c r="J252" s="68">
        <v>3</v>
      </c>
      <c r="K252" s="68">
        <v>1</v>
      </c>
      <c r="L252" s="68">
        <v>1</v>
      </c>
      <c r="M252" s="83">
        <v>3</v>
      </c>
      <c r="N252" s="534">
        <f t="shared" si="7"/>
        <v>1.0725046436742278</v>
      </c>
      <c r="O252" s="60" t="str">
        <f t="shared" si="8"/>
        <v/>
      </c>
      <c r="P252" s="82" t="s">
        <v>876</v>
      </c>
    </row>
    <row r="253" spans="1:16" x14ac:dyDescent="0.2">
      <c r="A253" s="50" t="s">
        <v>21</v>
      </c>
      <c r="B253" s="376" t="s">
        <v>41</v>
      </c>
      <c r="C253" s="544" t="s">
        <v>810</v>
      </c>
      <c r="D253" s="309" t="s">
        <v>858</v>
      </c>
      <c r="E253" s="535">
        <v>0</v>
      </c>
      <c r="F253" s="77" t="s">
        <v>875</v>
      </c>
      <c r="G253" s="94" t="s">
        <v>78</v>
      </c>
      <c r="H253" s="64">
        <v>2</v>
      </c>
      <c r="I253" s="305"/>
      <c r="J253" s="309">
        <v>3</v>
      </c>
      <c r="K253" s="309">
        <v>1</v>
      </c>
      <c r="L253" s="309">
        <v>1</v>
      </c>
      <c r="M253" s="66">
        <v>3</v>
      </c>
      <c r="N253" s="534">
        <f t="shared" si="7"/>
        <v>1.0725046436742278</v>
      </c>
      <c r="O253" s="60" t="str">
        <f t="shared" si="8"/>
        <v/>
      </c>
      <c r="P253" s="343" t="s">
        <v>876</v>
      </c>
    </row>
    <row r="254" spans="1:16" x14ac:dyDescent="0.2">
      <c r="A254" s="50" t="s">
        <v>21</v>
      </c>
      <c r="B254" s="376" t="s">
        <v>41</v>
      </c>
      <c r="C254" s="545" t="s">
        <v>811</v>
      </c>
      <c r="D254" s="309" t="s">
        <v>858</v>
      </c>
      <c r="E254" s="535">
        <v>7.4999999999999997E-2</v>
      </c>
      <c r="F254" s="77" t="s">
        <v>875</v>
      </c>
      <c r="G254" s="94" t="s">
        <v>78</v>
      </c>
      <c r="H254" s="64">
        <v>2</v>
      </c>
      <c r="I254" s="305"/>
      <c r="J254" s="309">
        <v>3</v>
      </c>
      <c r="K254" s="309">
        <v>1</v>
      </c>
      <c r="L254" s="309">
        <v>1</v>
      </c>
      <c r="M254" s="66">
        <v>3</v>
      </c>
      <c r="N254" s="534">
        <f t="shared" si="7"/>
        <v>1.0725046436742278</v>
      </c>
      <c r="O254" s="60" t="str">
        <f t="shared" si="8"/>
        <v/>
      </c>
      <c r="P254" s="343" t="s">
        <v>876</v>
      </c>
    </row>
    <row r="255" spans="1:16" x14ac:dyDescent="0.2">
      <c r="A255" s="50" t="s">
        <v>21</v>
      </c>
      <c r="B255" s="376" t="s">
        <v>41</v>
      </c>
      <c r="C255" s="546" t="s">
        <v>812</v>
      </c>
      <c r="D255" s="309" t="s">
        <v>858</v>
      </c>
      <c r="E255" s="535">
        <v>0</v>
      </c>
      <c r="F255" s="77" t="s">
        <v>875</v>
      </c>
      <c r="G255" s="94" t="s">
        <v>78</v>
      </c>
      <c r="H255" s="64">
        <v>2</v>
      </c>
      <c r="I255" s="305"/>
      <c r="J255" s="309">
        <v>3</v>
      </c>
      <c r="K255" s="309">
        <v>1</v>
      </c>
      <c r="L255" s="309">
        <v>1</v>
      </c>
      <c r="M255" s="66">
        <v>3</v>
      </c>
      <c r="N255" s="534">
        <f t="shared" si="7"/>
        <v>1.0725046436742278</v>
      </c>
      <c r="O255" s="60" t="str">
        <f t="shared" si="8"/>
        <v/>
      </c>
      <c r="P255" s="343" t="s">
        <v>876</v>
      </c>
    </row>
    <row r="256" spans="1:16" x14ac:dyDescent="0.2">
      <c r="A256" s="50" t="s">
        <v>21</v>
      </c>
      <c r="B256" s="376" t="s">
        <v>41</v>
      </c>
      <c r="C256" s="547" t="s">
        <v>813</v>
      </c>
      <c r="D256" s="309" t="s">
        <v>858</v>
      </c>
      <c r="E256" s="535">
        <v>0</v>
      </c>
      <c r="F256" s="77" t="s">
        <v>875</v>
      </c>
      <c r="G256" s="94" t="s">
        <v>78</v>
      </c>
      <c r="H256" s="64">
        <v>2</v>
      </c>
      <c r="I256" s="305"/>
      <c r="J256" s="309">
        <v>3</v>
      </c>
      <c r="K256" s="309">
        <v>1</v>
      </c>
      <c r="L256" s="309">
        <v>1</v>
      </c>
      <c r="M256" s="66">
        <v>3</v>
      </c>
      <c r="N256" s="534">
        <f t="shared" si="7"/>
        <v>1.0725046436742278</v>
      </c>
      <c r="O256" s="60" t="str">
        <f t="shared" si="8"/>
        <v/>
      </c>
      <c r="P256" s="343" t="s">
        <v>877</v>
      </c>
    </row>
    <row r="257" spans="1:16" s="505" customFormat="1" x14ac:dyDescent="0.2">
      <c r="A257" s="51" t="s">
        <v>21</v>
      </c>
      <c r="B257" s="22" t="s">
        <v>29</v>
      </c>
      <c r="C257" s="69" t="s">
        <v>65</v>
      </c>
      <c r="D257" s="70" t="s">
        <v>858</v>
      </c>
      <c r="E257" s="548" t="s">
        <v>854</v>
      </c>
      <c r="F257" s="78"/>
      <c r="G257" s="96" t="s">
        <v>78</v>
      </c>
      <c r="H257" s="549"/>
      <c r="I257" s="75"/>
      <c r="J257" s="75"/>
      <c r="K257" s="75"/>
      <c r="L257" s="75"/>
      <c r="M257" s="29"/>
      <c r="N257" s="534" t="str">
        <f t="shared" si="7"/>
        <v/>
      </c>
      <c r="O257" s="60" t="str">
        <f t="shared" si="8"/>
        <v/>
      </c>
      <c r="P257" s="81"/>
    </row>
    <row r="258" spans="1:16" x14ac:dyDescent="0.2">
      <c r="A258" s="50" t="s">
        <v>22</v>
      </c>
      <c r="B258" s="376" t="s">
        <v>41</v>
      </c>
      <c r="C258" s="543" t="s">
        <v>809</v>
      </c>
      <c r="D258" s="309" t="s">
        <v>858</v>
      </c>
      <c r="E258" s="535">
        <v>4.4999999999999998E-2</v>
      </c>
      <c r="F258" s="77" t="s">
        <v>875</v>
      </c>
      <c r="G258" s="94" t="s">
        <v>78</v>
      </c>
      <c r="H258" s="64">
        <v>2</v>
      </c>
      <c r="I258" s="305"/>
      <c r="J258" s="309">
        <v>3</v>
      </c>
      <c r="K258" s="309">
        <v>1</v>
      </c>
      <c r="L258" s="309">
        <v>1</v>
      </c>
      <c r="M258" s="66">
        <v>3</v>
      </c>
      <c r="N258" s="534">
        <f t="shared" si="7"/>
        <v>1.0725046436742278</v>
      </c>
      <c r="O258" s="60" t="str">
        <f t="shared" si="8"/>
        <v/>
      </c>
      <c r="P258" s="343" t="s">
        <v>876</v>
      </c>
    </row>
    <row r="259" spans="1:16" x14ac:dyDescent="0.2">
      <c r="A259" s="50" t="s">
        <v>22</v>
      </c>
      <c r="B259" s="376" t="s">
        <v>41</v>
      </c>
      <c r="C259" s="544" t="s">
        <v>810</v>
      </c>
      <c r="D259" s="309" t="s">
        <v>858</v>
      </c>
      <c r="E259" s="535">
        <v>0.9</v>
      </c>
      <c r="F259" s="77" t="s">
        <v>878</v>
      </c>
      <c r="G259" s="94" t="s">
        <v>78</v>
      </c>
      <c r="H259" s="64">
        <v>2</v>
      </c>
      <c r="I259" s="305"/>
      <c r="J259" s="309">
        <v>3</v>
      </c>
      <c r="K259" s="309">
        <v>1</v>
      </c>
      <c r="L259" s="309">
        <v>1</v>
      </c>
      <c r="M259" s="66">
        <v>3</v>
      </c>
      <c r="N259" s="534">
        <f t="shared" ref="N259:N322" si="11">IF( OR( ISBLANK(H259),ISBLANK(J259), ISBLANK(K259), ISBLANK(L259), ISBLANK(M259) ), "", 1.5*SQRT(   EXP(2.21*(H259-1)) + EXP(2.21*(J259-1)) + EXP(2.21*(K259-1)) + EXP(2.21*(L259-1)) + EXP(2.21*M259)   )/100*2.45 )</f>
        <v>1.0725046436742278</v>
      </c>
      <c r="O259" s="60" t="str">
        <f t="shared" ref="O259:O322" si="12">IF( OR( ISBLANK(I259),ISBLANK(J259), ISBLANK(K259), ISBLANK(L259), ISBLANK(M259) ), "", 1.5*SQRT(   EXP(2.21*(I259-1)) + EXP(2.21*(J259-1)) + EXP(2.21*(K259-1)) + EXP(2.21*(L259-1)) + EXP(2.21*M259)   )/100*2.45 )</f>
        <v/>
      </c>
      <c r="P259" s="343" t="s">
        <v>879</v>
      </c>
    </row>
    <row r="260" spans="1:16" x14ac:dyDescent="0.2">
      <c r="A260" s="50" t="s">
        <v>22</v>
      </c>
      <c r="B260" s="376" t="s">
        <v>41</v>
      </c>
      <c r="C260" s="545" t="s">
        <v>811</v>
      </c>
      <c r="D260" s="309" t="s">
        <v>858</v>
      </c>
      <c r="E260" s="535">
        <v>4.4999999999999998E-2</v>
      </c>
      <c r="F260" s="77" t="s">
        <v>875</v>
      </c>
      <c r="G260" s="94" t="s">
        <v>78</v>
      </c>
      <c r="H260" s="64">
        <v>2</v>
      </c>
      <c r="I260" s="305"/>
      <c r="J260" s="309">
        <v>3</v>
      </c>
      <c r="K260" s="309">
        <v>1</v>
      </c>
      <c r="L260" s="309">
        <v>1</v>
      </c>
      <c r="M260" s="66">
        <v>3</v>
      </c>
      <c r="N260" s="534">
        <f t="shared" si="11"/>
        <v>1.0725046436742278</v>
      </c>
      <c r="O260" s="60" t="str">
        <f t="shared" si="12"/>
        <v/>
      </c>
      <c r="P260" s="343" t="s">
        <v>876</v>
      </c>
    </row>
    <row r="261" spans="1:16" x14ac:dyDescent="0.2">
      <c r="A261" s="50" t="s">
        <v>22</v>
      </c>
      <c r="B261" s="376" t="s">
        <v>41</v>
      </c>
      <c r="C261" s="546" t="s">
        <v>812</v>
      </c>
      <c r="D261" s="309" t="s">
        <v>858</v>
      </c>
      <c r="E261" s="535">
        <v>4.4999999999999998E-2</v>
      </c>
      <c r="F261" s="77" t="s">
        <v>875</v>
      </c>
      <c r="G261" s="94" t="s">
        <v>78</v>
      </c>
      <c r="H261" s="64">
        <v>2</v>
      </c>
      <c r="I261" s="305"/>
      <c r="J261" s="309">
        <v>3</v>
      </c>
      <c r="K261" s="309">
        <v>1</v>
      </c>
      <c r="L261" s="309">
        <v>1</v>
      </c>
      <c r="M261" s="66">
        <v>3</v>
      </c>
      <c r="N261" s="534">
        <f t="shared" si="11"/>
        <v>1.0725046436742278</v>
      </c>
      <c r="O261" s="60" t="str">
        <f t="shared" si="12"/>
        <v/>
      </c>
      <c r="P261" s="343" t="s">
        <v>876</v>
      </c>
    </row>
    <row r="262" spans="1:16" x14ac:dyDescent="0.2">
      <c r="A262" s="50" t="s">
        <v>22</v>
      </c>
      <c r="B262" s="376" t="s">
        <v>41</v>
      </c>
      <c r="C262" s="547" t="s">
        <v>813</v>
      </c>
      <c r="D262" s="309" t="s">
        <v>858</v>
      </c>
      <c r="E262" s="535">
        <v>0.15</v>
      </c>
      <c r="F262" s="77" t="s">
        <v>875</v>
      </c>
      <c r="G262" s="94" t="s">
        <v>78</v>
      </c>
      <c r="H262" s="64">
        <v>2</v>
      </c>
      <c r="I262" s="305"/>
      <c r="J262" s="309">
        <v>3</v>
      </c>
      <c r="K262" s="309">
        <v>1</v>
      </c>
      <c r="L262" s="309">
        <v>1</v>
      </c>
      <c r="M262" s="66">
        <v>3</v>
      </c>
      <c r="N262" s="534">
        <f t="shared" si="11"/>
        <v>1.0725046436742278</v>
      </c>
      <c r="O262" s="60" t="str">
        <f t="shared" si="12"/>
        <v/>
      </c>
      <c r="P262" s="343" t="s">
        <v>876</v>
      </c>
    </row>
    <row r="263" spans="1:16" s="505" customFormat="1" x14ac:dyDescent="0.2">
      <c r="A263" s="51" t="s">
        <v>22</v>
      </c>
      <c r="B263" s="22" t="s">
        <v>29</v>
      </c>
      <c r="C263" s="69" t="s">
        <v>65</v>
      </c>
      <c r="D263" s="70" t="s">
        <v>858</v>
      </c>
      <c r="E263" s="548" t="s">
        <v>56</v>
      </c>
      <c r="F263" s="78"/>
      <c r="G263" s="96" t="s">
        <v>78</v>
      </c>
      <c r="H263" s="549"/>
      <c r="I263" s="75"/>
      <c r="J263" s="75"/>
      <c r="K263" s="75"/>
      <c r="L263" s="75"/>
      <c r="M263" s="29"/>
      <c r="N263" s="534" t="str">
        <f t="shared" si="11"/>
        <v/>
      </c>
      <c r="O263" s="60" t="str">
        <f t="shared" si="12"/>
        <v/>
      </c>
      <c r="P263" s="81"/>
    </row>
    <row r="264" spans="1:16" ht="12" customHeight="1" x14ac:dyDescent="0.2">
      <c r="A264" s="50" t="s">
        <v>13</v>
      </c>
      <c r="B264" s="376" t="s">
        <v>41</v>
      </c>
      <c r="C264" s="64" t="s">
        <v>65</v>
      </c>
      <c r="D264" s="309" t="s">
        <v>864</v>
      </c>
      <c r="E264" s="305">
        <v>0</v>
      </c>
      <c r="F264" s="77" t="s">
        <v>109</v>
      </c>
      <c r="G264" s="94" t="s">
        <v>78</v>
      </c>
      <c r="H264" s="533"/>
      <c r="I264" s="305"/>
      <c r="J264" s="305"/>
      <c r="K264" s="305"/>
      <c r="L264" s="305"/>
      <c r="M264" s="85"/>
      <c r="N264" s="534" t="str">
        <f t="shared" si="11"/>
        <v/>
      </c>
      <c r="O264" s="60" t="str">
        <f t="shared" si="12"/>
        <v/>
      </c>
    </row>
    <row r="265" spans="1:16" ht="12" customHeight="1" x14ac:dyDescent="0.2">
      <c r="A265" s="50" t="s">
        <v>13</v>
      </c>
      <c r="B265" s="376" t="s">
        <v>29</v>
      </c>
      <c r="C265" s="64" t="s">
        <v>65</v>
      </c>
      <c r="D265" s="309" t="s">
        <v>864</v>
      </c>
      <c r="E265" s="305" t="s">
        <v>56</v>
      </c>
      <c r="G265" s="94" t="s">
        <v>78</v>
      </c>
      <c r="H265" s="533"/>
      <c r="I265" s="305"/>
      <c r="J265" s="305"/>
      <c r="K265" s="305" t="str">
        <f t="shared" si="9"/>
        <v/>
      </c>
      <c r="L265" s="305" t="str">
        <f t="shared" si="10"/>
        <v/>
      </c>
      <c r="M265" s="85"/>
      <c r="N265" s="534" t="str">
        <f t="shared" si="11"/>
        <v/>
      </c>
      <c r="O265" s="60" t="str">
        <f t="shared" si="12"/>
        <v/>
      </c>
    </row>
    <row r="266" spans="1:16" ht="12" customHeight="1" x14ac:dyDescent="0.2">
      <c r="A266" s="50" t="s">
        <v>14</v>
      </c>
      <c r="B266" s="376" t="s">
        <v>41</v>
      </c>
      <c r="C266" s="64" t="s">
        <v>65</v>
      </c>
      <c r="D266" s="309" t="s">
        <v>864</v>
      </c>
      <c r="E266" s="579">
        <f>0.002/(1-E350)</f>
        <v>2.2082866741321388E-3</v>
      </c>
      <c r="F266" s="77" t="s">
        <v>109</v>
      </c>
      <c r="G266" s="94" t="s">
        <v>78</v>
      </c>
      <c r="H266" s="533"/>
      <c r="I266" s="309">
        <v>1</v>
      </c>
      <c r="J266" s="309">
        <v>2</v>
      </c>
      <c r="K266" s="309">
        <v>3</v>
      </c>
      <c r="L266" s="309">
        <v>1</v>
      </c>
      <c r="M266" s="66">
        <v>2</v>
      </c>
      <c r="N266" s="534" t="str">
        <f t="shared" si="11"/>
        <v/>
      </c>
      <c r="O266" s="60">
        <f t="shared" si="12"/>
        <v>0.48935255543384243</v>
      </c>
      <c r="P266" s="343" t="s">
        <v>880</v>
      </c>
    </row>
    <row r="267" spans="1:16" ht="12" customHeight="1" x14ac:dyDescent="0.2">
      <c r="A267" s="50" t="s">
        <v>14</v>
      </c>
      <c r="B267" s="376" t="s">
        <v>29</v>
      </c>
      <c r="C267" s="64" t="s">
        <v>65</v>
      </c>
      <c r="D267" s="309" t="s">
        <v>864</v>
      </c>
      <c r="E267" s="305" t="s">
        <v>56</v>
      </c>
      <c r="G267" s="94" t="s">
        <v>78</v>
      </c>
      <c r="H267" s="533"/>
      <c r="I267" s="305"/>
      <c r="J267" s="305"/>
      <c r="K267" s="305" t="str">
        <f t="shared" si="9"/>
        <v/>
      </c>
      <c r="L267" s="305" t="str">
        <f t="shared" si="10"/>
        <v/>
      </c>
      <c r="M267" s="85"/>
      <c r="N267" s="534" t="str">
        <f t="shared" si="11"/>
        <v/>
      </c>
      <c r="O267" s="60" t="str">
        <f t="shared" si="12"/>
        <v/>
      </c>
    </row>
    <row r="268" spans="1:16" ht="12" customHeight="1" x14ac:dyDescent="0.2">
      <c r="A268" s="50" t="s">
        <v>16</v>
      </c>
      <c r="B268" s="376" t="s">
        <v>41</v>
      </c>
      <c r="C268" s="64" t="s">
        <v>65</v>
      </c>
      <c r="D268" s="309" t="s">
        <v>864</v>
      </c>
      <c r="E268" s="312">
        <v>1.075268817204301E-2</v>
      </c>
      <c r="F268" s="77" t="s">
        <v>109</v>
      </c>
      <c r="G268" s="94" t="s">
        <v>78</v>
      </c>
      <c r="H268" s="533"/>
      <c r="I268" s="309">
        <v>1</v>
      </c>
      <c r="J268" s="309">
        <v>2</v>
      </c>
      <c r="K268" s="309">
        <v>3</v>
      </c>
      <c r="L268" s="309">
        <v>1</v>
      </c>
      <c r="M268" s="66">
        <v>2</v>
      </c>
      <c r="N268" s="534" t="str">
        <f t="shared" si="11"/>
        <v/>
      </c>
      <c r="O268" s="60">
        <f t="shared" si="12"/>
        <v>0.48935255543384243</v>
      </c>
      <c r="P268" s="343" t="s">
        <v>880</v>
      </c>
    </row>
    <row r="269" spans="1:16" ht="12" customHeight="1" x14ac:dyDescent="0.2">
      <c r="A269" s="50" t="s">
        <v>16</v>
      </c>
      <c r="B269" s="376" t="s">
        <v>29</v>
      </c>
      <c r="C269" s="64" t="s">
        <v>65</v>
      </c>
      <c r="D269" s="309" t="s">
        <v>864</v>
      </c>
      <c r="E269" s="312" t="s">
        <v>56</v>
      </c>
      <c r="G269" s="94" t="s">
        <v>78</v>
      </c>
      <c r="H269" s="533"/>
      <c r="I269" s="305"/>
      <c r="J269" s="305"/>
      <c r="K269" s="305" t="str">
        <f t="shared" si="9"/>
        <v/>
      </c>
      <c r="L269" s="305" t="str">
        <f t="shared" si="10"/>
        <v/>
      </c>
      <c r="M269" s="85"/>
      <c r="N269" s="534" t="str">
        <f t="shared" si="11"/>
        <v/>
      </c>
      <c r="O269" s="60" t="str">
        <f t="shared" si="12"/>
        <v/>
      </c>
    </row>
    <row r="270" spans="1:16" ht="12" customHeight="1" x14ac:dyDescent="0.2">
      <c r="A270" s="50" t="s">
        <v>20</v>
      </c>
      <c r="B270" s="376" t="s">
        <v>41</v>
      </c>
      <c r="C270" s="42" t="s">
        <v>65</v>
      </c>
      <c r="D270" s="309" t="s">
        <v>864</v>
      </c>
      <c r="E270" s="312">
        <v>0.32258064516129031</v>
      </c>
      <c r="F270" s="77" t="s">
        <v>109</v>
      </c>
      <c r="G270" s="94" t="s">
        <v>78</v>
      </c>
      <c r="H270" s="533"/>
      <c r="I270" s="309">
        <v>1</v>
      </c>
      <c r="J270" s="309">
        <v>2</v>
      </c>
      <c r="K270" s="309">
        <v>3</v>
      </c>
      <c r="L270" s="309">
        <v>1</v>
      </c>
      <c r="M270" s="66">
        <v>2</v>
      </c>
      <c r="N270" s="534" t="str">
        <f t="shared" si="11"/>
        <v/>
      </c>
      <c r="O270" s="60">
        <f t="shared" si="12"/>
        <v>0.48935255543384243</v>
      </c>
      <c r="P270" s="343" t="s">
        <v>880</v>
      </c>
    </row>
    <row r="271" spans="1:16" ht="12" customHeight="1" x14ac:dyDescent="0.2">
      <c r="A271" s="50" t="s">
        <v>20</v>
      </c>
      <c r="B271" s="376" t="s">
        <v>29</v>
      </c>
      <c r="C271" s="64" t="s">
        <v>65</v>
      </c>
      <c r="D271" s="309" t="s">
        <v>864</v>
      </c>
      <c r="E271" s="312" t="s">
        <v>56</v>
      </c>
      <c r="G271" s="94" t="s">
        <v>78</v>
      </c>
      <c r="H271" s="533"/>
      <c r="I271" s="305"/>
      <c r="J271" s="305"/>
      <c r="K271" s="305"/>
      <c r="L271" s="305"/>
      <c r="M271" s="85"/>
      <c r="N271" s="534" t="str">
        <f t="shared" si="11"/>
        <v/>
      </c>
      <c r="O271" s="60" t="str">
        <f t="shared" si="12"/>
        <v/>
      </c>
    </row>
    <row r="272" spans="1:16" s="497" customFormat="1" ht="12" customHeight="1" x14ac:dyDescent="0.2">
      <c r="A272" s="49" t="s">
        <v>21</v>
      </c>
      <c r="B272" s="48" t="s">
        <v>41</v>
      </c>
      <c r="C272" s="38" t="s">
        <v>65</v>
      </c>
      <c r="D272" s="68" t="s">
        <v>864</v>
      </c>
      <c r="E272" s="312">
        <v>0.32258064516129031</v>
      </c>
      <c r="F272" s="79" t="s">
        <v>109</v>
      </c>
      <c r="G272" s="95" t="s">
        <v>78</v>
      </c>
      <c r="H272" s="540"/>
      <c r="I272" s="68">
        <v>1</v>
      </c>
      <c r="J272" s="68">
        <v>2</v>
      </c>
      <c r="K272" s="68">
        <v>3</v>
      </c>
      <c r="L272" s="68">
        <v>1</v>
      </c>
      <c r="M272" s="83">
        <v>2</v>
      </c>
      <c r="N272" s="534" t="str">
        <f t="shared" si="11"/>
        <v/>
      </c>
      <c r="O272" s="60">
        <f t="shared" si="12"/>
        <v>0.48935255543384243</v>
      </c>
      <c r="P272" s="82" t="s">
        <v>880</v>
      </c>
    </row>
    <row r="273" spans="1:16" s="505" customFormat="1" ht="12" customHeight="1" x14ac:dyDescent="0.2">
      <c r="A273" s="51" t="s">
        <v>21</v>
      </c>
      <c r="B273" s="22" t="s">
        <v>29</v>
      </c>
      <c r="C273" s="69" t="s">
        <v>65</v>
      </c>
      <c r="D273" s="70" t="s">
        <v>864</v>
      </c>
      <c r="E273" s="312" t="s">
        <v>56</v>
      </c>
      <c r="F273" s="78"/>
      <c r="G273" s="96" t="s">
        <v>78</v>
      </c>
      <c r="H273" s="549"/>
      <c r="I273" s="75"/>
      <c r="J273" s="75"/>
      <c r="K273" s="75"/>
      <c r="L273" s="75"/>
      <c r="M273" s="29"/>
      <c r="N273" s="534" t="str">
        <f t="shared" si="11"/>
        <v/>
      </c>
      <c r="O273" s="60" t="str">
        <f t="shared" si="12"/>
        <v/>
      </c>
      <c r="P273" s="81"/>
    </row>
    <row r="274" spans="1:16" ht="12" customHeight="1" x14ac:dyDescent="0.2">
      <c r="A274" s="50" t="s">
        <v>22</v>
      </c>
      <c r="B274" s="376" t="s">
        <v>41</v>
      </c>
      <c r="C274" s="543" t="s">
        <v>809</v>
      </c>
      <c r="D274" s="309" t="s">
        <v>864</v>
      </c>
      <c r="E274" s="312">
        <v>6.4500000000000002E-2</v>
      </c>
      <c r="F274" s="77" t="s">
        <v>109</v>
      </c>
      <c r="G274" s="94" t="s">
        <v>78</v>
      </c>
      <c r="H274" s="533"/>
      <c r="I274" s="309">
        <v>1</v>
      </c>
      <c r="J274" s="309">
        <v>2</v>
      </c>
      <c r="K274" s="309">
        <v>3</v>
      </c>
      <c r="L274" s="309">
        <v>1</v>
      </c>
      <c r="M274" s="66">
        <v>2</v>
      </c>
      <c r="N274" s="534" t="str">
        <f t="shared" si="11"/>
        <v/>
      </c>
      <c r="O274" s="60">
        <f t="shared" si="12"/>
        <v>0.48935255543384243</v>
      </c>
      <c r="P274" s="343" t="s">
        <v>880</v>
      </c>
    </row>
    <row r="275" spans="1:16" ht="12" customHeight="1" x14ac:dyDescent="0.2">
      <c r="A275" s="50" t="s">
        <v>22</v>
      </c>
      <c r="B275" s="376" t="s">
        <v>41</v>
      </c>
      <c r="C275" s="544" t="s">
        <v>810</v>
      </c>
      <c r="D275" s="309" t="s">
        <v>864</v>
      </c>
      <c r="E275" s="312">
        <v>6.4500000000000002E-2</v>
      </c>
      <c r="F275" s="77" t="s">
        <v>109</v>
      </c>
      <c r="G275" s="94" t="s">
        <v>78</v>
      </c>
      <c r="H275" s="533"/>
      <c r="I275" s="309">
        <v>1</v>
      </c>
      <c r="J275" s="309">
        <v>2</v>
      </c>
      <c r="K275" s="309">
        <v>3</v>
      </c>
      <c r="L275" s="309">
        <v>1</v>
      </c>
      <c r="M275" s="66">
        <v>2</v>
      </c>
      <c r="N275" s="534" t="str">
        <f t="shared" si="11"/>
        <v/>
      </c>
      <c r="O275" s="60">
        <f t="shared" si="12"/>
        <v>0.48935255543384243</v>
      </c>
      <c r="P275" s="343" t="s">
        <v>880</v>
      </c>
    </row>
    <row r="276" spans="1:16" ht="12" customHeight="1" x14ac:dyDescent="0.2">
      <c r="A276" s="50" t="s">
        <v>22</v>
      </c>
      <c r="B276" s="376" t="s">
        <v>41</v>
      </c>
      <c r="C276" s="545" t="s">
        <v>811</v>
      </c>
      <c r="D276" s="309" t="s">
        <v>864</v>
      </c>
      <c r="E276" s="312">
        <v>6.4500000000000002E-2</v>
      </c>
      <c r="F276" s="77" t="s">
        <v>109</v>
      </c>
      <c r="G276" s="94" t="s">
        <v>78</v>
      </c>
      <c r="H276" s="533"/>
      <c r="I276" s="309">
        <v>1</v>
      </c>
      <c r="J276" s="309">
        <v>2</v>
      </c>
      <c r="K276" s="309">
        <v>3</v>
      </c>
      <c r="L276" s="309">
        <v>1</v>
      </c>
      <c r="M276" s="66">
        <v>2</v>
      </c>
      <c r="N276" s="534" t="str">
        <f t="shared" si="11"/>
        <v/>
      </c>
      <c r="O276" s="60">
        <f t="shared" si="12"/>
        <v>0.48935255543384243</v>
      </c>
      <c r="P276" s="343" t="s">
        <v>880</v>
      </c>
    </row>
    <row r="277" spans="1:16" ht="12" customHeight="1" x14ac:dyDescent="0.2">
      <c r="A277" s="50" t="s">
        <v>22</v>
      </c>
      <c r="B277" s="376" t="s">
        <v>41</v>
      </c>
      <c r="C277" s="546" t="s">
        <v>812</v>
      </c>
      <c r="D277" s="309" t="s">
        <v>864</v>
      </c>
      <c r="E277" s="312">
        <v>6.4500000000000002E-2</v>
      </c>
      <c r="F277" s="77" t="s">
        <v>109</v>
      </c>
      <c r="G277" s="94" t="s">
        <v>78</v>
      </c>
      <c r="H277" s="533"/>
      <c r="I277" s="309">
        <v>1</v>
      </c>
      <c r="J277" s="309">
        <v>2</v>
      </c>
      <c r="K277" s="309">
        <v>3</v>
      </c>
      <c r="L277" s="309">
        <v>1</v>
      </c>
      <c r="M277" s="66">
        <v>2</v>
      </c>
      <c r="N277" s="534" t="str">
        <f t="shared" si="11"/>
        <v/>
      </c>
      <c r="O277" s="60">
        <f t="shared" si="12"/>
        <v>0.48935255543384243</v>
      </c>
      <c r="P277" s="343" t="s">
        <v>880</v>
      </c>
    </row>
    <row r="278" spans="1:16" ht="12" customHeight="1" x14ac:dyDescent="0.2">
      <c r="A278" s="50" t="s">
        <v>22</v>
      </c>
      <c r="B278" s="376" t="s">
        <v>41</v>
      </c>
      <c r="C278" s="547" t="s">
        <v>813</v>
      </c>
      <c r="D278" s="309" t="s">
        <v>864</v>
      </c>
      <c r="E278" s="312">
        <v>6.4500000000000002E-2</v>
      </c>
      <c r="F278" s="77" t="s">
        <v>109</v>
      </c>
      <c r="G278" s="94" t="s">
        <v>78</v>
      </c>
      <c r="H278" s="533"/>
      <c r="I278" s="309">
        <v>1</v>
      </c>
      <c r="J278" s="309">
        <v>2</v>
      </c>
      <c r="K278" s="309">
        <v>3</v>
      </c>
      <c r="L278" s="309">
        <v>1</v>
      </c>
      <c r="M278" s="66">
        <v>2</v>
      </c>
      <c r="N278" s="534" t="str">
        <f t="shared" si="11"/>
        <v/>
      </c>
      <c r="O278" s="60">
        <f t="shared" si="12"/>
        <v>0.48935255543384243</v>
      </c>
      <c r="P278" s="343" t="s">
        <v>880</v>
      </c>
    </row>
    <row r="279" spans="1:16" s="505" customFormat="1" ht="12" customHeight="1" x14ac:dyDescent="0.2">
      <c r="A279" s="51" t="s">
        <v>22</v>
      </c>
      <c r="B279" s="22" t="s">
        <v>29</v>
      </c>
      <c r="C279" s="69" t="s">
        <v>65</v>
      </c>
      <c r="D279" s="70" t="s">
        <v>864</v>
      </c>
      <c r="E279" s="312" t="s">
        <v>56</v>
      </c>
      <c r="F279" s="78"/>
      <c r="G279" s="96" t="s">
        <v>78</v>
      </c>
      <c r="H279" s="549"/>
      <c r="I279" s="75"/>
      <c r="J279" s="75"/>
      <c r="K279" s="75"/>
      <c r="L279" s="75"/>
      <c r="M279" s="29"/>
      <c r="N279" s="534" t="str">
        <f t="shared" si="11"/>
        <v/>
      </c>
      <c r="O279" s="60" t="str">
        <f t="shared" si="12"/>
        <v/>
      </c>
      <c r="P279" s="81"/>
    </row>
    <row r="280" spans="1:16" s="497" customFormat="1" x14ac:dyDescent="0.2">
      <c r="A280" s="49" t="s">
        <v>23</v>
      </c>
      <c r="B280" s="48" t="s">
        <v>43</v>
      </c>
      <c r="C280" s="67" t="s">
        <v>65</v>
      </c>
      <c r="D280" s="68" t="s">
        <v>65</v>
      </c>
      <c r="E280" s="314">
        <v>1</v>
      </c>
      <c r="F280" s="79"/>
      <c r="G280" s="95" t="s">
        <v>78</v>
      </c>
      <c r="H280" s="540"/>
      <c r="I280" s="61"/>
      <c r="J280" s="61"/>
      <c r="K280" s="61"/>
      <c r="L280" s="61"/>
      <c r="M280" s="30"/>
      <c r="N280" s="534" t="str">
        <f t="shared" si="11"/>
        <v/>
      </c>
      <c r="O280" s="60" t="str">
        <f t="shared" si="12"/>
        <v/>
      </c>
      <c r="P280" s="82"/>
    </row>
    <row r="281" spans="1:16" x14ac:dyDescent="0.2">
      <c r="A281" s="50" t="s">
        <v>24</v>
      </c>
      <c r="B281" s="376" t="s">
        <v>43</v>
      </c>
      <c r="C281" s="64" t="s">
        <v>65</v>
      </c>
      <c r="D281" s="309" t="s">
        <v>65</v>
      </c>
      <c r="E281" s="535">
        <v>1</v>
      </c>
      <c r="G281" s="94" t="s">
        <v>78</v>
      </c>
      <c r="H281" s="533"/>
      <c r="I281" s="305"/>
      <c r="J281" s="305"/>
      <c r="K281" s="305"/>
      <c r="L281" s="305"/>
      <c r="M281" s="85"/>
      <c r="N281" s="534" t="str">
        <f t="shared" si="11"/>
        <v/>
      </c>
      <c r="O281" s="60" t="str">
        <f t="shared" si="12"/>
        <v/>
      </c>
    </row>
    <row r="282" spans="1:16" x14ac:dyDescent="0.2">
      <c r="A282" s="50" t="s">
        <v>25</v>
      </c>
      <c r="B282" s="376" t="s">
        <v>43</v>
      </c>
      <c r="C282" s="64" t="s">
        <v>65</v>
      </c>
      <c r="D282" s="309" t="s">
        <v>65</v>
      </c>
      <c r="E282" s="535">
        <v>1</v>
      </c>
      <c r="G282" s="94" t="s">
        <v>78</v>
      </c>
      <c r="H282" s="533"/>
      <c r="I282" s="305"/>
      <c r="J282" s="305"/>
      <c r="K282" s="305"/>
      <c r="L282" s="305"/>
      <c r="M282" s="85"/>
      <c r="N282" s="534" t="str">
        <f t="shared" si="11"/>
        <v/>
      </c>
      <c r="O282" s="60" t="str">
        <f t="shared" si="12"/>
        <v/>
      </c>
    </row>
    <row r="283" spans="1:16" x14ac:dyDescent="0.2">
      <c r="A283" s="50" t="s">
        <v>26</v>
      </c>
      <c r="B283" s="376" t="s">
        <v>43</v>
      </c>
      <c r="C283" s="64" t="s">
        <v>65</v>
      </c>
      <c r="D283" s="309" t="s">
        <v>65</v>
      </c>
      <c r="E283" s="535">
        <v>1</v>
      </c>
      <c r="G283" s="94" t="s">
        <v>78</v>
      </c>
      <c r="H283" s="533"/>
      <c r="I283" s="305"/>
      <c r="J283" s="305"/>
      <c r="K283" s="305"/>
      <c r="L283" s="305"/>
      <c r="M283" s="85"/>
      <c r="N283" s="534" t="str">
        <f t="shared" si="11"/>
        <v/>
      </c>
      <c r="O283" s="60" t="str">
        <f t="shared" si="12"/>
        <v/>
      </c>
    </row>
    <row r="284" spans="1:16" s="505" customFormat="1" x14ac:dyDescent="0.2">
      <c r="A284" s="51" t="s">
        <v>27</v>
      </c>
      <c r="B284" s="22" t="s">
        <v>43</v>
      </c>
      <c r="C284" s="69" t="s">
        <v>65</v>
      </c>
      <c r="D284" s="70" t="s">
        <v>65</v>
      </c>
      <c r="E284" s="313">
        <v>1</v>
      </c>
      <c r="F284" s="78"/>
      <c r="G284" s="96" t="s">
        <v>78</v>
      </c>
      <c r="H284" s="549"/>
      <c r="I284" s="75"/>
      <c r="J284" s="75"/>
      <c r="K284" s="75"/>
      <c r="L284" s="75"/>
      <c r="M284" s="29"/>
      <c r="N284" s="534" t="str">
        <f t="shared" si="11"/>
        <v/>
      </c>
      <c r="O284" s="60" t="str">
        <f t="shared" si="12"/>
        <v/>
      </c>
      <c r="P284" s="81"/>
    </row>
    <row r="285" spans="1:16" s="497" customFormat="1" x14ac:dyDescent="0.2">
      <c r="A285" s="49" t="s">
        <v>112</v>
      </c>
      <c r="B285" s="120" t="s">
        <v>67</v>
      </c>
      <c r="C285" s="38" t="s">
        <v>65</v>
      </c>
      <c r="D285" s="538" t="s">
        <v>858</v>
      </c>
      <c r="E285" s="315">
        <f>1498/(6319+1498)</f>
        <v>0.19163361903543558</v>
      </c>
      <c r="F285" s="79" t="s">
        <v>881</v>
      </c>
      <c r="G285" s="95" t="s">
        <v>78</v>
      </c>
      <c r="H285" s="67">
        <v>2</v>
      </c>
      <c r="I285" s="61"/>
      <c r="J285" s="68">
        <v>2</v>
      </c>
      <c r="K285" s="68">
        <v>3</v>
      </c>
      <c r="L285" s="68">
        <v>1</v>
      </c>
      <c r="M285" s="83">
        <v>3</v>
      </c>
      <c r="N285" s="534">
        <f t="shared" si="11"/>
        <v>1.0776024280428556</v>
      </c>
      <c r="O285" s="60" t="str">
        <f t="shared" si="12"/>
        <v/>
      </c>
      <c r="P285" s="82" t="s">
        <v>882</v>
      </c>
    </row>
    <row r="286" spans="1:16" x14ac:dyDescent="0.2">
      <c r="A286" s="50" t="s">
        <v>112</v>
      </c>
      <c r="B286" s="580" t="s">
        <v>28</v>
      </c>
      <c r="C286" s="42" t="s">
        <v>65</v>
      </c>
      <c r="D286" s="532" t="s">
        <v>858</v>
      </c>
      <c r="E286" s="577" t="s">
        <v>56</v>
      </c>
      <c r="H286" s="533"/>
      <c r="I286" s="305"/>
      <c r="J286" s="305"/>
      <c r="K286" s="305"/>
      <c r="L286" s="305"/>
      <c r="M286" s="85"/>
      <c r="N286" s="534" t="str">
        <f t="shared" si="11"/>
        <v/>
      </c>
      <c r="O286" s="60" t="str">
        <f t="shared" si="12"/>
        <v/>
      </c>
    </row>
    <row r="287" spans="1:16" s="497" customFormat="1" ht="14" customHeight="1" x14ac:dyDescent="0.2">
      <c r="A287" s="49" t="s">
        <v>112</v>
      </c>
      <c r="B287" s="120" t="s">
        <v>67</v>
      </c>
      <c r="C287" s="38" t="s">
        <v>65</v>
      </c>
      <c r="D287" s="538" t="s">
        <v>864</v>
      </c>
      <c r="E287" s="315">
        <f>120977/(120977+105034)</f>
        <v>0.53527040719257024</v>
      </c>
      <c r="F287" s="79" t="s">
        <v>110</v>
      </c>
      <c r="G287" s="95" t="s">
        <v>78</v>
      </c>
      <c r="H287" s="540"/>
      <c r="I287" s="68">
        <v>1</v>
      </c>
      <c r="J287" s="68">
        <v>1</v>
      </c>
      <c r="K287" s="68">
        <v>3</v>
      </c>
      <c r="L287" s="68">
        <v>1</v>
      </c>
      <c r="M287" s="83">
        <v>2</v>
      </c>
      <c r="N287" s="534" t="str">
        <f t="shared" si="11"/>
        <v/>
      </c>
      <c r="O287" s="60">
        <f t="shared" si="12"/>
        <v>0.47802211380704585</v>
      </c>
      <c r="P287" s="82" t="s">
        <v>883</v>
      </c>
    </row>
    <row r="288" spans="1:16" s="505" customFormat="1" ht="17" customHeight="1" x14ac:dyDescent="0.2">
      <c r="A288" s="51" t="s">
        <v>112</v>
      </c>
      <c r="B288" s="119" t="s">
        <v>28</v>
      </c>
      <c r="C288" s="86" t="s">
        <v>65</v>
      </c>
      <c r="D288" s="542" t="s">
        <v>864</v>
      </c>
      <c r="E288" s="581" t="s">
        <v>56</v>
      </c>
      <c r="F288" s="78"/>
      <c r="G288" s="96"/>
      <c r="H288" s="549"/>
      <c r="I288" s="75"/>
      <c r="J288" s="75"/>
      <c r="K288" s="75"/>
      <c r="L288" s="75"/>
      <c r="M288" s="29"/>
      <c r="N288" s="534" t="str">
        <f t="shared" si="11"/>
        <v/>
      </c>
      <c r="O288" s="60" t="str">
        <f t="shared" si="12"/>
        <v/>
      </c>
      <c r="P288" s="81"/>
    </row>
    <row r="289" spans="1:16" s="497" customFormat="1" x14ac:dyDescent="0.2">
      <c r="A289" s="49" t="s">
        <v>113</v>
      </c>
      <c r="B289" s="48" t="s">
        <v>29</v>
      </c>
      <c r="C289" s="582" t="s">
        <v>65</v>
      </c>
      <c r="D289" s="68" t="s">
        <v>858</v>
      </c>
      <c r="E289" s="314">
        <v>7.9399999999999998E-2</v>
      </c>
      <c r="F289" s="79" t="s">
        <v>884</v>
      </c>
      <c r="G289" s="95" t="s">
        <v>78</v>
      </c>
      <c r="H289" s="67">
        <v>1</v>
      </c>
      <c r="I289" s="61"/>
      <c r="J289" s="68">
        <v>2</v>
      </c>
      <c r="K289" s="68">
        <v>3</v>
      </c>
      <c r="L289" s="68">
        <v>1</v>
      </c>
      <c r="M289" s="83">
        <v>2</v>
      </c>
      <c r="N289" s="534">
        <f t="shared" si="11"/>
        <v>0.48935255543384243</v>
      </c>
      <c r="O289" s="60" t="str">
        <f t="shared" si="12"/>
        <v/>
      </c>
      <c r="P289" s="82"/>
    </row>
    <row r="290" spans="1:16" x14ac:dyDescent="0.2">
      <c r="A290" s="50" t="s">
        <v>113</v>
      </c>
      <c r="B290" s="376" t="s">
        <v>30</v>
      </c>
      <c r="C290" s="583" t="s">
        <v>65</v>
      </c>
      <c r="D290" s="309" t="s">
        <v>858</v>
      </c>
      <c r="E290" s="535">
        <v>0.23810000000000001</v>
      </c>
      <c r="F290" s="77" t="s">
        <v>884</v>
      </c>
      <c r="G290" s="94" t="s">
        <v>78</v>
      </c>
      <c r="H290" s="64">
        <v>1</v>
      </c>
      <c r="I290" s="305"/>
      <c r="J290" s="309">
        <v>2</v>
      </c>
      <c r="K290" s="309">
        <v>3</v>
      </c>
      <c r="L290" s="309">
        <v>1</v>
      </c>
      <c r="M290" s="66">
        <v>2</v>
      </c>
      <c r="N290" s="534">
        <f t="shared" si="11"/>
        <v>0.48935255543384243</v>
      </c>
      <c r="O290" s="60" t="str">
        <f t="shared" si="12"/>
        <v/>
      </c>
    </row>
    <row r="291" spans="1:16" x14ac:dyDescent="0.2">
      <c r="A291" s="50" t="s">
        <v>113</v>
      </c>
      <c r="B291" s="376" t="s">
        <v>30</v>
      </c>
      <c r="C291" s="583" t="s">
        <v>65</v>
      </c>
      <c r="D291" s="309" t="s">
        <v>858</v>
      </c>
      <c r="E291" s="535">
        <v>0.37</v>
      </c>
      <c r="F291" s="77" t="s">
        <v>885</v>
      </c>
      <c r="G291" s="94" t="s">
        <v>78</v>
      </c>
      <c r="H291" s="64">
        <v>2</v>
      </c>
      <c r="I291" s="305"/>
      <c r="J291" s="309">
        <v>2</v>
      </c>
      <c r="K291" s="309">
        <v>3</v>
      </c>
      <c r="L291" s="309">
        <v>1</v>
      </c>
      <c r="M291" s="66">
        <v>2</v>
      </c>
      <c r="N291" s="534">
        <f t="shared" si="11"/>
        <v>0.50042652380814845</v>
      </c>
      <c r="O291" s="60" t="str">
        <f t="shared" si="12"/>
        <v/>
      </c>
    </row>
    <row r="292" spans="1:16" x14ac:dyDescent="0.2">
      <c r="A292" s="50" t="s">
        <v>113</v>
      </c>
      <c r="B292" s="378" t="s">
        <v>67</v>
      </c>
      <c r="C292" s="583" t="s">
        <v>65</v>
      </c>
      <c r="D292" s="309" t="s">
        <v>858</v>
      </c>
      <c r="E292" s="312" t="s">
        <v>56</v>
      </c>
      <c r="G292" s="94" t="s">
        <v>78</v>
      </c>
      <c r="H292" s="533"/>
      <c r="I292" s="305"/>
      <c r="J292" s="305"/>
      <c r="K292" s="305"/>
      <c r="L292" s="305"/>
      <c r="M292" s="85"/>
      <c r="N292" s="534" t="str">
        <f t="shared" si="11"/>
        <v/>
      </c>
      <c r="O292" s="60" t="str">
        <f t="shared" si="12"/>
        <v/>
      </c>
    </row>
    <row r="293" spans="1:16" s="497" customFormat="1" ht="18" customHeight="1" x14ac:dyDescent="0.2">
      <c r="A293" s="49" t="s">
        <v>113</v>
      </c>
      <c r="B293" s="48" t="s">
        <v>29</v>
      </c>
      <c r="C293" s="582" t="s">
        <v>65</v>
      </c>
      <c r="D293" s="68" t="s">
        <v>864</v>
      </c>
      <c r="E293" s="314">
        <v>2.7099999999999999E-2</v>
      </c>
      <c r="F293" s="79" t="s">
        <v>76</v>
      </c>
      <c r="G293" s="95" t="s">
        <v>78</v>
      </c>
      <c r="H293" s="540"/>
      <c r="I293" s="68">
        <v>1</v>
      </c>
      <c r="J293" s="68">
        <v>3</v>
      </c>
      <c r="K293" s="68">
        <v>3</v>
      </c>
      <c r="L293" s="68">
        <v>1</v>
      </c>
      <c r="M293" s="83">
        <v>2</v>
      </c>
      <c r="N293" s="534" t="str">
        <f t="shared" si="11"/>
        <v/>
      </c>
      <c r="O293" s="60">
        <f t="shared" si="12"/>
        <v>0.58256442191643876</v>
      </c>
      <c r="P293" s="82"/>
    </row>
    <row r="294" spans="1:16" ht="18" customHeight="1" x14ac:dyDescent="0.2">
      <c r="A294" s="50" t="s">
        <v>113</v>
      </c>
      <c r="B294" s="376" t="s">
        <v>30</v>
      </c>
      <c r="C294" s="583" t="s">
        <v>65</v>
      </c>
      <c r="D294" s="309" t="s">
        <v>864</v>
      </c>
      <c r="E294" s="312" t="s">
        <v>56</v>
      </c>
      <c r="G294" s="94" t="s">
        <v>78</v>
      </c>
      <c r="H294" s="533"/>
      <c r="I294" s="305"/>
      <c r="J294" s="305"/>
      <c r="K294" s="305"/>
      <c r="L294" s="305"/>
      <c r="M294" s="85"/>
      <c r="N294" s="534" t="str">
        <f t="shared" si="11"/>
        <v/>
      </c>
      <c r="O294" s="60" t="str">
        <f t="shared" si="12"/>
        <v/>
      </c>
    </row>
    <row r="295" spans="1:16" s="505" customFormat="1" ht="18" customHeight="1" x14ac:dyDescent="0.2">
      <c r="A295" s="51" t="s">
        <v>113</v>
      </c>
      <c r="B295" s="20" t="s">
        <v>67</v>
      </c>
      <c r="C295" s="584" t="s">
        <v>65</v>
      </c>
      <c r="D295" s="70" t="s">
        <v>864</v>
      </c>
      <c r="E295" s="313">
        <f>(200+500+1200)/(200+500+1200+7400+3700+5500+100+400+15)</f>
        <v>9.9921114909282141E-2</v>
      </c>
      <c r="F295" s="78" t="s">
        <v>76</v>
      </c>
      <c r="G295" s="96" t="s">
        <v>78</v>
      </c>
      <c r="H295" s="549"/>
      <c r="I295" s="70">
        <v>1</v>
      </c>
      <c r="J295" s="70">
        <v>3</v>
      </c>
      <c r="K295" s="70">
        <v>1</v>
      </c>
      <c r="L295" s="70">
        <v>1</v>
      </c>
      <c r="M295" s="84">
        <v>2</v>
      </c>
      <c r="N295" s="534" t="str">
        <f t="shared" si="11"/>
        <v/>
      </c>
      <c r="O295" s="60">
        <f t="shared" si="12"/>
        <v>0.47802211380704585</v>
      </c>
      <c r="P295" s="81"/>
    </row>
    <row r="296" spans="1:16" s="497" customFormat="1" x14ac:dyDescent="0.2">
      <c r="A296" s="49" t="s">
        <v>31</v>
      </c>
      <c r="B296" s="48" t="s">
        <v>42</v>
      </c>
      <c r="C296" s="67" t="s">
        <v>65</v>
      </c>
      <c r="D296" s="68" t="s">
        <v>65</v>
      </c>
      <c r="E296" s="314">
        <v>1</v>
      </c>
      <c r="F296" s="79"/>
      <c r="G296" s="95" t="s">
        <v>78</v>
      </c>
      <c r="H296" s="540"/>
      <c r="I296" s="61"/>
      <c r="J296" s="61"/>
      <c r="K296" s="61"/>
      <c r="L296" s="61"/>
      <c r="M296" s="30"/>
      <c r="N296" s="534" t="str">
        <f t="shared" si="11"/>
        <v/>
      </c>
      <c r="O296" s="60" t="str">
        <f t="shared" si="12"/>
        <v/>
      </c>
      <c r="P296" s="82"/>
    </row>
    <row r="297" spans="1:16" s="505" customFormat="1" x14ac:dyDescent="0.2">
      <c r="A297" s="51" t="s">
        <v>33</v>
      </c>
      <c r="B297" s="22" t="s">
        <v>42</v>
      </c>
      <c r="C297" s="69" t="s">
        <v>65</v>
      </c>
      <c r="D297" s="70" t="s">
        <v>65</v>
      </c>
      <c r="E297" s="313">
        <v>1</v>
      </c>
      <c r="F297" s="78"/>
      <c r="G297" s="96" t="s">
        <v>78</v>
      </c>
      <c r="H297" s="549"/>
      <c r="I297" s="75"/>
      <c r="J297" s="75"/>
      <c r="K297" s="75"/>
      <c r="L297" s="75"/>
      <c r="M297" s="29"/>
      <c r="N297" s="534" t="str">
        <f t="shared" si="11"/>
        <v/>
      </c>
      <c r="O297" s="60" t="str">
        <f t="shared" si="12"/>
        <v/>
      </c>
      <c r="P297" s="81"/>
    </row>
    <row r="298" spans="1:16" x14ac:dyDescent="0.2">
      <c r="A298" s="50" t="s">
        <v>34</v>
      </c>
      <c r="B298" s="376" t="s">
        <v>29</v>
      </c>
      <c r="C298" s="64" t="s">
        <v>65</v>
      </c>
      <c r="D298" s="309" t="s">
        <v>65</v>
      </c>
      <c r="E298" s="535">
        <v>1</v>
      </c>
      <c r="G298" s="94" t="s">
        <v>78</v>
      </c>
      <c r="H298" s="533"/>
      <c r="I298" s="305"/>
      <c r="J298" s="305"/>
      <c r="K298" s="305"/>
      <c r="L298" s="305"/>
      <c r="M298" s="85"/>
      <c r="N298" s="534" t="str">
        <f t="shared" si="11"/>
        <v/>
      </c>
      <c r="O298" s="60" t="str">
        <f t="shared" si="12"/>
        <v/>
      </c>
    </row>
    <row r="299" spans="1:16" x14ac:dyDescent="0.2">
      <c r="A299" s="50" t="s">
        <v>35</v>
      </c>
      <c r="B299" s="376" t="s">
        <v>29</v>
      </c>
      <c r="C299" s="64" t="s">
        <v>65</v>
      </c>
      <c r="D299" s="309" t="s">
        <v>65</v>
      </c>
      <c r="E299" s="535">
        <v>1</v>
      </c>
      <c r="G299" s="94" t="s">
        <v>78</v>
      </c>
      <c r="H299" s="533"/>
      <c r="I299" s="305"/>
      <c r="J299" s="305"/>
      <c r="K299" s="305"/>
      <c r="L299" s="305"/>
      <c r="M299" s="85"/>
      <c r="N299" s="534" t="str">
        <f t="shared" si="11"/>
        <v/>
      </c>
      <c r="O299" s="60" t="str">
        <f t="shared" si="12"/>
        <v/>
      </c>
    </row>
    <row r="300" spans="1:16" x14ac:dyDescent="0.2">
      <c r="A300" s="50" t="s">
        <v>37</v>
      </c>
      <c r="B300" s="372" t="s">
        <v>596</v>
      </c>
      <c r="C300" s="64" t="s">
        <v>65</v>
      </c>
      <c r="D300" s="309" t="s">
        <v>65</v>
      </c>
      <c r="E300" s="535">
        <v>1</v>
      </c>
      <c r="G300" s="94" t="s">
        <v>78</v>
      </c>
      <c r="H300" s="533"/>
      <c r="I300" s="305"/>
      <c r="J300" s="305"/>
      <c r="K300" s="305"/>
      <c r="L300" s="305"/>
      <c r="M300" s="85"/>
      <c r="N300" s="534" t="str">
        <f t="shared" si="11"/>
        <v/>
      </c>
      <c r="O300" s="60" t="str">
        <f t="shared" si="12"/>
        <v/>
      </c>
    </row>
    <row r="301" spans="1:16" x14ac:dyDescent="0.2">
      <c r="A301" s="50" t="s">
        <v>38</v>
      </c>
      <c r="B301" s="376" t="s">
        <v>29</v>
      </c>
      <c r="C301" s="64" t="s">
        <v>65</v>
      </c>
      <c r="D301" s="309" t="s">
        <v>65</v>
      </c>
      <c r="E301" s="535">
        <v>1</v>
      </c>
      <c r="G301" s="94" t="s">
        <v>78</v>
      </c>
      <c r="H301" s="533"/>
      <c r="I301" s="305"/>
      <c r="J301" s="305"/>
      <c r="K301" s="305"/>
      <c r="L301" s="305"/>
      <c r="M301" s="85"/>
      <c r="N301" s="534" t="str">
        <f t="shared" si="11"/>
        <v/>
      </c>
      <c r="O301" s="60" t="str">
        <f t="shared" si="12"/>
        <v/>
      </c>
    </row>
    <row r="302" spans="1:16" x14ac:dyDescent="0.2">
      <c r="A302" s="50" t="s">
        <v>87</v>
      </c>
      <c r="B302" s="376" t="s">
        <v>29</v>
      </c>
      <c r="C302" s="64" t="s">
        <v>65</v>
      </c>
      <c r="D302" s="309" t="s">
        <v>65</v>
      </c>
      <c r="E302" s="535">
        <v>1</v>
      </c>
      <c r="H302" s="533"/>
      <c r="I302" s="305"/>
      <c r="J302" s="305"/>
      <c r="K302" s="305"/>
      <c r="L302" s="305"/>
      <c r="M302" s="85"/>
      <c r="N302" s="534" t="str">
        <f t="shared" si="11"/>
        <v/>
      </c>
      <c r="O302" s="60" t="str">
        <f t="shared" si="12"/>
        <v/>
      </c>
    </row>
    <row r="303" spans="1:16" s="497" customFormat="1" x14ac:dyDescent="0.2">
      <c r="A303" s="49" t="s">
        <v>114</v>
      </c>
      <c r="B303" s="48" t="s">
        <v>29</v>
      </c>
      <c r="C303" s="67" t="s">
        <v>65</v>
      </c>
      <c r="D303" s="68" t="s">
        <v>858</v>
      </c>
      <c r="E303" s="539" t="s">
        <v>56</v>
      </c>
      <c r="F303" s="79"/>
      <c r="G303" s="95" t="s">
        <v>78</v>
      </c>
      <c r="H303" s="540"/>
      <c r="I303" s="61"/>
      <c r="J303" s="61"/>
      <c r="K303" s="61"/>
      <c r="L303" s="61"/>
      <c r="M303" s="30"/>
      <c r="N303" s="534" t="str">
        <f t="shared" si="11"/>
        <v/>
      </c>
      <c r="O303" s="60" t="str">
        <f t="shared" si="12"/>
        <v/>
      </c>
      <c r="P303" s="82"/>
    </row>
    <row r="304" spans="1:16" x14ac:dyDescent="0.2">
      <c r="A304" s="50" t="s">
        <v>114</v>
      </c>
      <c r="B304" s="376" t="s">
        <v>44</v>
      </c>
      <c r="C304" s="64" t="s">
        <v>65</v>
      </c>
      <c r="D304" s="309" t="s">
        <v>858</v>
      </c>
      <c r="E304" s="535">
        <v>0.15</v>
      </c>
      <c r="F304" s="77" t="s">
        <v>886</v>
      </c>
      <c r="G304" s="94" t="s">
        <v>78</v>
      </c>
      <c r="H304" s="64">
        <v>1</v>
      </c>
      <c r="I304" s="305"/>
      <c r="J304" s="309">
        <v>3</v>
      </c>
      <c r="K304" s="309">
        <v>3</v>
      </c>
      <c r="L304" s="309">
        <v>1</v>
      </c>
      <c r="M304" s="66">
        <v>2</v>
      </c>
      <c r="N304" s="534">
        <f t="shared" si="11"/>
        <v>0.58256442191643876</v>
      </c>
      <c r="O304" s="60" t="str">
        <f t="shared" si="12"/>
        <v/>
      </c>
    </row>
    <row r="305" spans="1:16" x14ac:dyDescent="0.2">
      <c r="A305" s="50" t="s">
        <v>114</v>
      </c>
      <c r="B305" s="376" t="s">
        <v>44</v>
      </c>
      <c r="C305" s="64" t="s">
        <v>65</v>
      </c>
      <c r="D305" s="309" t="s">
        <v>858</v>
      </c>
      <c r="E305" s="535">
        <v>0.2</v>
      </c>
      <c r="F305" s="77" t="s">
        <v>886</v>
      </c>
      <c r="G305" s="94" t="s">
        <v>78</v>
      </c>
      <c r="H305" s="64">
        <v>1</v>
      </c>
      <c r="I305" s="305"/>
      <c r="J305" s="309">
        <v>3</v>
      </c>
      <c r="K305" s="309">
        <v>3</v>
      </c>
      <c r="L305" s="309">
        <v>1</v>
      </c>
      <c r="M305" s="66">
        <v>2</v>
      </c>
      <c r="N305" s="534">
        <f t="shared" si="11"/>
        <v>0.58256442191643876</v>
      </c>
      <c r="O305" s="60" t="str">
        <f t="shared" si="12"/>
        <v/>
      </c>
    </row>
    <row r="306" spans="1:16" x14ac:dyDescent="0.2">
      <c r="A306" s="50" t="s">
        <v>115</v>
      </c>
      <c r="B306" s="376" t="s">
        <v>29</v>
      </c>
      <c r="C306" s="64" t="s">
        <v>65</v>
      </c>
      <c r="D306" s="309" t="s">
        <v>858</v>
      </c>
      <c r="E306" s="535">
        <f>E304/10</f>
        <v>1.4999999999999999E-2</v>
      </c>
      <c r="F306" s="77" t="s">
        <v>887</v>
      </c>
      <c r="G306" s="94" t="s">
        <v>78</v>
      </c>
      <c r="H306" s="64">
        <v>1</v>
      </c>
      <c r="I306" s="305"/>
      <c r="J306" s="309">
        <v>3</v>
      </c>
      <c r="K306" s="309">
        <v>3</v>
      </c>
      <c r="L306" s="309">
        <v>1</v>
      </c>
      <c r="M306" s="66">
        <v>3</v>
      </c>
      <c r="N306" s="534">
        <f t="shared" si="11"/>
        <v>1.1181151966036349</v>
      </c>
      <c r="O306" s="60" t="str">
        <f t="shared" si="12"/>
        <v/>
      </c>
    </row>
    <row r="307" spans="1:16" x14ac:dyDescent="0.2">
      <c r="A307" s="50" t="s">
        <v>115</v>
      </c>
      <c r="B307" s="376" t="s">
        <v>29</v>
      </c>
      <c r="C307" s="64" t="s">
        <v>65</v>
      </c>
      <c r="D307" s="309" t="s">
        <v>858</v>
      </c>
      <c r="E307" s="535">
        <f>E305/10</f>
        <v>0.02</v>
      </c>
      <c r="F307" s="77" t="s">
        <v>887</v>
      </c>
      <c r="G307" s="94" t="s">
        <v>78</v>
      </c>
      <c r="H307" s="64">
        <v>1</v>
      </c>
      <c r="I307" s="305"/>
      <c r="J307" s="309">
        <v>3</v>
      </c>
      <c r="K307" s="309">
        <v>3</v>
      </c>
      <c r="L307" s="309">
        <v>1</v>
      </c>
      <c r="M307" s="66">
        <v>3</v>
      </c>
      <c r="N307" s="534">
        <f t="shared" si="11"/>
        <v>1.1181151966036349</v>
      </c>
      <c r="O307" s="60" t="str">
        <f t="shared" si="12"/>
        <v/>
      </c>
    </row>
    <row r="308" spans="1:16" s="505" customFormat="1" x14ac:dyDescent="0.2">
      <c r="A308" s="51" t="s">
        <v>115</v>
      </c>
      <c r="B308" s="22" t="s">
        <v>44</v>
      </c>
      <c r="C308" s="69" t="s">
        <v>65</v>
      </c>
      <c r="D308" s="70" t="s">
        <v>858</v>
      </c>
      <c r="E308" s="548">
        <v>0</v>
      </c>
      <c r="F308" s="78"/>
      <c r="G308" s="96" t="s">
        <v>78</v>
      </c>
      <c r="H308" s="549"/>
      <c r="I308" s="75"/>
      <c r="J308" s="75"/>
      <c r="K308" s="75"/>
      <c r="L308" s="75"/>
      <c r="M308" s="29"/>
      <c r="N308" s="534" t="str">
        <f t="shared" si="11"/>
        <v/>
      </c>
      <c r="O308" s="60" t="str">
        <f t="shared" si="12"/>
        <v/>
      </c>
      <c r="P308" s="81"/>
    </row>
    <row r="309" spans="1:16" s="497" customFormat="1" ht="14" customHeight="1" x14ac:dyDescent="0.2">
      <c r="A309" s="49" t="s">
        <v>114</v>
      </c>
      <c r="B309" s="48" t="s">
        <v>29</v>
      </c>
      <c r="C309" s="67" t="s">
        <v>65</v>
      </c>
      <c r="D309" s="68" t="s">
        <v>864</v>
      </c>
      <c r="E309" s="539" t="s">
        <v>56</v>
      </c>
      <c r="F309" s="79"/>
      <c r="G309" s="95" t="s">
        <v>78</v>
      </c>
      <c r="H309" s="540"/>
      <c r="I309" s="61"/>
      <c r="J309" s="61"/>
      <c r="K309" s="61"/>
      <c r="L309" s="61"/>
      <c r="M309" s="30"/>
      <c r="N309" s="534" t="str">
        <f t="shared" si="11"/>
        <v/>
      </c>
      <c r="O309" s="60" t="str">
        <f t="shared" si="12"/>
        <v/>
      </c>
      <c r="P309" s="82"/>
    </row>
    <row r="310" spans="1:16" ht="14" customHeight="1" x14ac:dyDescent="0.2">
      <c r="A310" s="50" t="s">
        <v>114</v>
      </c>
      <c r="B310" s="376" t="s">
        <v>44</v>
      </c>
      <c r="C310" s="64" t="s">
        <v>65</v>
      </c>
      <c r="D310" s="309" t="s">
        <v>864</v>
      </c>
      <c r="E310" s="535">
        <f>47000/(92000+47000)</f>
        <v>0.33812949640287771</v>
      </c>
      <c r="F310" s="77" t="s">
        <v>96</v>
      </c>
      <c r="G310" s="94" t="s">
        <v>78</v>
      </c>
      <c r="H310" s="533"/>
      <c r="I310" s="309">
        <v>1</v>
      </c>
      <c r="J310" s="309">
        <v>2</v>
      </c>
      <c r="K310" s="309">
        <v>3</v>
      </c>
      <c r="L310" s="309">
        <v>1</v>
      </c>
      <c r="M310" s="66">
        <v>2</v>
      </c>
      <c r="N310" s="534" t="str">
        <f t="shared" si="11"/>
        <v/>
      </c>
      <c r="O310" s="60">
        <f t="shared" si="12"/>
        <v>0.48935255543384243</v>
      </c>
    </row>
    <row r="311" spans="1:16" ht="14" customHeight="1" x14ac:dyDescent="0.2">
      <c r="A311" s="50" t="s">
        <v>115</v>
      </c>
      <c r="B311" s="376" t="s">
        <v>29</v>
      </c>
      <c r="C311" s="64" t="s">
        <v>65</v>
      </c>
      <c r="D311" s="309" t="s">
        <v>864</v>
      </c>
      <c r="E311" s="312" t="str">
        <f>E309</f>
        <v>rest</v>
      </c>
      <c r="G311" s="94" t="s">
        <v>78</v>
      </c>
      <c r="H311" s="533"/>
      <c r="I311" s="305"/>
      <c r="J311" s="305"/>
      <c r="K311" s="305"/>
      <c r="L311" s="305"/>
      <c r="M311" s="85"/>
      <c r="N311" s="534" t="str">
        <f t="shared" si="11"/>
        <v/>
      </c>
      <c r="O311" s="60" t="str">
        <f t="shared" si="12"/>
        <v/>
      </c>
    </row>
    <row r="312" spans="1:16" s="505" customFormat="1" ht="14" customHeight="1" x14ac:dyDescent="0.2">
      <c r="A312" s="51" t="s">
        <v>115</v>
      </c>
      <c r="B312" s="22" t="s">
        <v>44</v>
      </c>
      <c r="C312" s="69" t="s">
        <v>65</v>
      </c>
      <c r="D312" s="70" t="s">
        <v>864</v>
      </c>
      <c r="E312" s="313">
        <f>E310/10</f>
        <v>3.3812949640287769E-2</v>
      </c>
      <c r="F312" s="78" t="s">
        <v>266</v>
      </c>
      <c r="G312" s="96" t="s">
        <v>78</v>
      </c>
      <c r="H312" s="549"/>
      <c r="I312" s="70">
        <v>1</v>
      </c>
      <c r="J312" s="70">
        <v>2</v>
      </c>
      <c r="K312" s="70">
        <v>3</v>
      </c>
      <c r="L312" s="70">
        <v>1</v>
      </c>
      <c r="M312" s="84">
        <v>3</v>
      </c>
      <c r="N312" s="534" t="str">
        <f t="shared" si="11"/>
        <v/>
      </c>
      <c r="O312" s="60">
        <f t="shared" si="12"/>
        <v>1.0725046436742278</v>
      </c>
      <c r="P312" s="81"/>
    </row>
    <row r="313" spans="1:16" s="497" customFormat="1" x14ac:dyDescent="0.2">
      <c r="A313" s="49" t="s">
        <v>36</v>
      </c>
      <c r="B313" s="48" t="s">
        <v>29</v>
      </c>
      <c r="C313" s="67" t="s">
        <v>65</v>
      </c>
      <c r="D313" s="68" t="s">
        <v>858</v>
      </c>
      <c r="E313" s="539" t="s">
        <v>56</v>
      </c>
      <c r="F313" s="79"/>
      <c r="G313" s="95" t="s">
        <v>78</v>
      </c>
      <c r="H313" s="540"/>
      <c r="I313" s="61"/>
      <c r="J313" s="61"/>
      <c r="K313" s="61"/>
      <c r="L313" s="61"/>
      <c r="M313" s="30"/>
      <c r="N313" s="534" t="str">
        <f t="shared" si="11"/>
        <v/>
      </c>
      <c r="O313" s="60" t="str">
        <f t="shared" si="12"/>
        <v/>
      </c>
      <c r="P313" s="82"/>
    </row>
    <row r="314" spans="1:16" x14ac:dyDescent="0.2">
      <c r="A314" s="50" t="s">
        <v>36</v>
      </c>
      <c r="B314" s="376" t="s">
        <v>44</v>
      </c>
      <c r="C314" s="64" t="s">
        <v>65</v>
      </c>
      <c r="D314" s="309" t="s">
        <v>858</v>
      </c>
      <c r="E314" s="535">
        <f>E306</f>
        <v>1.4999999999999999E-2</v>
      </c>
      <c r="F314" s="77" t="s">
        <v>887</v>
      </c>
      <c r="G314" s="94" t="s">
        <v>78</v>
      </c>
      <c r="H314" s="64">
        <v>1</v>
      </c>
      <c r="I314" s="305"/>
      <c r="J314" s="309">
        <v>3</v>
      </c>
      <c r="K314" s="309">
        <v>3</v>
      </c>
      <c r="L314" s="309">
        <v>1</v>
      </c>
      <c r="M314" s="66">
        <v>3</v>
      </c>
      <c r="N314" s="534">
        <f t="shared" si="11"/>
        <v>1.1181151966036349</v>
      </c>
      <c r="O314" s="60" t="str">
        <f t="shared" si="12"/>
        <v/>
      </c>
    </row>
    <row r="315" spans="1:16" x14ac:dyDescent="0.2">
      <c r="A315" s="50" t="s">
        <v>36</v>
      </c>
      <c r="B315" s="376" t="s">
        <v>44</v>
      </c>
      <c r="C315" s="64" t="s">
        <v>65</v>
      </c>
      <c r="D315" s="309" t="s">
        <v>858</v>
      </c>
      <c r="E315" s="535">
        <f>E307</f>
        <v>0.02</v>
      </c>
      <c r="F315" s="77" t="s">
        <v>887</v>
      </c>
      <c r="G315" s="94" t="s">
        <v>78</v>
      </c>
      <c r="H315" s="64">
        <v>1</v>
      </c>
      <c r="I315" s="305"/>
      <c r="J315" s="309">
        <v>3</v>
      </c>
      <c r="K315" s="309">
        <v>3</v>
      </c>
      <c r="L315" s="309">
        <v>1</v>
      </c>
      <c r="M315" s="66">
        <v>3</v>
      </c>
      <c r="N315" s="534">
        <f t="shared" si="11"/>
        <v>1.1181151966036349</v>
      </c>
      <c r="O315" s="60" t="str">
        <f t="shared" si="12"/>
        <v/>
      </c>
    </row>
    <row r="316" spans="1:16" x14ac:dyDescent="0.2">
      <c r="A316" s="50" t="s">
        <v>92</v>
      </c>
      <c r="B316" s="376" t="s">
        <v>29</v>
      </c>
      <c r="C316" s="64" t="s">
        <v>65</v>
      </c>
      <c r="D316" s="309" t="s">
        <v>858</v>
      </c>
      <c r="E316" s="312" t="s">
        <v>56</v>
      </c>
      <c r="H316" s="533"/>
      <c r="I316" s="305"/>
      <c r="J316" s="305"/>
      <c r="K316" s="305"/>
      <c r="L316" s="305"/>
      <c r="M316" s="85"/>
      <c r="N316" s="534" t="str">
        <f t="shared" si="11"/>
        <v/>
      </c>
      <c r="O316" s="60" t="str">
        <f t="shared" si="12"/>
        <v/>
      </c>
    </row>
    <row r="317" spans="1:16" x14ac:dyDescent="0.2">
      <c r="A317" s="50" t="s">
        <v>92</v>
      </c>
      <c r="B317" s="376" t="s">
        <v>44</v>
      </c>
      <c r="C317" s="64" t="s">
        <v>65</v>
      </c>
      <c r="D317" s="309" t="s">
        <v>858</v>
      </c>
      <c r="E317" s="535">
        <f>E304</f>
        <v>0.15</v>
      </c>
      <c r="F317" s="77" t="s">
        <v>887</v>
      </c>
      <c r="G317" s="94" t="s">
        <v>78</v>
      </c>
      <c r="H317" s="64">
        <f>H306</f>
        <v>1</v>
      </c>
      <c r="I317" s="305"/>
      <c r="J317" s="309">
        <f t="shared" ref="J317:M318" si="13">J306</f>
        <v>3</v>
      </c>
      <c r="K317" s="309">
        <f t="shared" si="13"/>
        <v>3</v>
      </c>
      <c r="L317" s="309">
        <f t="shared" si="13"/>
        <v>1</v>
      </c>
      <c r="M317" s="66">
        <f t="shared" si="13"/>
        <v>3</v>
      </c>
      <c r="N317" s="534">
        <f t="shared" si="11"/>
        <v>1.1181151966036349</v>
      </c>
      <c r="O317" s="60" t="str">
        <f t="shared" si="12"/>
        <v/>
      </c>
    </row>
    <row r="318" spans="1:16" x14ac:dyDescent="0.2">
      <c r="A318" s="50" t="s">
        <v>92</v>
      </c>
      <c r="B318" s="376" t="s">
        <v>44</v>
      </c>
      <c r="C318" s="64" t="s">
        <v>65</v>
      </c>
      <c r="D318" s="309" t="s">
        <v>858</v>
      </c>
      <c r="E318" s="535">
        <f>E305</f>
        <v>0.2</v>
      </c>
      <c r="F318" s="77" t="s">
        <v>887</v>
      </c>
      <c r="G318" s="94" t="s">
        <v>78</v>
      </c>
      <c r="H318" s="64">
        <f>H307</f>
        <v>1</v>
      </c>
      <c r="I318" s="305"/>
      <c r="J318" s="309">
        <f t="shared" si="13"/>
        <v>3</v>
      </c>
      <c r="K318" s="309">
        <f t="shared" si="13"/>
        <v>3</v>
      </c>
      <c r="L318" s="309">
        <f t="shared" si="13"/>
        <v>1</v>
      </c>
      <c r="M318" s="66">
        <f t="shared" si="13"/>
        <v>3</v>
      </c>
      <c r="N318" s="534">
        <f t="shared" si="11"/>
        <v>1.1181151966036349</v>
      </c>
      <c r="O318" s="60" t="str">
        <f t="shared" si="12"/>
        <v/>
      </c>
    </row>
    <row r="319" spans="1:16" x14ac:dyDescent="0.2">
      <c r="A319" s="50" t="s">
        <v>95</v>
      </c>
      <c r="B319" s="376" t="s">
        <v>29</v>
      </c>
      <c r="C319" s="64" t="s">
        <v>65</v>
      </c>
      <c r="D319" s="309" t="s">
        <v>858</v>
      </c>
      <c r="E319" s="312" t="s">
        <v>56</v>
      </c>
      <c r="H319" s="533"/>
      <c r="I319" s="305"/>
      <c r="J319" s="305"/>
      <c r="K319" s="305"/>
      <c r="L319" s="305"/>
      <c r="M319" s="85"/>
      <c r="N319" s="534" t="str">
        <f t="shared" si="11"/>
        <v/>
      </c>
      <c r="O319" s="60" t="str">
        <f t="shared" si="12"/>
        <v/>
      </c>
    </row>
    <row r="320" spans="1:16" s="505" customFormat="1" x14ac:dyDescent="0.2">
      <c r="A320" s="51" t="s">
        <v>95</v>
      </c>
      <c r="B320" s="22" t="s">
        <v>44</v>
      </c>
      <c r="C320" s="69" t="s">
        <v>65</v>
      </c>
      <c r="D320" s="70" t="s">
        <v>858</v>
      </c>
      <c r="E320" s="313">
        <f>E318/10</f>
        <v>0.02</v>
      </c>
      <c r="F320" s="78" t="s">
        <v>887</v>
      </c>
      <c r="G320" s="96" t="s">
        <v>78</v>
      </c>
      <c r="H320" s="69">
        <v>1</v>
      </c>
      <c r="I320" s="75"/>
      <c r="J320" s="70">
        <v>2</v>
      </c>
      <c r="K320" s="70">
        <v>3</v>
      </c>
      <c r="L320" s="70">
        <v>1</v>
      </c>
      <c r="M320" s="84">
        <v>3</v>
      </c>
      <c r="N320" s="534">
        <f t="shared" si="11"/>
        <v>1.0725046436742278</v>
      </c>
      <c r="O320" s="60" t="str">
        <f t="shared" si="12"/>
        <v/>
      </c>
      <c r="P320" s="81"/>
    </row>
    <row r="321" spans="1:16" s="497" customFormat="1" ht="14" customHeight="1" x14ac:dyDescent="0.2">
      <c r="A321" s="49" t="s">
        <v>36</v>
      </c>
      <c r="B321" s="48" t="s">
        <v>29</v>
      </c>
      <c r="C321" s="67" t="s">
        <v>65</v>
      </c>
      <c r="D321" s="68" t="s">
        <v>864</v>
      </c>
      <c r="E321" s="539" t="s">
        <v>56</v>
      </c>
      <c r="F321" s="79"/>
      <c r="G321" s="95" t="s">
        <v>78</v>
      </c>
      <c r="H321" s="540"/>
      <c r="I321" s="61"/>
      <c r="J321" s="61"/>
      <c r="K321" s="61"/>
      <c r="L321" s="61"/>
      <c r="M321" s="30"/>
      <c r="N321" s="534" t="str">
        <f t="shared" si="11"/>
        <v/>
      </c>
      <c r="O321" s="60" t="str">
        <f t="shared" si="12"/>
        <v/>
      </c>
      <c r="P321" s="82"/>
    </row>
    <row r="322" spans="1:16" ht="14" customHeight="1" x14ac:dyDescent="0.2">
      <c r="A322" s="50" t="s">
        <v>36</v>
      </c>
      <c r="B322" s="376" t="s">
        <v>44</v>
      </c>
      <c r="C322" s="64" t="s">
        <v>65</v>
      </c>
      <c r="D322" s="309" t="s">
        <v>864</v>
      </c>
      <c r="E322" s="535">
        <f>E310</f>
        <v>0.33812949640287771</v>
      </c>
      <c r="F322" s="77" t="s">
        <v>266</v>
      </c>
      <c r="G322" s="94" t="s">
        <v>78</v>
      </c>
      <c r="H322" s="533"/>
      <c r="I322" s="309">
        <v>1</v>
      </c>
      <c r="J322" s="309">
        <v>2</v>
      </c>
      <c r="K322" s="309">
        <v>3</v>
      </c>
      <c r="L322" s="309">
        <v>1</v>
      </c>
      <c r="M322" s="66">
        <v>2</v>
      </c>
      <c r="N322" s="534" t="str">
        <f t="shared" si="11"/>
        <v/>
      </c>
      <c r="O322" s="60">
        <f t="shared" si="12"/>
        <v>0.48935255543384243</v>
      </c>
    </row>
    <row r="323" spans="1:16" ht="14" customHeight="1" x14ac:dyDescent="0.2">
      <c r="A323" s="50" t="s">
        <v>92</v>
      </c>
      <c r="B323" s="376" t="s">
        <v>29</v>
      </c>
      <c r="C323" s="64" t="s">
        <v>65</v>
      </c>
      <c r="D323" s="309" t="s">
        <v>864</v>
      </c>
      <c r="E323" s="312" t="s">
        <v>56</v>
      </c>
      <c r="H323" s="533"/>
      <c r="I323" s="305"/>
      <c r="J323" s="305"/>
      <c r="K323" s="305"/>
      <c r="L323" s="305"/>
      <c r="M323" s="85"/>
      <c r="N323" s="534" t="str">
        <f t="shared" ref="N323:N386" si="14">IF( OR( ISBLANK(H323),ISBLANK(J323), ISBLANK(K323), ISBLANK(L323), ISBLANK(M323) ), "", 1.5*SQRT(   EXP(2.21*(H323-1)) + EXP(2.21*(J323-1)) + EXP(2.21*(K323-1)) + EXP(2.21*(L323-1)) + EXP(2.21*M323)   )/100*2.45 )</f>
        <v/>
      </c>
      <c r="O323" s="60" t="str">
        <f t="shared" ref="O323:O386" si="15">IF( OR( ISBLANK(I323),ISBLANK(J323), ISBLANK(K323), ISBLANK(L323), ISBLANK(M323) ), "", 1.5*SQRT(   EXP(2.21*(I323-1)) + EXP(2.21*(J323-1)) + EXP(2.21*(K323-1)) + EXP(2.21*(L323-1)) + EXP(2.21*M323)   )/100*2.45 )</f>
        <v/>
      </c>
    </row>
    <row r="324" spans="1:16" ht="14" customHeight="1" x14ac:dyDescent="0.2">
      <c r="A324" s="50" t="s">
        <v>92</v>
      </c>
      <c r="B324" s="376" t="s">
        <v>44</v>
      </c>
      <c r="C324" s="64" t="s">
        <v>65</v>
      </c>
      <c r="D324" s="309" t="s">
        <v>864</v>
      </c>
      <c r="E324" s="535">
        <f>E310</f>
        <v>0.33812949640287771</v>
      </c>
      <c r="F324" s="77" t="s">
        <v>266</v>
      </c>
      <c r="G324" s="94" t="s">
        <v>78</v>
      </c>
      <c r="H324" s="533"/>
      <c r="I324" s="309">
        <v>1</v>
      </c>
      <c r="J324" s="309">
        <v>2</v>
      </c>
      <c r="K324" s="309">
        <v>3</v>
      </c>
      <c r="L324" s="309">
        <v>1</v>
      </c>
      <c r="M324" s="66">
        <v>2</v>
      </c>
      <c r="N324" s="534" t="str">
        <f t="shared" si="14"/>
        <v/>
      </c>
      <c r="O324" s="60">
        <f t="shared" si="15"/>
        <v>0.48935255543384243</v>
      </c>
    </row>
    <row r="325" spans="1:16" ht="14" customHeight="1" x14ac:dyDescent="0.2">
      <c r="A325" s="50" t="s">
        <v>95</v>
      </c>
      <c r="B325" s="376" t="s">
        <v>29</v>
      </c>
      <c r="C325" s="64" t="s">
        <v>65</v>
      </c>
      <c r="D325" s="309" t="s">
        <v>864</v>
      </c>
      <c r="E325" s="312" t="s">
        <v>56</v>
      </c>
      <c r="H325" s="533"/>
      <c r="I325" s="305"/>
      <c r="J325" s="305"/>
      <c r="K325" s="305"/>
      <c r="L325" s="305"/>
      <c r="M325" s="85"/>
      <c r="N325" s="534" t="str">
        <f t="shared" si="14"/>
        <v/>
      </c>
      <c r="O325" s="60" t="str">
        <f t="shared" si="15"/>
        <v/>
      </c>
    </row>
    <row r="326" spans="1:16" s="505" customFormat="1" ht="14" customHeight="1" x14ac:dyDescent="0.2">
      <c r="A326" s="51" t="s">
        <v>95</v>
      </c>
      <c r="B326" s="22" t="s">
        <v>44</v>
      </c>
      <c r="C326" s="69" t="s">
        <v>65</v>
      </c>
      <c r="D326" s="70" t="s">
        <v>864</v>
      </c>
      <c r="E326" s="313">
        <f>E312</f>
        <v>3.3812949640287769E-2</v>
      </c>
      <c r="F326" s="78" t="s">
        <v>266</v>
      </c>
      <c r="G326" s="96" t="s">
        <v>78</v>
      </c>
      <c r="H326" s="549"/>
      <c r="I326" s="70">
        <v>1</v>
      </c>
      <c r="J326" s="70">
        <v>2</v>
      </c>
      <c r="K326" s="70">
        <v>3</v>
      </c>
      <c r="L326" s="70">
        <v>1</v>
      </c>
      <c r="M326" s="84">
        <v>3</v>
      </c>
      <c r="N326" s="534" t="str">
        <f t="shared" si="14"/>
        <v/>
      </c>
      <c r="O326" s="60">
        <f t="shared" si="15"/>
        <v>1.0725046436742278</v>
      </c>
      <c r="P326" s="81"/>
    </row>
    <row r="327" spans="1:16" x14ac:dyDescent="0.2">
      <c r="A327" s="50" t="s">
        <v>89</v>
      </c>
      <c r="B327" s="372" t="s">
        <v>67</v>
      </c>
      <c r="C327" s="64" t="s">
        <v>65</v>
      </c>
      <c r="D327" s="309" t="s">
        <v>858</v>
      </c>
      <c r="E327" s="535">
        <f>E285</f>
        <v>0.19163361903543558</v>
      </c>
      <c r="F327" s="77" t="str">
        <f>F285</f>
        <v>Oeko-Institut e.V. – Institute for Applied Ecology, Assessment of the Implementation of Directive 2000 / 53 / EC on End-of Life Vehicles ( the ELV Directive ) with Emphasis on the End-of Life Vehicles of Unknown Whereabouts. Assessment of Current Situation of ELVs of Unknown Whereabouts – Preliminary Resul, 2016</v>
      </c>
      <c r="G327" s="94" t="str">
        <f>G285</f>
        <v xml:space="preserve"> </v>
      </c>
      <c r="H327" s="64">
        <f>H285</f>
        <v>2</v>
      </c>
      <c r="I327" s="305"/>
      <c r="J327" s="309">
        <f>J285</f>
        <v>2</v>
      </c>
      <c r="K327" s="309">
        <f>K285</f>
        <v>3</v>
      </c>
      <c r="L327" s="309">
        <f>L285</f>
        <v>1</v>
      </c>
      <c r="M327" s="66">
        <f>M285</f>
        <v>3</v>
      </c>
      <c r="N327" s="534">
        <f t="shared" si="14"/>
        <v>1.0776024280428556</v>
      </c>
      <c r="O327" s="60" t="str">
        <f t="shared" si="15"/>
        <v/>
      </c>
    </row>
    <row r="328" spans="1:16" x14ac:dyDescent="0.2">
      <c r="A328" s="50" t="s">
        <v>89</v>
      </c>
      <c r="B328" s="372" t="s">
        <v>67</v>
      </c>
      <c r="C328" s="64" t="s">
        <v>65</v>
      </c>
      <c r="D328" s="309" t="s">
        <v>864</v>
      </c>
      <c r="E328" s="535">
        <f>E287</f>
        <v>0.53527040719257024</v>
      </c>
      <c r="F328" s="77" t="str">
        <f>F287</f>
        <v>Foundation Auto Recycling Switzerland (SARS), Annual Report 2014, 2015</v>
      </c>
      <c r="G328" s="94" t="str">
        <f>G287</f>
        <v xml:space="preserve"> </v>
      </c>
      <c r="H328" s="533"/>
      <c r="I328" s="309">
        <f>I287</f>
        <v>1</v>
      </c>
      <c r="J328" s="309">
        <f>J287</f>
        <v>1</v>
      </c>
      <c r="K328" s="309">
        <f>K287</f>
        <v>3</v>
      </c>
      <c r="L328" s="309">
        <f>L287</f>
        <v>1</v>
      </c>
      <c r="M328" s="66">
        <f>M287</f>
        <v>2</v>
      </c>
      <c r="N328" s="534" t="str">
        <f t="shared" si="14"/>
        <v/>
      </c>
      <c r="O328" s="60">
        <f t="shared" si="15"/>
        <v>0.47802211380704585</v>
      </c>
    </row>
    <row r="329" spans="1:16" x14ac:dyDescent="0.2">
      <c r="A329" s="50" t="s">
        <v>89</v>
      </c>
      <c r="B329" s="376" t="s">
        <v>100</v>
      </c>
      <c r="C329" s="64" t="s">
        <v>65</v>
      </c>
      <c r="D329" s="309" t="s">
        <v>65</v>
      </c>
      <c r="E329" s="312" t="s">
        <v>56</v>
      </c>
      <c r="H329" s="533"/>
      <c r="I329" s="305"/>
      <c r="J329" s="305"/>
      <c r="K329" s="305"/>
      <c r="L329" s="305"/>
      <c r="M329" s="85"/>
      <c r="N329" s="534" t="str">
        <f t="shared" si="14"/>
        <v/>
      </c>
      <c r="O329" s="60" t="str">
        <f t="shared" si="15"/>
        <v/>
      </c>
    </row>
    <row r="330" spans="1:16" s="497" customFormat="1" x14ac:dyDescent="0.2">
      <c r="A330" s="49" t="s">
        <v>88</v>
      </c>
      <c r="B330" s="48" t="s">
        <v>42</v>
      </c>
      <c r="C330" s="67" t="s">
        <v>65</v>
      </c>
      <c r="D330" s="68" t="s">
        <v>65</v>
      </c>
      <c r="E330" s="314">
        <v>1</v>
      </c>
      <c r="F330" s="79"/>
      <c r="G330" s="95"/>
      <c r="H330" s="540"/>
      <c r="I330" s="61"/>
      <c r="J330" s="61"/>
      <c r="K330" s="61"/>
      <c r="L330" s="61"/>
      <c r="M330" s="30"/>
      <c r="N330" s="534" t="str">
        <f t="shared" si="14"/>
        <v/>
      </c>
      <c r="O330" s="60" t="str">
        <f t="shared" si="15"/>
        <v/>
      </c>
      <c r="P330" s="82"/>
    </row>
    <row r="331" spans="1:16" x14ac:dyDescent="0.2">
      <c r="A331" s="50" t="s">
        <v>89</v>
      </c>
      <c r="B331" s="376" t="s">
        <v>100</v>
      </c>
      <c r="C331" s="64" t="s">
        <v>65</v>
      </c>
      <c r="D331" s="309" t="s">
        <v>65</v>
      </c>
      <c r="E331" s="535">
        <v>1</v>
      </c>
      <c r="H331" s="533"/>
      <c r="I331" s="305"/>
      <c r="J331" s="305"/>
      <c r="K331" s="305"/>
      <c r="L331" s="305"/>
      <c r="M331" s="85"/>
      <c r="N331" s="534" t="str">
        <f t="shared" si="14"/>
        <v/>
      </c>
      <c r="O331" s="60" t="str">
        <f t="shared" si="15"/>
        <v/>
      </c>
    </row>
    <row r="332" spans="1:16" x14ac:dyDescent="0.2">
      <c r="A332" s="50" t="s">
        <v>90</v>
      </c>
      <c r="B332" s="376" t="s">
        <v>101</v>
      </c>
      <c r="C332" s="64" t="s">
        <v>65</v>
      </c>
      <c r="D332" s="309" t="s">
        <v>65</v>
      </c>
      <c r="E332" s="535">
        <v>1</v>
      </c>
      <c r="H332" s="533"/>
      <c r="I332" s="305"/>
      <c r="J332" s="305"/>
      <c r="K332" s="305"/>
      <c r="L332" s="305"/>
      <c r="M332" s="85"/>
      <c r="N332" s="534" t="str">
        <f t="shared" si="14"/>
        <v/>
      </c>
      <c r="O332" s="60" t="str">
        <f t="shared" si="15"/>
        <v/>
      </c>
    </row>
    <row r="333" spans="1:16" x14ac:dyDescent="0.2">
      <c r="A333" s="50" t="s">
        <v>91</v>
      </c>
      <c r="B333" s="376" t="s">
        <v>101</v>
      </c>
      <c r="C333" s="64" t="s">
        <v>65</v>
      </c>
      <c r="D333" s="309" t="s">
        <v>65</v>
      </c>
      <c r="E333" s="535">
        <v>1</v>
      </c>
      <c r="H333" s="533"/>
      <c r="I333" s="305"/>
      <c r="J333" s="305"/>
      <c r="K333" s="305"/>
      <c r="L333" s="305"/>
      <c r="M333" s="85"/>
      <c r="N333" s="534" t="str">
        <f t="shared" si="14"/>
        <v/>
      </c>
      <c r="O333" s="60" t="str">
        <f t="shared" si="15"/>
        <v/>
      </c>
    </row>
    <row r="334" spans="1:16" s="505" customFormat="1" x14ac:dyDescent="0.2">
      <c r="A334" s="51" t="s">
        <v>93</v>
      </c>
      <c r="B334" s="22" t="s">
        <v>29</v>
      </c>
      <c r="C334" s="69" t="s">
        <v>65</v>
      </c>
      <c r="D334" s="70" t="s">
        <v>65</v>
      </c>
      <c r="E334" s="313">
        <v>1</v>
      </c>
      <c r="F334" s="78"/>
      <c r="G334" s="96"/>
      <c r="H334" s="549"/>
      <c r="I334" s="75"/>
      <c r="J334" s="75"/>
      <c r="K334" s="75"/>
      <c r="L334" s="75"/>
      <c r="M334" s="29"/>
      <c r="N334" s="534" t="str">
        <f t="shared" si="14"/>
        <v/>
      </c>
      <c r="O334" s="60" t="str">
        <f t="shared" si="15"/>
        <v/>
      </c>
      <c r="P334" s="81"/>
    </row>
    <row r="335" spans="1:16" s="497" customFormat="1" x14ac:dyDescent="0.2">
      <c r="A335" s="54" t="s">
        <v>41</v>
      </c>
      <c r="B335" s="585" t="s">
        <v>47</v>
      </c>
      <c r="C335" s="543" t="s">
        <v>809</v>
      </c>
      <c r="D335" s="68" t="s">
        <v>858</v>
      </c>
      <c r="E335" s="314">
        <v>5.555555555555558E-2</v>
      </c>
      <c r="F335" s="79" t="s">
        <v>888</v>
      </c>
      <c r="G335" s="95" t="s">
        <v>78</v>
      </c>
      <c r="H335" s="67">
        <v>1</v>
      </c>
      <c r="I335" s="61"/>
      <c r="J335" s="68">
        <v>1</v>
      </c>
      <c r="K335" s="68">
        <v>3</v>
      </c>
      <c r="L335" s="68">
        <v>1</v>
      </c>
      <c r="M335" s="83">
        <v>3</v>
      </c>
      <c r="N335" s="534">
        <f t="shared" si="14"/>
        <v>1.0673825127299523</v>
      </c>
      <c r="O335" s="60" t="str">
        <f t="shared" si="15"/>
        <v/>
      </c>
      <c r="P335" s="82"/>
    </row>
    <row r="336" spans="1:16" x14ac:dyDescent="0.2">
      <c r="A336" s="56" t="s">
        <v>41</v>
      </c>
      <c r="B336" s="586" t="s">
        <v>47</v>
      </c>
      <c r="C336" s="544" t="s">
        <v>810</v>
      </c>
      <c r="D336" s="309" t="s">
        <v>858</v>
      </c>
      <c r="E336" s="535">
        <v>5.555555555555558E-2</v>
      </c>
      <c r="F336" s="77" t="s">
        <v>888</v>
      </c>
      <c r="G336" s="94" t="s">
        <v>78</v>
      </c>
      <c r="H336" s="64">
        <v>1</v>
      </c>
      <c r="I336" s="305"/>
      <c r="J336" s="309">
        <v>1</v>
      </c>
      <c r="K336" s="309">
        <v>3</v>
      </c>
      <c r="L336" s="309">
        <v>1</v>
      </c>
      <c r="M336" s="66">
        <v>3</v>
      </c>
      <c r="N336" s="534">
        <f t="shared" si="14"/>
        <v>1.0673825127299523</v>
      </c>
      <c r="O336" s="60" t="str">
        <f t="shared" si="15"/>
        <v/>
      </c>
    </row>
    <row r="337" spans="1:16" x14ac:dyDescent="0.2">
      <c r="A337" s="56" t="s">
        <v>41</v>
      </c>
      <c r="B337" s="586" t="s">
        <v>47</v>
      </c>
      <c r="C337" s="545" t="s">
        <v>811</v>
      </c>
      <c r="D337" s="309" t="s">
        <v>858</v>
      </c>
      <c r="E337" s="535">
        <v>5.555555555555558E-2</v>
      </c>
      <c r="F337" s="77" t="s">
        <v>888</v>
      </c>
      <c r="G337" s="94" t="s">
        <v>78</v>
      </c>
      <c r="H337" s="64">
        <v>1</v>
      </c>
      <c r="I337" s="305"/>
      <c r="J337" s="309">
        <v>1</v>
      </c>
      <c r="K337" s="309">
        <v>3</v>
      </c>
      <c r="L337" s="309">
        <v>1</v>
      </c>
      <c r="M337" s="66">
        <v>3</v>
      </c>
      <c r="N337" s="534">
        <f t="shared" si="14"/>
        <v>1.0673825127299523</v>
      </c>
      <c r="O337" s="60" t="str">
        <f t="shared" si="15"/>
        <v/>
      </c>
    </row>
    <row r="338" spans="1:16" x14ac:dyDescent="0.2">
      <c r="A338" s="56" t="s">
        <v>41</v>
      </c>
      <c r="B338" s="586" t="s">
        <v>47</v>
      </c>
      <c r="C338" s="546" t="s">
        <v>812</v>
      </c>
      <c r="D338" s="309" t="s">
        <v>858</v>
      </c>
      <c r="E338" s="535">
        <v>5.555555555555558E-2</v>
      </c>
      <c r="F338" s="77" t="s">
        <v>888</v>
      </c>
      <c r="G338" s="94" t="s">
        <v>78</v>
      </c>
      <c r="H338" s="64">
        <v>1</v>
      </c>
      <c r="I338" s="305"/>
      <c r="J338" s="309">
        <v>1</v>
      </c>
      <c r="K338" s="309">
        <v>3</v>
      </c>
      <c r="L338" s="309">
        <v>1</v>
      </c>
      <c r="M338" s="66">
        <v>3</v>
      </c>
      <c r="N338" s="534">
        <f t="shared" si="14"/>
        <v>1.0673825127299523</v>
      </c>
      <c r="O338" s="60" t="str">
        <f t="shared" si="15"/>
        <v/>
      </c>
    </row>
    <row r="339" spans="1:16" x14ac:dyDescent="0.2">
      <c r="A339" s="56" t="s">
        <v>41</v>
      </c>
      <c r="B339" s="586" t="s">
        <v>47</v>
      </c>
      <c r="C339" s="547" t="s">
        <v>813</v>
      </c>
      <c r="D339" s="309" t="s">
        <v>858</v>
      </c>
      <c r="E339" s="535">
        <v>5.555555555555558E-2</v>
      </c>
      <c r="F339" s="77" t="s">
        <v>888</v>
      </c>
      <c r="G339" s="94" t="s">
        <v>78</v>
      </c>
      <c r="H339" s="64">
        <v>1</v>
      </c>
      <c r="I339" s="305"/>
      <c r="J339" s="309">
        <v>1</v>
      </c>
      <c r="K339" s="309">
        <v>3</v>
      </c>
      <c r="L339" s="309">
        <v>1</v>
      </c>
      <c r="M339" s="66">
        <v>3</v>
      </c>
      <c r="N339" s="534">
        <f t="shared" si="14"/>
        <v>1.0673825127299523</v>
      </c>
      <c r="O339" s="60" t="str">
        <f t="shared" si="15"/>
        <v/>
      </c>
    </row>
    <row r="340" spans="1:16" x14ac:dyDescent="0.2">
      <c r="A340" s="56" t="s">
        <v>41</v>
      </c>
      <c r="B340" s="587" t="s">
        <v>67</v>
      </c>
      <c r="C340" s="42" t="s">
        <v>65</v>
      </c>
      <c r="D340" s="309" t="s">
        <v>858</v>
      </c>
      <c r="E340" s="312">
        <v>0</v>
      </c>
      <c r="H340" s="533"/>
      <c r="I340" s="305"/>
      <c r="J340" s="305"/>
      <c r="K340" s="305"/>
      <c r="L340" s="305"/>
      <c r="M340" s="85"/>
      <c r="N340" s="534" t="str">
        <f t="shared" si="14"/>
        <v/>
      </c>
      <c r="O340" s="60" t="str">
        <f t="shared" si="15"/>
        <v/>
      </c>
    </row>
    <row r="341" spans="1:16" x14ac:dyDescent="0.2">
      <c r="A341" s="56" t="s">
        <v>41</v>
      </c>
      <c r="B341" s="587" t="s">
        <v>46</v>
      </c>
      <c r="C341" s="64" t="s">
        <v>65</v>
      </c>
      <c r="D341" s="309" t="s">
        <v>858</v>
      </c>
      <c r="E341" s="312">
        <v>0</v>
      </c>
      <c r="F341" s="77" t="s">
        <v>71</v>
      </c>
      <c r="G341" s="94" t="s">
        <v>78</v>
      </c>
      <c r="H341" s="533"/>
      <c r="I341" s="305"/>
      <c r="J341" s="305"/>
      <c r="K341" s="305"/>
      <c r="L341" s="305"/>
      <c r="M341" s="85"/>
      <c r="N341" s="534" t="str">
        <f t="shared" si="14"/>
        <v/>
      </c>
      <c r="O341" s="60" t="str">
        <f t="shared" si="15"/>
        <v/>
      </c>
    </row>
    <row r="342" spans="1:16" x14ac:dyDescent="0.2">
      <c r="A342" s="56" t="s">
        <v>41</v>
      </c>
      <c r="B342" s="588" t="s">
        <v>45</v>
      </c>
      <c r="C342" s="64" t="s">
        <v>65</v>
      </c>
      <c r="D342" s="309" t="s">
        <v>858</v>
      </c>
      <c r="E342" s="312" t="s">
        <v>56</v>
      </c>
      <c r="G342" s="94" t="s">
        <v>78</v>
      </c>
      <c r="H342" s="533"/>
      <c r="I342" s="305"/>
      <c r="J342" s="305"/>
      <c r="K342" s="305"/>
      <c r="L342" s="305"/>
      <c r="M342" s="85"/>
      <c r="N342" s="534" t="str">
        <f t="shared" si="14"/>
        <v/>
      </c>
      <c r="O342" s="60" t="str">
        <f t="shared" si="15"/>
        <v/>
      </c>
    </row>
    <row r="343" spans="1:16" s="497" customFormat="1" ht="14" customHeight="1" x14ac:dyDescent="0.2">
      <c r="A343" s="54" t="s">
        <v>41</v>
      </c>
      <c r="B343" s="585" t="s">
        <v>47</v>
      </c>
      <c r="C343" s="543" t="s">
        <v>809</v>
      </c>
      <c r="D343" s="68" t="s">
        <v>864</v>
      </c>
      <c r="E343" s="314">
        <v>6.9999999999999951E-2</v>
      </c>
      <c r="F343" s="79"/>
      <c r="G343" s="95" t="s">
        <v>78</v>
      </c>
      <c r="H343" s="540"/>
      <c r="I343" s="68">
        <v>1</v>
      </c>
      <c r="J343" s="68">
        <v>1</v>
      </c>
      <c r="K343" s="68">
        <v>3</v>
      </c>
      <c r="L343" s="68">
        <v>1</v>
      </c>
      <c r="M343" s="83">
        <v>3</v>
      </c>
      <c r="N343" s="534" t="str">
        <f t="shared" si="14"/>
        <v/>
      </c>
      <c r="O343" s="60">
        <f t="shared" si="15"/>
        <v>1.0673825127299523</v>
      </c>
      <c r="P343" s="82"/>
    </row>
    <row r="344" spans="1:16" ht="14" customHeight="1" x14ac:dyDescent="0.2">
      <c r="A344" s="56" t="s">
        <v>41</v>
      </c>
      <c r="B344" s="586" t="s">
        <v>47</v>
      </c>
      <c r="C344" s="544" t="s">
        <v>810</v>
      </c>
      <c r="D344" s="309" t="s">
        <v>864</v>
      </c>
      <c r="E344" s="535">
        <v>6.9999999999999951E-2</v>
      </c>
      <c r="G344" s="94" t="s">
        <v>78</v>
      </c>
      <c r="H344" s="533"/>
      <c r="I344" s="309">
        <v>1</v>
      </c>
      <c r="J344" s="309">
        <v>1</v>
      </c>
      <c r="K344" s="309">
        <v>3</v>
      </c>
      <c r="L344" s="309">
        <v>1</v>
      </c>
      <c r="M344" s="66">
        <v>3</v>
      </c>
      <c r="N344" s="534" t="str">
        <f t="shared" si="14"/>
        <v/>
      </c>
      <c r="O344" s="60">
        <f t="shared" si="15"/>
        <v>1.0673825127299523</v>
      </c>
    </row>
    <row r="345" spans="1:16" ht="14" customHeight="1" x14ac:dyDescent="0.2">
      <c r="A345" s="56" t="s">
        <v>41</v>
      </c>
      <c r="B345" s="586" t="s">
        <v>47</v>
      </c>
      <c r="C345" s="545" t="s">
        <v>811</v>
      </c>
      <c r="D345" s="309" t="s">
        <v>864</v>
      </c>
      <c r="E345" s="535">
        <v>6.9999999999999951E-2</v>
      </c>
      <c r="G345" s="94" t="s">
        <v>78</v>
      </c>
      <c r="H345" s="533"/>
      <c r="I345" s="309">
        <v>1</v>
      </c>
      <c r="J345" s="309">
        <v>1</v>
      </c>
      <c r="K345" s="309">
        <v>3</v>
      </c>
      <c r="L345" s="309">
        <v>1</v>
      </c>
      <c r="M345" s="66">
        <v>3</v>
      </c>
      <c r="N345" s="534" t="str">
        <f t="shared" si="14"/>
        <v/>
      </c>
      <c r="O345" s="60">
        <f t="shared" si="15"/>
        <v>1.0673825127299523</v>
      </c>
    </row>
    <row r="346" spans="1:16" ht="14" customHeight="1" x14ac:dyDescent="0.2">
      <c r="A346" s="56" t="s">
        <v>41</v>
      </c>
      <c r="B346" s="586" t="s">
        <v>47</v>
      </c>
      <c r="C346" s="546" t="s">
        <v>812</v>
      </c>
      <c r="D346" s="309" t="s">
        <v>864</v>
      </c>
      <c r="E346" s="535">
        <v>6.9999999999999951E-2</v>
      </c>
      <c r="G346" s="94" t="s">
        <v>78</v>
      </c>
      <c r="H346" s="533"/>
      <c r="I346" s="309">
        <v>1</v>
      </c>
      <c r="J346" s="309">
        <v>1</v>
      </c>
      <c r="K346" s="309">
        <v>3</v>
      </c>
      <c r="L346" s="309">
        <v>1</v>
      </c>
      <c r="M346" s="66">
        <v>3</v>
      </c>
      <c r="N346" s="534" t="str">
        <f t="shared" si="14"/>
        <v/>
      </c>
      <c r="O346" s="60">
        <f t="shared" si="15"/>
        <v>1.0673825127299523</v>
      </c>
    </row>
    <row r="347" spans="1:16" ht="14" customHeight="1" x14ac:dyDescent="0.2">
      <c r="A347" s="56" t="s">
        <v>41</v>
      </c>
      <c r="B347" s="586" t="s">
        <v>47</v>
      </c>
      <c r="C347" s="547" t="s">
        <v>813</v>
      </c>
      <c r="D347" s="309" t="s">
        <v>864</v>
      </c>
      <c r="E347" s="535">
        <v>6.9999999999999951E-2</v>
      </c>
      <c r="G347" s="94" t="s">
        <v>78</v>
      </c>
      <c r="H347" s="533"/>
      <c r="I347" s="309">
        <v>1</v>
      </c>
      <c r="J347" s="309">
        <v>1</v>
      </c>
      <c r="K347" s="309">
        <v>3</v>
      </c>
      <c r="L347" s="309">
        <v>1</v>
      </c>
      <c r="M347" s="66">
        <v>3</v>
      </c>
      <c r="N347" s="534" t="str">
        <f t="shared" si="14"/>
        <v/>
      </c>
      <c r="O347" s="60">
        <f t="shared" si="15"/>
        <v>1.0673825127299523</v>
      </c>
    </row>
    <row r="348" spans="1:16" ht="14" customHeight="1" x14ac:dyDescent="0.2">
      <c r="A348" s="56" t="s">
        <v>41</v>
      </c>
      <c r="B348" s="587" t="s">
        <v>67</v>
      </c>
      <c r="C348" s="543" t="s">
        <v>809</v>
      </c>
      <c r="D348" s="309" t="s">
        <v>864</v>
      </c>
      <c r="E348" s="535">
        <v>9.4320486815415827E-2</v>
      </c>
      <c r="F348" s="77" t="s">
        <v>264</v>
      </c>
      <c r="G348" s="94" t="s">
        <v>78</v>
      </c>
      <c r="H348" s="533"/>
      <c r="I348" s="309">
        <v>1</v>
      </c>
      <c r="J348" s="309">
        <v>2</v>
      </c>
      <c r="K348" s="309">
        <v>3</v>
      </c>
      <c r="L348" s="309">
        <v>1</v>
      </c>
      <c r="M348" s="66">
        <v>3</v>
      </c>
      <c r="N348" s="534" t="str">
        <f t="shared" si="14"/>
        <v/>
      </c>
      <c r="O348" s="60">
        <f t="shared" si="15"/>
        <v>1.0725046436742278</v>
      </c>
    </row>
    <row r="349" spans="1:16" ht="14" customHeight="1" x14ac:dyDescent="0.2">
      <c r="A349" s="56" t="s">
        <v>41</v>
      </c>
      <c r="B349" s="587" t="s">
        <v>67</v>
      </c>
      <c r="C349" s="544" t="s">
        <v>810</v>
      </c>
      <c r="D349" s="309" t="s">
        <v>864</v>
      </c>
      <c r="E349" s="535">
        <v>9.4320486815415827E-2</v>
      </c>
      <c r="F349" s="77" t="s">
        <v>264</v>
      </c>
      <c r="G349" s="94" t="s">
        <v>78</v>
      </c>
      <c r="H349" s="533"/>
      <c r="I349" s="309">
        <v>1</v>
      </c>
      <c r="J349" s="309">
        <v>2</v>
      </c>
      <c r="K349" s="309">
        <v>3</v>
      </c>
      <c r="L349" s="309">
        <v>1</v>
      </c>
      <c r="M349" s="66">
        <v>3</v>
      </c>
      <c r="N349" s="534" t="str">
        <f t="shared" si="14"/>
        <v/>
      </c>
      <c r="O349" s="60">
        <f t="shared" si="15"/>
        <v>1.0725046436742278</v>
      </c>
    </row>
    <row r="350" spans="1:16" ht="14" customHeight="1" x14ac:dyDescent="0.2">
      <c r="A350" s="56" t="s">
        <v>41</v>
      </c>
      <c r="B350" s="587" t="s">
        <v>67</v>
      </c>
      <c r="C350" s="545" t="s">
        <v>811</v>
      </c>
      <c r="D350" s="309" t="s">
        <v>864</v>
      </c>
      <c r="E350" s="535">
        <v>9.4320486815415827E-2</v>
      </c>
      <c r="F350" s="77" t="s">
        <v>264</v>
      </c>
      <c r="G350" s="94" t="s">
        <v>78</v>
      </c>
      <c r="H350" s="533"/>
      <c r="I350" s="309">
        <v>1</v>
      </c>
      <c r="J350" s="309">
        <v>2</v>
      </c>
      <c r="K350" s="309">
        <v>3</v>
      </c>
      <c r="L350" s="309">
        <v>1</v>
      </c>
      <c r="M350" s="66">
        <v>3</v>
      </c>
      <c r="N350" s="534" t="str">
        <f t="shared" si="14"/>
        <v/>
      </c>
      <c r="O350" s="60">
        <f t="shared" si="15"/>
        <v>1.0725046436742278</v>
      </c>
    </row>
    <row r="351" spans="1:16" ht="14" customHeight="1" x14ac:dyDescent="0.2">
      <c r="A351" s="56" t="s">
        <v>41</v>
      </c>
      <c r="B351" s="587" t="s">
        <v>67</v>
      </c>
      <c r="C351" s="546" t="s">
        <v>812</v>
      </c>
      <c r="D351" s="309" t="s">
        <v>864</v>
      </c>
      <c r="E351" s="535">
        <v>9.4320486815415827E-2</v>
      </c>
      <c r="F351" s="77" t="s">
        <v>264</v>
      </c>
      <c r="G351" s="94" t="s">
        <v>78</v>
      </c>
      <c r="H351" s="533"/>
      <c r="I351" s="309">
        <v>1</v>
      </c>
      <c r="J351" s="309">
        <v>2</v>
      </c>
      <c r="K351" s="309">
        <v>3</v>
      </c>
      <c r="L351" s="309">
        <v>1</v>
      </c>
      <c r="M351" s="66">
        <v>3</v>
      </c>
      <c r="N351" s="534" t="str">
        <f t="shared" si="14"/>
        <v/>
      </c>
      <c r="O351" s="60">
        <f t="shared" si="15"/>
        <v>1.0725046436742278</v>
      </c>
    </row>
    <row r="352" spans="1:16" ht="14" customHeight="1" x14ac:dyDescent="0.2">
      <c r="A352" s="56" t="s">
        <v>41</v>
      </c>
      <c r="B352" s="587" t="s">
        <v>67</v>
      </c>
      <c r="C352" s="547" t="s">
        <v>813</v>
      </c>
      <c r="D352" s="309" t="s">
        <v>864</v>
      </c>
      <c r="E352" s="535">
        <v>9.4320486815415827E-2</v>
      </c>
      <c r="F352" s="77" t="s">
        <v>103</v>
      </c>
      <c r="G352" s="94" t="s">
        <v>78</v>
      </c>
      <c r="H352" s="533"/>
      <c r="I352" s="309">
        <v>1</v>
      </c>
      <c r="J352" s="309">
        <v>2</v>
      </c>
      <c r="K352" s="309">
        <v>1</v>
      </c>
      <c r="L352" s="309">
        <v>1</v>
      </c>
      <c r="M352" s="66">
        <v>1</v>
      </c>
      <c r="N352" s="534" t="str">
        <f t="shared" si="14"/>
        <v/>
      </c>
      <c r="O352" s="60">
        <f t="shared" si="15"/>
        <v>0.16933510251023262</v>
      </c>
    </row>
    <row r="353" spans="1:16" ht="14" customHeight="1" x14ac:dyDescent="0.2">
      <c r="A353" s="56" t="s">
        <v>41</v>
      </c>
      <c r="B353" s="587" t="s">
        <v>46</v>
      </c>
      <c r="C353" s="64" t="s">
        <v>65</v>
      </c>
      <c r="D353" s="309" t="s">
        <v>864</v>
      </c>
      <c r="E353" s="312">
        <v>0</v>
      </c>
      <c r="G353" s="94" t="s">
        <v>78</v>
      </c>
      <c r="H353" s="533"/>
      <c r="I353" s="305"/>
      <c r="J353" s="305"/>
      <c r="K353" s="305"/>
      <c r="L353" s="305"/>
      <c r="M353" s="85"/>
      <c r="N353" s="534" t="str">
        <f t="shared" si="14"/>
        <v/>
      </c>
      <c r="O353" s="60" t="str">
        <f t="shared" si="15"/>
        <v/>
      </c>
    </row>
    <row r="354" spans="1:16" s="505" customFormat="1" ht="14" customHeight="1" x14ac:dyDescent="0.2">
      <c r="A354" s="55" t="s">
        <v>41</v>
      </c>
      <c r="B354" s="588" t="s">
        <v>45</v>
      </c>
      <c r="C354" s="69" t="s">
        <v>65</v>
      </c>
      <c r="D354" s="70" t="s">
        <v>864</v>
      </c>
      <c r="E354" s="548" t="s">
        <v>56</v>
      </c>
      <c r="F354" s="78"/>
      <c r="G354" s="96" t="s">
        <v>78</v>
      </c>
      <c r="H354" s="549"/>
      <c r="I354" s="75"/>
      <c r="J354" s="75"/>
      <c r="K354" s="75"/>
      <c r="L354" s="75"/>
      <c r="M354" s="29"/>
      <c r="N354" s="534" t="str">
        <f t="shared" si="14"/>
        <v/>
      </c>
      <c r="O354" s="60" t="str">
        <f t="shared" si="15"/>
        <v/>
      </c>
      <c r="P354" s="81"/>
    </row>
    <row r="355" spans="1:16" s="497" customFormat="1" x14ac:dyDescent="0.2">
      <c r="A355" s="54" t="s">
        <v>29</v>
      </c>
      <c r="B355" s="118" t="s">
        <v>46</v>
      </c>
      <c r="C355" s="67" t="s">
        <v>65</v>
      </c>
      <c r="D355" s="68" t="s">
        <v>858</v>
      </c>
      <c r="E355" s="314">
        <v>0.50949999999999995</v>
      </c>
      <c r="F355" s="79" t="s">
        <v>889</v>
      </c>
      <c r="G355" s="95" t="s">
        <v>78</v>
      </c>
      <c r="H355" s="67">
        <v>1</v>
      </c>
      <c r="I355" s="61"/>
      <c r="J355" s="68">
        <v>1</v>
      </c>
      <c r="K355" s="68">
        <v>1</v>
      </c>
      <c r="L355" s="68">
        <v>1</v>
      </c>
      <c r="M355" s="83">
        <v>2</v>
      </c>
      <c r="N355" s="534">
        <f t="shared" si="14"/>
        <v>0.34297081055722239</v>
      </c>
      <c r="O355" s="60" t="str">
        <f t="shared" si="15"/>
        <v/>
      </c>
      <c r="P355" s="82" t="s">
        <v>890</v>
      </c>
    </row>
    <row r="356" spans="1:16" x14ac:dyDescent="0.2">
      <c r="A356" s="56" t="s">
        <v>29</v>
      </c>
      <c r="B356" s="378" t="s">
        <v>47</v>
      </c>
      <c r="C356" s="64" t="s">
        <v>65</v>
      </c>
      <c r="D356" s="309" t="s">
        <v>858</v>
      </c>
      <c r="E356" s="535">
        <v>0.49049999999999999</v>
      </c>
      <c r="F356" s="77" t="s">
        <v>889</v>
      </c>
      <c r="G356" s="94" t="s">
        <v>78</v>
      </c>
      <c r="H356" s="64">
        <v>1</v>
      </c>
      <c r="I356" s="305"/>
      <c r="J356" s="309">
        <v>1</v>
      </c>
      <c r="K356" s="309">
        <v>1</v>
      </c>
      <c r="L356" s="309">
        <v>1</v>
      </c>
      <c r="M356" s="66">
        <v>2</v>
      </c>
      <c r="N356" s="534">
        <f t="shared" si="14"/>
        <v>0.34297081055722239</v>
      </c>
      <c r="O356" s="60" t="str">
        <f t="shared" si="15"/>
        <v/>
      </c>
      <c r="P356" s="343" t="s">
        <v>890</v>
      </c>
    </row>
    <row r="357" spans="1:16" s="497" customFormat="1" x14ac:dyDescent="0.2">
      <c r="A357" s="54" t="s">
        <v>29</v>
      </c>
      <c r="B357" s="118" t="s">
        <v>46</v>
      </c>
      <c r="C357" s="67" t="s">
        <v>65</v>
      </c>
      <c r="D357" s="68" t="s">
        <v>864</v>
      </c>
      <c r="E357" s="539">
        <v>0</v>
      </c>
      <c r="F357" s="79"/>
      <c r="G357" s="95" t="s">
        <v>78</v>
      </c>
      <c r="H357" s="540"/>
      <c r="I357" s="61"/>
      <c r="J357" s="61"/>
      <c r="K357" s="61" t="str">
        <f>IF( OR( ISBLANK(D357),ISBLANK(F357), ISBLANK(H357), ISBLANK(I357), ISBLANK(J357) ), "", 1.5*SQRT(   EXP(2.21*(D357-1)) + EXP(2.21*(F357-1)) + EXP(2.21*(H357-1)) + EXP(2.21*(I357-1)) + EXP(2.21*J357)   )/100 )</f>
        <v/>
      </c>
      <c r="L357" s="61" t="s">
        <v>69</v>
      </c>
      <c r="M357" s="30"/>
      <c r="N357" s="534" t="str">
        <f t="shared" si="14"/>
        <v/>
      </c>
      <c r="O357" s="60" t="str">
        <f t="shared" si="15"/>
        <v/>
      </c>
      <c r="P357" s="82"/>
    </row>
    <row r="358" spans="1:16" s="505" customFormat="1" x14ac:dyDescent="0.2">
      <c r="A358" s="55" t="s">
        <v>29</v>
      </c>
      <c r="B358" s="20" t="s">
        <v>47</v>
      </c>
      <c r="C358" s="69" t="s">
        <v>65</v>
      </c>
      <c r="D358" s="70" t="s">
        <v>864</v>
      </c>
      <c r="E358" s="548">
        <v>1</v>
      </c>
      <c r="F358" s="78"/>
      <c r="G358" s="96" t="s">
        <v>78</v>
      </c>
      <c r="H358" s="549"/>
      <c r="I358" s="75"/>
      <c r="J358" s="75"/>
      <c r="K358" s="75" t="str">
        <f>IF( OR( ISBLANK(D358),ISBLANK(F358), ISBLANK(H358), ISBLANK(I358), ISBLANK(J358) ), "", 1.5*SQRT(   EXP(2.21*(D358-1)) + EXP(2.21*(F358-1)) + EXP(2.21*(H358-1)) + EXP(2.21*(I358-1)) + EXP(2.21*J358)   )/100 )</f>
        <v/>
      </c>
      <c r="L358" s="75" t="s">
        <v>69</v>
      </c>
      <c r="M358" s="29"/>
      <c r="N358" s="534" t="str">
        <f t="shared" si="14"/>
        <v/>
      </c>
      <c r="O358" s="60" t="str">
        <f t="shared" si="15"/>
        <v/>
      </c>
      <c r="P358" s="81"/>
    </row>
    <row r="359" spans="1:16" x14ac:dyDescent="0.2">
      <c r="A359" s="376" t="s">
        <v>43</v>
      </c>
      <c r="B359" s="377" t="s">
        <v>48</v>
      </c>
      <c r="C359" s="543" t="s">
        <v>809</v>
      </c>
      <c r="D359" s="309" t="s">
        <v>858</v>
      </c>
      <c r="E359" s="535">
        <v>0.27500000000000002</v>
      </c>
      <c r="F359" s="77" t="s">
        <v>891</v>
      </c>
      <c r="G359" s="94" t="s">
        <v>78</v>
      </c>
      <c r="H359" s="64">
        <v>1</v>
      </c>
      <c r="I359" s="305"/>
      <c r="J359" s="309">
        <v>1</v>
      </c>
      <c r="K359" s="309">
        <v>1</v>
      </c>
      <c r="L359" s="309">
        <v>1</v>
      </c>
      <c r="M359" s="66">
        <v>2</v>
      </c>
      <c r="N359" s="534">
        <f t="shared" si="14"/>
        <v>0.34297081055722239</v>
      </c>
      <c r="O359" s="60" t="str">
        <f t="shared" si="15"/>
        <v/>
      </c>
    </row>
    <row r="360" spans="1:16" x14ac:dyDescent="0.2">
      <c r="A360" s="376" t="s">
        <v>43</v>
      </c>
      <c r="B360" s="377" t="s">
        <v>48</v>
      </c>
      <c r="C360" s="544" t="s">
        <v>810</v>
      </c>
      <c r="D360" s="309" t="s">
        <v>858</v>
      </c>
      <c r="E360" s="535">
        <v>0.22500000000000001</v>
      </c>
      <c r="F360" s="77" t="s">
        <v>891</v>
      </c>
      <c r="G360" s="94" t="s">
        <v>78</v>
      </c>
      <c r="H360" s="64">
        <v>1</v>
      </c>
      <c r="I360" s="305"/>
      <c r="J360" s="309">
        <v>1</v>
      </c>
      <c r="K360" s="309">
        <v>1</v>
      </c>
      <c r="L360" s="309">
        <v>1</v>
      </c>
      <c r="M360" s="66">
        <v>2</v>
      </c>
      <c r="N360" s="534">
        <f t="shared" si="14"/>
        <v>0.34297081055722239</v>
      </c>
      <c r="O360" s="60" t="str">
        <f t="shared" si="15"/>
        <v/>
      </c>
    </row>
    <row r="361" spans="1:16" x14ac:dyDescent="0.2">
      <c r="A361" s="376" t="s">
        <v>43</v>
      </c>
      <c r="B361" s="377" t="s">
        <v>48</v>
      </c>
      <c r="C361" s="545" t="s">
        <v>811</v>
      </c>
      <c r="D361" s="309" t="s">
        <v>858</v>
      </c>
      <c r="E361" s="535">
        <v>0.18329999999999999</v>
      </c>
      <c r="F361" s="77" t="s">
        <v>891</v>
      </c>
      <c r="G361" s="94" t="s">
        <v>78</v>
      </c>
      <c r="H361" s="64">
        <v>1</v>
      </c>
      <c r="I361" s="305"/>
      <c r="J361" s="309">
        <v>1</v>
      </c>
      <c r="K361" s="309">
        <v>1</v>
      </c>
      <c r="L361" s="309">
        <v>1</v>
      </c>
      <c r="M361" s="66">
        <v>2</v>
      </c>
      <c r="N361" s="534">
        <f t="shared" si="14"/>
        <v>0.34297081055722239</v>
      </c>
      <c r="O361" s="60" t="str">
        <f t="shared" si="15"/>
        <v/>
      </c>
    </row>
    <row r="362" spans="1:16" x14ac:dyDescent="0.2">
      <c r="A362" s="376" t="s">
        <v>43</v>
      </c>
      <c r="B362" s="377" t="s">
        <v>48</v>
      </c>
      <c r="C362" s="546" t="s">
        <v>812</v>
      </c>
      <c r="D362" s="309" t="s">
        <v>858</v>
      </c>
      <c r="E362" s="535">
        <v>6.6699999999999995E-2</v>
      </c>
      <c r="F362" s="77" t="s">
        <v>891</v>
      </c>
      <c r="G362" s="94" t="s">
        <v>78</v>
      </c>
      <c r="H362" s="64">
        <v>1</v>
      </c>
      <c r="I362" s="305"/>
      <c r="J362" s="309">
        <v>1</v>
      </c>
      <c r="K362" s="309">
        <v>1</v>
      </c>
      <c r="L362" s="309">
        <v>1</v>
      </c>
      <c r="M362" s="66">
        <v>2</v>
      </c>
      <c r="N362" s="534">
        <f t="shared" si="14"/>
        <v>0.34297081055722239</v>
      </c>
      <c r="O362" s="60" t="str">
        <f t="shared" si="15"/>
        <v/>
      </c>
    </row>
    <row r="363" spans="1:16" x14ac:dyDescent="0.2">
      <c r="A363" s="376" t="s">
        <v>43</v>
      </c>
      <c r="B363" s="377" t="s">
        <v>48</v>
      </c>
      <c r="C363" s="547" t="s">
        <v>813</v>
      </c>
      <c r="D363" s="309" t="s">
        <v>858</v>
      </c>
      <c r="E363" s="535">
        <v>6.6699999999999995E-2</v>
      </c>
      <c r="F363" s="77" t="s">
        <v>891</v>
      </c>
      <c r="G363" s="94" t="s">
        <v>78</v>
      </c>
      <c r="H363" s="64">
        <v>1</v>
      </c>
      <c r="I363" s="305"/>
      <c r="J363" s="309">
        <v>1</v>
      </c>
      <c r="K363" s="309">
        <v>1</v>
      </c>
      <c r="L363" s="309">
        <v>1</v>
      </c>
      <c r="M363" s="66">
        <v>2</v>
      </c>
      <c r="N363" s="534">
        <f t="shared" si="14"/>
        <v>0.34297081055722239</v>
      </c>
      <c r="O363" s="60" t="str">
        <f t="shared" si="15"/>
        <v/>
      </c>
    </row>
    <row r="364" spans="1:16" x14ac:dyDescent="0.2">
      <c r="A364" s="56" t="s">
        <v>43</v>
      </c>
      <c r="B364" s="372" t="s">
        <v>47</v>
      </c>
      <c r="C364" s="543" t="s">
        <v>809</v>
      </c>
      <c r="D364" s="309" t="s">
        <v>858</v>
      </c>
      <c r="E364" s="535">
        <v>0.53100000000000003</v>
      </c>
      <c r="F364" s="77" t="s">
        <v>892</v>
      </c>
      <c r="G364" s="94" t="s">
        <v>78</v>
      </c>
      <c r="H364" s="64">
        <v>1</v>
      </c>
      <c r="I364" s="305"/>
      <c r="J364" s="309">
        <v>1</v>
      </c>
      <c r="K364" s="309">
        <v>1</v>
      </c>
      <c r="L364" s="309">
        <v>1</v>
      </c>
      <c r="M364" s="66">
        <v>2</v>
      </c>
      <c r="N364" s="534">
        <f t="shared" si="14"/>
        <v>0.34297081055722239</v>
      </c>
      <c r="O364" s="60" t="str">
        <f t="shared" si="15"/>
        <v/>
      </c>
    </row>
    <row r="365" spans="1:16" x14ac:dyDescent="0.2">
      <c r="A365" s="56" t="s">
        <v>43</v>
      </c>
      <c r="B365" s="372" t="s">
        <v>47</v>
      </c>
      <c r="C365" s="544" t="s">
        <v>810</v>
      </c>
      <c r="D365" s="309" t="s">
        <v>858</v>
      </c>
      <c r="E365" s="535">
        <v>0.6</v>
      </c>
      <c r="F365" s="77" t="s">
        <v>891</v>
      </c>
      <c r="G365" s="94" t="s">
        <v>78</v>
      </c>
      <c r="H365" s="64">
        <v>1</v>
      </c>
      <c r="I365" s="305"/>
      <c r="J365" s="309">
        <v>1</v>
      </c>
      <c r="K365" s="309">
        <v>1</v>
      </c>
      <c r="L365" s="309">
        <v>1</v>
      </c>
      <c r="M365" s="66">
        <v>2</v>
      </c>
      <c r="N365" s="534">
        <f t="shared" si="14"/>
        <v>0.34297081055722239</v>
      </c>
      <c r="O365" s="60" t="str">
        <f t="shared" si="15"/>
        <v/>
      </c>
    </row>
    <row r="366" spans="1:16" x14ac:dyDescent="0.2">
      <c r="A366" s="56" t="s">
        <v>43</v>
      </c>
      <c r="B366" s="372" t="s">
        <v>47</v>
      </c>
      <c r="C366" s="545" t="s">
        <v>811</v>
      </c>
      <c r="D366" s="309" t="s">
        <v>858</v>
      </c>
      <c r="E366" s="535">
        <v>0.58520000000000005</v>
      </c>
      <c r="F366" s="77" t="s">
        <v>891</v>
      </c>
      <c r="G366" s="94" t="s">
        <v>78</v>
      </c>
      <c r="H366" s="64">
        <v>1</v>
      </c>
      <c r="I366" s="305"/>
      <c r="J366" s="309">
        <v>1</v>
      </c>
      <c r="K366" s="309">
        <v>1</v>
      </c>
      <c r="L366" s="309">
        <v>1</v>
      </c>
      <c r="M366" s="66">
        <v>2</v>
      </c>
      <c r="N366" s="534">
        <f t="shared" si="14"/>
        <v>0.34297081055722239</v>
      </c>
      <c r="O366" s="60" t="str">
        <f t="shared" si="15"/>
        <v/>
      </c>
    </row>
    <row r="367" spans="1:16" x14ac:dyDescent="0.2">
      <c r="A367" s="56" t="s">
        <v>43</v>
      </c>
      <c r="B367" s="372" t="s">
        <v>47</v>
      </c>
      <c r="C367" s="546" t="s">
        <v>812</v>
      </c>
      <c r="D367" s="309" t="s">
        <v>858</v>
      </c>
      <c r="E367" s="535">
        <v>0.3095</v>
      </c>
      <c r="F367" s="77" t="s">
        <v>891</v>
      </c>
      <c r="G367" s="94" t="s">
        <v>78</v>
      </c>
      <c r="H367" s="64">
        <v>1</v>
      </c>
      <c r="I367" s="305"/>
      <c r="J367" s="309">
        <v>1</v>
      </c>
      <c r="K367" s="309">
        <v>1</v>
      </c>
      <c r="L367" s="309">
        <v>1</v>
      </c>
      <c r="M367" s="66">
        <v>2</v>
      </c>
      <c r="N367" s="534">
        <f t="shared" si="14"/>
        <v>0.34297081055722239</v>
      </c>
      <c r="O367" s="60" t="str">
        <f t="shared" si="15"/>
        <v/>
      </c>
    </row>
    <row r="368" spans="1:16" x14ac:dyDescent="0.2">
      <c r="A368" s="56" t="s">
        <v>43</v>
      </c>
      <c r="B368" s="372" t="s">
        <v>47</v>
      </c>
      <c r="C368" s="547" t="s">
        <v>813</v>
      </c>
      <c r="D368" s="309" t="s">
        <v>858</v>
      </c>
      <c r="E368" s="312">
        <v>0</v>
      </c>
      <c r="F368" s="77" t="s">
        <v>891</v>
      </c>
      <c r="G368" s="94" t="s">
        <v>78</v>
      </c>
      <c r="H368" s="533"/>
      <c r="I368" s="305"/>
      <c r="J368" s="305"/>
      <c r="K368" s="305"/>
      <c r="L368" s="305"/>
      <c r="M368" s="85"/>
      <c r="N368" s="534" t="str">
        <f t="shared" si="14"/>
        <v/>
      </c>
      <c r="O368" s="60" t="str">
        <f t="shared" si="15"/>
        <v/>
      </c>
    </row>
    <row r="369" spans="1:16" x14ac:dyDescent="0.2">
      <c r="A369" s="56" t="s">
        <v>43</v>
      </c>
      <c r="B369" s="372" t="s">
        <v>46</v>
      </c>
      <c r="C369" s="543" t="s">
        <v>809</v>
      </c>
      <c r="D369" s="309" t="s">
        <v>858</v>
      </c>
      <c r="E369" s="535">
        <v>0.2109</v>
      </c>
      <c r="F369" s="77" t="s">
        <v>891</v>
      </c>
      <c r="G369" s="94" t="s">
        <v>78</v>
      </c>
      <c r="H369" s="64">
        <v>1</v>
      </c>
      <c r="I369" s="305"/>
      <c r="J369" s="309">
        <v>1</v>
      </c>
      <c r="K369" s="309">
        <v>1</v>
      </c>
      <c r="L369" s="309">
        <v>1</v>
      </c>
      <c r="M369" s="66">
        <v>2</v>
      </c>
      <c r="N369" s="534">
        <f t="shared" si="14"/>
        <v>0.34297081055722239</v>
      </c>
      <c r="O369" s="60" t="str">
        <f t="shared" si="15"/>
        <v/>
      </c>
    </row>
    <row r="370" spans="1:16" x14ac:dyDescent="0.2">
      <c r="A370" s="376" t="s">
        <v>43</v>
      </c>
      <c r="B370" s="372" t="s">
        <v>46</v>
      </c>
      <c r="C370" s="544" t="s">
        <v>810</v>
      </c>
      <c r="D370" s="309" t="s">
        <v>858</v>
      </c>
      <c r="E370" s="535">
        <v>0.27339999999999998</v>
      </c>
      <c r="F370" s="77" t="s">
        <v>891</v>
      </c>
      <c r="G370" s="94" t="s">
        <v>78</v>
      </c>
      <c r="H370" s="64">
        <v>1</v>
      </c>
      <c r="I370" s="305"/>
      <c r="J370" s="309">
        <v>1</v>
      </c>
      <c r="K370" s="309">
        <v>1</v>
      </c>
      <c r="L370" s="309">
        <v>1</v>
      </c>
      <c r="M370" s="66">
        <v>2</v>
      </c>
      <c r="N370" s="534">
        <f t="shared" si="14"/>
        <v>0.34297081055722239</v>
      </c>
      <c r="O370" s="60" t="str">
        <f t="shared" si="15"/>
        <v/>
      </c>
    </row>
    <row r="371" spans="1:16" x14ac:dyDescent="0.2">
      <c r="A371" s="376" t="s">
        <v>43</v>
      </c>
      <c r="B371" s="372" t="s">
        <v>46</v>
      </c>
      <c r="C371" s="545" t="s">
        <v>811</v>
      </c>
      <c r="D371" s="309" t="s">
        <v>858</v>
      </c>
      <c r="E371" s="535">
        <v>0.28570000000000001</v>
      </c>
      <c r="F371" s="77" t="s">
        <v>891</v>
      </c>
      <c r="G371" s="94" t="s">
        <v>78</v>
      </c>
      <c r="H371" s="64">
        <v>1</v>
      </c>
      <c r="I371" s="305"/>
      <c r="J371" s="309">
        <v>1</v>
      </c>
      <c r="K371" s="309">
        <v>1</v>
      </c>
      <c r="L371" s="309">
        <v>1</v>
      </c>
      <c r="M371" s="66">
        <v>2</v>
      </c>
      <c r="N371" s="534">
        <f t="shared" si="14"/>
        <v>0.34297081055722239</v>
      </c>
      <c r="O371" s="60" t="str">
        <f t="shared" si="15"/>
        <v/>
      </c>
    </row>
    <row r="372" spans="1:16" x14ac:dyDescent="0.2">
      <c r="A372" s="376" t="s">
        <v>43</v>
      </c>
      <c r="B372" s="372" t="s">
        <v>46</v>
      </c>
      <c r="C372" s="546" t="s">
        <v>812</v>
      </c>
      <c r="D372" s="309" t="s">
        <v>858</v>
      </c>
      <c r="E372" s="535">
        <v>0.33329999999999999</v>
      </c>
      <c r="F372" s="77" t="s">
        <v>891</v>
      </c>
      <c r="G372" s="94" t="s">
        <v>78</v>
      </c>
      <c r="H372" s="64">
        <v>1</v>
      </c>
      <c r="I372" s="305"/>
      <c r="J372" s="309">
        <v>1</v>
      </c>
      <c r="K372" s="309">
        <v>1</v>
      </c>
      <c r="L372" s="309">
        <v>1</v>
      </c>
      <c r="M372" s="66">
        <v>2</v>
      </c>
      <c r="N372" s="534">
        <f t="shared" si="14"/>
        <v>0.34297081055722239</v>
      </c>
      <c r="O372" s="60" t="str">
        <f t="shared" si="15"/>
        <v/>
      </c>
    </row>
    <row r="373" spans="1:16" x14ac:dyDescent="0.2">
      <c r="A373" s="376" t="s">
        <v>43</v>
      </c>
      <c r="B373" s="372" t="s">
        <v>46</v>
      </c>
      <c r="C373" s="547" t="s">
        <v>813</v>
      </c>
      <c r="D373" s="309" t="s">
        <v>858</v>
      </c>
      <c r="E373" s="535">
        <v>0.34810000000000002</v>
      </c>
      <c r="F373" s="77" t="s">
        <v>891</v>
      </c>
      <c r="G373" s="94" t="s">
        <v>78</v>
      </c>
      <c r="H373" s="64">
        <v>1</v>
      </c>
      <c r="I373" s="305"/>
      <c r="J373" s="309">
        <v>1</v>
      </c>
      <c r="K373" s="309">
        <v>1</v>
      </c>
      <c r="L373" s="309">
        <v>1</v>
      </c>
      <c r="M373" s="66">
        <v>2</v>
      </c>
      <c r="N373" s="534">
        <f t="shared" si="14"/>
        <v>0.34297081055722239</v>
      </c>
      <c r="O373" s="60" t="str">
        <f t="shared" si="15"/>
        <v/>
      </c>
    </row>
    <row r="374" spans="1:16" s="497" customFormat="1" x14ac:dyDescent="0.2">
      <c r="A374" s="54" t="s">
        <v>101</v>
      </c>
      <c r="B374" s="113" t="s">
        <v>47</v>
      </c>
      <c r="C374" s="38" t="s">
        <v>65</v>
      </c>
      <c r="D374" s="68" t="s">
        <v>858</v>
      </c>
      <c r="E374" s="539" t="s">
        <v>56</v>
      </c>
      <c r="F374" s="79"/>
      <c r="G374" s="95"/>
      <c r="H374" s="540"/>
      <c r="I374" s="61"/>
      <c r="J374" s="61"/>
      <c r="K374" s="61"/>
      <c r="L374" s="61"/>
      <c r="M374" s="30"/>
      <c r="N374" s="534" t="str">
        <f t="shared" si="14"/>
        <v/>
      </c>
      <c r="O374" s="60" t="str">
        <f t="shared" si="15"/>
        <v/>
      </c>
      <c r="P374" s="82"/>
    </row>
    <row r="375" spans="1:16" s="505" customFormat="1" x14ac:dyDescent="0.2">
      <c r="A375" s="55" t="s">
        <v>101</v>
      </c>
      <c r="B375" s="53" t="s">
        <v>46</v>
      </c>
      <c r="C375" s="86" t="s">
        <v>65</v>
      </c>
      <c r="D375" s="70" t="s">
        <v>858</v>
      </c>
      <c r="E375" s="313">
        <f>466/(466+22+624)</f>
        <v>0.41906474820143885</v>
      </c>
      <c r="F375" s="78" t="s">
        <v>891</v>
      </c>
      <c r="G375" s="96" t="s">
        <v>78</v>
      </c>
      <c r="H375" s="69">
        <v>1</v>
      </c>
      <c r="I375" s="75"/>
      <c r="J375" s="70">
        <v>1</v>
      </c>
      <c r="K375" s="70">
        <v>3</v>
      </c>
      <c r="L375" s="70">
        <v>1</v>
      </c>
      <c r="M375" s="84">
        <v>3</v>
      </c>
      <c r="N375" s="534">
        <f t="shared" si="14"/>
        <v>1.0673825127299523</v>
      </c>
      <c r="O375" s="60" t="str">
        <f t="shared" si="15"/>
        <v/>
      </c>
      <c r="P375" s="81"/>
    </row>
    <row r="376" spans="1:16" ht="14" customHeight="1" x14ac:dyDescent="0.2">
      <c r="A376" s="376" t="s">
        <v>43</v>
      </c>
      <c r="B376" s="377" t="s">
        <v>48</v>
      </c>
      <c r="C376" s="543" t="s">
        <v>809</v>
      </c>
      <c r="D376" s="309" t="s">
        <v>864</v>
      </c>
      <c r="E376" s="535">
        <v>0.12</v>
      </c>
      <c r="F376" s="77" t="s">
        <v>109</v>
      </c>
      <c r="G376" s="94" t="s">
        <v>78</v>
      </c>
      <c r="H376" s="533"/>
      <c r="I376" s="309">
        <v>1</v>
      </c>
      <c r="J376" s="309">
        <v>2</v>
      </c>
      <c r="K376" s="309">
        <v>3</v>
      </c>
      <c r="L376" s="309">
        <v>3</v>
      </c>
      <c r="M376" s="66">
        <v>2</v>
      </c>
      <c r="N376" s="534" t="str">
        <f t="shared" si="14"/>
        <v/>
      </c>
      <c r="O376" s="60">
        <f t="shared" si="15"/>
        <v>0.59189702474662764</v>
      </c>
    </row>
    <row r="377" spans="1:16" ht="14" customHeight="1" x14ac:dyDescent="0.2">
      <c r="A377" s="376" t="s">
        <v>43</v>
      </c>
      <c r="B377" s="377" t="s">
        <v>48</v>
      </c>
      <c r="C377" s="544" t="s">
        <v>810</v>
      </c>
      <c r="D377" s="309" t="s">
        <v>864</v>
      </c>
      <c r="E377" s="535">
        <v>0.06</v>
      </c>
      <c r="F377" s="77" t="s">
        <v>109</v>
      </c>
      <c r="G377" s="94" t="s">
        <v>78</v>
      </c>
      <c r="H377" s="533"/>
      <c r="I377" s="309">
        <v>1</v>
      </c>
      <c r="J377" s="309">
        <v>2</v>
      </c>
      <c r="K377" s="309">
        <v>3</v>
      </c>
      <c r="L377" s="309">
        <v>3</v>
      </c>
      <c r="M377" s="66">
        <v>2</v>
      </c>
      <c r="N377" s="534" t="str">
        <f t="shared" si="14"/>
        <v/>
      </c>
      <c r="O377" s="60">
        <f t="shared" si="15"/>
        <v>0.59189702474662764</v>
      </c>
    </row>
    <row r="378" spans="1:16" ht="14" customHeight="1" x14ac:dyDescent="0.2">
      <c r="A378" s="376" t="s">
        <v>43</v>
      </c>
      <c r="B378" s="377" t="s">
        <v>48</v>
      </c>
      <c r="C378" s="545" t="s">
        <v>811</v>
      </c>
      <c r="D378" s="309" t="s">
        <v>864</v>
      </c>
      <c r="E378" s="535">
        <v>0.06</v>
      </c>
      <c r="F378" s="77" t="s">
        <v>109</v>
      </c>
      <c r="G378" s="94" t="s">
        <v>78</v>
      </c>
      <c r="H378" s="533"/>
      <c r="I378" s="309">
        <v>1</v>
      </c>
      <c r="J378" s="309">
        <v>2</v>
      </c>
      <c r="K378" s="309">
        <v>3</v>
      </c>
      <c r="L378" s="309">
        <v>3</v>
      </c>
      <c r="M378" s="66">
        <v>2</v>
      </c>
      <c r="N378" s="534" t="str">
        <f t="shared" si="14"/>
        <v/>
      </c>
      <c r="O378" s="60">
        <f t="shared" si="15"/>
        <v>0.59189702474662764</v>
      </c>
    </row>
    <row r="379" spans="1:16" ht="14" customHeight="1" x14ac:dyDescent="0.2">
      <c r="A379" s="376" t="s">
        <v>43</v>
      </c>
      <c r="B379" s="377" t="s">
        <v>48</v>
      </c>
      <c r="C379" s="546" t="s">
        <v>812</v>
      </c>
      <c r="D379" s="309" t="s">
        <v>864</v>
      </c>
      <c r="E379" s="535">
        <v>0.04</v>
      </c>
      <c r="F379" s="77" t="s">
        <v>109</v>
      </c>
      <c r="G379" s="94" t="s">
        <v>78</v>
      </c>
      <c r="H379" s="533"/>
      <c r="I379" s="309">
        <v>1</v>
      </c>
      <c r="J379" s="309">
        <v>2</v>
      </c>
      <c r="K379" s="309">
        <v>3</v>
      </c>
      <c r="L379" s="309">
        <v>3</v>
      </c>
      <c r="M379" s="66">
        <v>2</v>
      </c>
      <c r="N379" s="534" t="str">
        <f t="shared" si="14"/>
        <v/>
      </c>
      <c r="O379" s="60">
        <f t="shared" si="15"/>
        <v>0.59189702474662764</v>
      </c>
    </row>
    <row r="380" spans="1:16" ht="14" customHeight="1" x14ac:dyDescent="0.2">
      <c r="A380" s="376" t="s">
        <v>43</v>
      </c>
      <c r="B380" s="377" t="s">
        <v>48</v>
      </c>
      <c r="C380" s="547" t="s">
        <v>813</v>
      </c>
      <c r="D380" s="309" t="s">
        <v>864</v>
      </c>
      <c r="E380" s="535">
        <v>0.04</v>
      </c>
      <c r="F380" s="77" t="s">
        <v>109</v>
      </c>
      <c r="G380" s="94" t="s">
        <v>78</v>
      </c>
      <c r="H380" s="533"/>
      <c r="I380" s="309">
        <v>1</v>
      </c>
      <c r="J380" s="309">
        <v>2</v>
      </c>
      <c r="K380" s="309">
        <v>3</v>
      </c>
      <c r="L380" s="309">
        <v>3</v>
      </c>
      <c r="M380" s="66">
        <v>2</v>
      </c>
      <c r="N380" s="534" t="str">
        <f t="shared" si="14"/>
        <v/>
      </c>
      <c r="O380" s="60">
        <f t="shared" si="15"/>
        <v>0.59189702474662764</v>
      </c>
    </row>
    <row r="381" spans="1:16" ht="14" customHeight="1" x14ac:dyDescent="0.2">
      <c r="A381" s="56" t="s">
        <v>43</v>
      </c>
      <c r="B381" s="372" t="s">
        <v>47</v>
      </c>
      <c r="C381" s="42" t="s">
        <v>65</v>
      </c>
      <c r="D381" s="309" t="s">
        <v>864</v>
      </c>
      <c r="E381" s="312" t="s">
        <v>56</v>
      </c>
      <c r="G381" s="94" t="s">
        <v>78</v>
      </c>
      <c r="H381" s="533"/>
      <c r="I381" s="305"/>
      <c r="J381" s="305"/>
      <c r="K381" s="305"/>
      <c r="L381" s="305"/>
      <c r="M381" s="85"/>
      <c r="N381" s="534" t="str">
        <f t="shared" si="14"/>
        <v/>
      </c>
      <c r="O381" s="60" t="str">
        <f t="shared" si="15"/>
        <v/>
      </c>
    </row>
    <row r="382" spans="1:16" s="505" customFormat="1" ht="14" customHeight="1" x14ac:dyDescent="0.2">
      <c r="A382" s="55" t="s">
        <v>43</v>
      </c>
      <c r="B382" s="53" t="s">
        <v>46</v>
      </c>
      <c r="C382" s="86" t="s">
        <v>65</v>
      </c>
      <c r="D382" s="70" t="s">
        <v>864</v>
      </c>
      <c r="E382" s="548">
        <v>0</v>
      </c>
      <c r="F382" s="78"/>
      <c r="G382" s="96" t="s">
        <v>78</v>
      </c>
      <c r="H382" s="549"/>
      <c r="I382" s="75"/>
      <c r="J382" s="75"/>
      <c r="K382" s="75"/>
      <c r="L382" s="75"/>
      <c r="M382" s="29"/>
      <c r="N382" s="534" t="str">
        <f t="shared" si="14"/>
        <v/>
      </c>
      <c r="O382" s="60" t="str">
        <f t="shared" si="15"/>
        <v/>
      </c>
      <c r="P382" s="81"/>
    </row>
    <row r="383" spans="1:16" ht="14" customHeight="1" x14ac:dyDescent="0.2">
      <c r="A383" s="376" t="s">
        <v>101</v>
      </c>
      <c r="B383" s="372" t="s">
        <v>46</v>
      </c>
      <c r="C383" s="42" t="s">
        <v>65</v>
      </c>
      <c r="D383" s="309" t="s">
        <v>864</v>
      </c>
      <c r="E383" s="312">
        <v>0</v>
      </c>
      <c r="F383" s="77" t="s">
        <v>71</v>
      </c>
      <c r="H383" s="533"/>
      <c r="I383" s="305"/>
      <c r="J383" s="305"/>
      <c r="K383" s="305"/>
      <c r="L383" s="305"/>
      <c r="M383" s="85"/>
      <c r="N383" s="534" t="str">
        <f t="shared" si="14"/>
        <v/>
      </c>
      <c r="O383" s="60" t="str">
        <f t="shared" si="15"/>
        <v/>
      </c>
    </row>
    <row r="384" spans="1:16" ht="14" customHeight="1" x14ac:dyDescent="0.2">
      <c r="A384" s="376" t="s">
        <v>101</v>
      </c>
      <c r="B384" s="372" t="s">
        <v>47</v>
      </c>
      <c r="C384" s="42" t="s">
        <v>65</v>
      </c>
      <c r="D384" s="309" t="s">
        <v>864</v>
      </c>
      <c r="E384" s="312" t="s">
        <v>56</v>
      </c>
      <c r="H384" s="533"/>
      <c r="I384" s="305"/>
      <c r="J384" s="305"/>
      <c r="K384" s="305"/>
      <c r="L384" s="305"/>
      <c r="M384" s="85"/>
      <c r="N384" s="534" t="str">
        <f t="shared" si="14"/>
        <v/>
      </c>
      <c r="O384" s="60" t="str">
        <f t="shared" si="15"/>
        <v/>
      </c>
    </row>
    <row r="385" spans="1:16" s="497" customFormat="1" x14ac:dyDescent="0.2">
      <c r="A385" s="54" t="s">
        <v>28</v>
      </c>
      <c r="B385" s="23" t="s">
        <v>49</v>
      </c>
      <c r="C385" s="38" t="s">
        <v>65</v>
      </c>
      <c r="D385" s="68" t="s">
        <v>858</v>
      </c>
      <c r="E385" s="314">
        <v>1.4999999999999999E-2</v>
      </c>
      <c r="F385" s="79" t="s">
        <v>893</v>
      </c>
      <c r="G385" s="95" t="s">
        <v>78</v>
      </c>
      <c r="H385" s="67">
        <v>2</v>
      </c>
      <c r="I385" s="61"/>
      <c r="J385" s="68">
        <v>2</v>
      </c>
      <c r="K385" s="68">
        <v>4</v>
      </c>
      <c r="L385" s="68">
        <v>3</v>
      </c>
      <c r="M385" s="83">
        <v>3</v>
      </c>
      <c r="N385" s="534">
        <f t="shared" si="14"/>
        <v>1.4774652092388798</v>
      </c>
      <c r="O385" s="60" t="str">
        <f t="shared" si="15"/>
        <v/>
      </c>
      <c r="P385" s="82"/>
    </row>
    <row r="386" spans="1:16" x14ac:dyDescent="0.2">
      <c r="A386" s="56" t="s">
        <v>28</v>
      </c>
      <c r="B386" s="377" t="s">
        <v>50</v>
      </c>
      <c r="C386" s="42" t="s">
        <v>65</v>
      </c>
      <c r="D386" s="309" t="s">
        <v>858</v>
      </c>
      <c r="E386" s="312" t="s">
        <v>56</v>
      </c>
      <c r="G386" s="94" t="s">
        <v>78</v>
      </c>
      <c r="H386" s="533"/>
      <c r="I386" s="305"/>
      <c r="J386" s="305"/>
      <c r="K386" s="305"/>
      <c r="L386" s="305"/>
      <c r="M386" s="85"/>
      <c r="N386" s="534" t="str">
        <f t="shared" si="14"/>
        <v/>
      </c>
      <c r="O386" s="60" t="str">
        <f t="shared" si="15"/>
        <v/>
      </c>
    </row>
    <row r="387" spans="1:16" s="497" customFormat="1" x14ac:dyDescent="0.2">
      <c r="A387" s="54" t="s">
        <v>28</v>
      </c>
      <c r="B387" s="23" t="s">
        <v>49</v>
      </c>
      <c r="C387" s="38" t="s">
        <v>65</v>
      </c>
      <c r="D387" s="68" t="s">
        <v>864</v>
      </c>
      <c r="E387" s="314">
        <v>0.03</v>
      </c>
      <c r="F387" s="79" t="s">
        <v>109</v>
      </c>
      <c r="G387" s="95" t="s">
        <v>78</v>
      </c>
      <c r="H387" s="540"/>
      <c r="I387" s="68">
        <v>1</v>
      </c>
      <c r="J387" s="68">
        <v>2</v>
      </c>
      <c r="K387" s="68">
        <v>3</v>
      </c>
      <c r="L387" s="68">
        <v>1</v>
      </c>
      <c r="M387" s="83">
        <v>2</v>
      </c>
      <c r="N387" s="534" t="str">
        <f t="shared" ref="N387:N450" si="16">IF( OR( ISBLANK(H387),ISBLANK(J387), ISBLANK(K387), ISBLANK(L387), ISBLANK(M387) ), "", 1.5*SQRT(   EXP(2.21*(H387-1)) + EXP(2.21*(J387-1)) + EXP(2.21*(K387-1)) + EXP(2.21*(L387-1)) + EXP(2.21*M387)   )/100*2.45 )</f>
        <v/>
      </c>
      <c r="O387" s="60">
        <f t="shared" ref="O387:O450" si="17">IF( OR( ISBLANK(I387),ISBLANK(J387), ISBLANK(K387), ISBLANK(L387), ISBLANK(M387) ), "", 1.5*SQRT(   EXP(2.21*(I387-1)) + EXP(2.21*(J387-1)) + EXP(2.21*(K387-1)) + EXP(2.21*(L387-1)) + EXP(2.21*M387)   )/100*2.45 )</f>
        <v>0.48935255543384243</v>
      </c>
      <c r="P387" s="82"/>
    </row>
    <row r="388" spans="1:16" s="505" customFormat="1" x14ac:dyDescent="0.2">
      <c r="A388" s="55" t="s">
        <v>28</v>
      </c>
      <c r="B388" s="31" t="s">
        <v>50</v>
      </c>
      <c r="C388" s="86" t="s">
        <v>65</v>
      </c>
      <c r="D388" s="70" t="s">
        <v>864</v>
      </c>
      <c r="E388" s="548" t="s">
        <v>56</v>
      </c>
      <c r="F388" s="78"/>
      <c r="G388" s="96" t="s">
        <v>78</v>
      </c>
      <c r="H388" s="549"/>
      <c r="I388" s="75"/>
      <c r="J388" s="75"/>
      <c r="K388" s="75"/>
      <c r="L388" s="75"/>
      <c r="M388" s="29"/>
      <c r="N388" s="534" t="str">
        <f t="shared" si="16"/>
        <v/>
      </c>
      <c r="O388" s="60" t="str">
        <f t="shared" si="17"/>
        <v/>
      </c>
      <c r="P388" s="81"/>
    </row>
    <row r="389" spans="1:16" s="497" customFormat="1" x14ac:dyDescent="0.2">
      <c r="A389" s="54" t="s">
        <v>100</v>
      </c>
      <c r="B389" s="372" t="s">
        <v>46</v>
      </c>
      <c r="C389" s="38" t="s">
        <v>65</v>
      </c>
      <c r="D389" s="68" t="s">
        <v>858</v>
      </c>
      <c r="E389" s="539" t="s">
        <v>56</v>
      </c>
      <c r="F389" s="77"/>
      <c r="G389" s="589" t="s">
        <v>78</v>
      </c>
      <c r="H389" s="533"/>
      <c r="I389" s="305"/>
      <c r="J389" s="305"/>
      <c r="K389" s="305"/>
      <c r="L389" s="305"/>
      <c r="M389" s="85"/>
      <c r="N389" s="534" t="str">
        <f t="shared" si="16"/>
        <v/>
      </c>
      <c r="O389" s="60" t="str">
        <f t="shared" si="17"/>
        <v/>
      </c>
      <c r="P389" s="82"/>
    </row>
    <row r="390" spans="1:16" x14ac:dyDescent="0.2">
      <c r="A390" s="56" t="s">
        <v>100</v>
      </c>
      <c r="B390" s="372" t="s">
        <v>47</v>
      </c>
      <c r="C390" s="42" t="s">
        <v>65</v>
      </c>
      <c r="D390" s="309" t="s">
        <v>858</v>
      </c>
      <c r="E390" s="535">
        <f>E454/(E454+E453)</f>
        <v>0.31684248817751909</v>
      </c>
      <c r="F390" s="77" t="s">
        <v>73</v>
      </c>
      <c r="G390" s="94" t="s">
        <v>78</v>
      </c>
      <c r="H390" s="64">
        <v>2</v>
      </c>
      <c r="I390" s="305"/>
      <c r="J390" s="309">
        <v>2</v>
      </c>
      <c r="K390" s="309">
        <v>3</v>
      </c>
      <c r="L390" s="309">
        <v>1</v>
      </c>
      <c r="M390" s="66">
        <v>2</v>
      </c>
      <c r="N390" s="534">
        <f t="shared" si="16"/>
        <v>0.50042652380814845</v>
      </c>
      <c r="O390" s="60" t="str">
        <f t="shared" si="17"/>
        <v/>
      </c>
    </row>
    <row r="391" spans="1:16" s="497" customFormat="1" x14ac:dyDescent="0.2">
      <c r="A391" s="54" t="s">
        <v>100</v>
      </c>
      <c r="B391" s="113" t="s">
        <v>46</v>
      </c>
      <c r="C391" s="38" t="s">
        <v>65</v>
      </c>
      <c r="D391" s="68" t="s">
        <v>864</v>
      </c>
      <c r="E391" s="539">
        <v>0</v>
      </c>
      <c r="F391" s="79"/>
      <c r="G391" s="95" t="s">
        <v>78</v>
      </c>
      <c r="H391" s="540"/>
      <c r="I391" s="61"/>
      <c r="J391" s="61"/>
      <c r="K391" s="61"/>
      <c r="L391" s="61"/>
      <c r="M391" s="30"/>
      <c r="N391" s="534" t="str">
        <f t="shared" si="16"/>
        <v/>
      </c>
      <c r="O391" s="60" t="str">
        <f t="shared" si="17"/>
        <v/>
      </c>
      <c r="P391" s="82"/>
    </row>
    <row r="392" spans="1:16" s="505" customFormat="1" x14ac:dyDescent="0.2">
      <c r="A392" s="55" t="s">
        <v>100</v>
      </c>
      <c r="B392" s="53" t="s">
        <v>47</v>
      </c>
      <c r="C392" s="86" t="s">
        <v>65</v>
      </c>
      <c r="D392" s="70" t="s">
        <v>864</v>
      </c>
      <c r="E392" s="548">
        <v>1</v>
      </c>
      <c r="F392" s="78" t="s">
        <v>77</v>
      </c>
      <c r="G392" s="96" t="s">
        <v>78</v>
      </c>
      <c r="H392" s="549"/>
      <c r="I392" s="75"/>
      <c r="J392" s="75"/>
      <c r="K392" s="75"/>
      <c r="L392" s="75"/>
      <c r="M392" s="29"/>
      <c r="N392" s="534" t="str">
        <f t="shared" si="16"/>
        <v/>
      </c>
      <c r="O392" s="60" t="str">
        <f t="shared" si="17"/>
        <v/>
      </c>
      <c r="P392" s="81"/>
    </row>
    <row r="393" spans="1:16" s="497" customFormat="1" x14ac:dyDescent="0.2">
      <c r="A393" s="54" t="s">
        <v>30</v>
      </c>
      <c r="B393" s="23" t="s">
        <v>51</v>
      </c>
      <c r="C393" s="38" t="s">
        <v>65</v>
      </c>
      <c r="D393" s="68" t="s">
        <v>858</v>
      </c>
      <c r="E393" s="539" t="s">
        <v>56</v>
      </c>
      <c r="F393" s="79" t="s">
        <v>894</v>
      </c>
      <c r="G393" s="95" t="s">
        <v>78</v>
      </c>
      <c r="H393" s="540"/>
      <c r="I393" s="61"/>
      <c r="J393" s="61"/>
      <c r="K393" s="61"/>
      <c r="L393" s="61"/>
      <c r="M393" s="30"/>
      <c r="N393" s="534" t="str">
        <f t="shared" si="16"/>
        <v/>
      </c>
      <c r="O393" s="60" t="str">
        <f t="shared" si="17"/>
        <v/>
      </c>
      <c r="P393" s="82"/>
    </row>
    <row r="394" spans="1:16" x14ac:dyDescent="0.2">
      <c r="A394" s="56" t="s">
        <v>30</v>
      </c>
      <c r="B394" s="372" t="s">
        <v>46</v>
      </c>
      <c r="C394" s="42" t="s">
        <v>65</v>
      </c>
      <c r="D394" s="309" t="s">
        <v>858</v>
      </c>
      <c r="E394" s="312">
        <v>0</v>
      </c>
      <c r="F394" s="77" t="s">
        <v>894</v>
      </c>
      <c r="G394" s="94" t="s">
        <v>78</v>
      </c>
      <c r="H394" s="533"/>
      <c r="I394" s="305"/>
      <c r="J394" s="305"/>
      <c r="K394" s="305"/>
      <c r="L394" s="305"/>
      <c r="M394" s="85"/>
      <c r="N394" s="534" t="str">
        <f t="shared" si="16"/>
        <v/>
      </c>
      <c r="O394" s="60" t="str">
        <f t="shared" si="17"/>
        <v/>
      </c>
    </row>
    <row r="395" spans="1:16" x14ac:dyDescent="0.2">
      <c r="A395" s="56" t="s">
        <v>30</v>
      </c>
      <c r="B395" s="372" t="s">
        <v>47</v>
      </c>
      <c r="C395" s="42" t="s">
        <v>65</v>
      </c>
      <c r="D395" s="309" t="s">
        <v>858</v>
      </c>
      <c r="E395" s="535">
        <v>2.1000000000000001E-2</v>
      </c>
      <c r="F395" s="77" t="s">
        <v>894</v>
      </c>
      <c r="G395" s="94" t="s">
        <v>78</v>
      </c>
      <c r="H395" s="64">
        <v>1</v>
      </c>
      <c r="I395" s="305"/>
      <c r="J395" s="309">
        <v>2</v>
      </c>
      <c r="K395" s="309">
        <v>3</v>
      </c>
      <c r="L395" s="309">
        <v>1</v>
      </c>
      <c r="M395" s="66">
        <v>2</v>
      </c>
      <c r="N395" s="534">
        <f t="shared" si="16"/>
        <v>0.48935255543384243</v>
      </c>
      <c r="O395" s="60" t="str">
        <f t="shared" si="17"/>
        <v/>
      </c>
    </row>
    <row r="396" spans="1:16" x14ac:dyDescent="0.2">
      <c r="A396" s="56" t="s">
        <v>30</v>
      </c>
      <c r="B396" s="372" t="s">
        <v>47</v>
      </c>
      <c r="C396" s="42" t="s">
        <v>65</v>
      </c>
      <c r="D396" s="309" t="s">
        <v>858</v>
      </c>
      <c r="E396" s="535">
        <v>0.06</v>
      </c>
      <c r="F396" s="77" t="s">
        <v>894</v>
      </c>
      <c r="G396" s="94" t="s">
        <v>78</v>
      </c>
      <c r="H396" s="64">
        <v>1</v>
      </c>
      <c r="I396" s="305"/>
      <c r="J396" s="309">
        <v>2</v>
      </c>
      <c r="K396" s="309">
        <v>3</v>
      </c>
      <c r="L396" s="309">
        <v>1</v>
      </c>
      <c r="M396" s="66">
        <v>2</v>
      </c>
      <c r="N396" s="534">
        <f t="shared" si="16"/>
        <v>0.48935255543384243</v>
      </c>
      <c r="O396" s="60" t="str">
        <f t="shared" si="17"/>
        <v/>
      </c>
    </row>
    <row r="397" spans="1:16" s="497" customFormat="1" x14ac:dyDescent="0.2">
      <c r="A397" s="54" t="s">
        <v>30</v>
      </c>
      <c r="B397" s="23" t="s">
        <v>51</v>
      </c>
      <c r="C397" s="38" t="s">
        <v>65</v>
      </c>
      <c r="D397" s="68" t="s">
        <v>864</v>
      </c>
      <c r="E397" s="314">
        <v>0.64</v>
      </c>
      <c r="F397" s="79" t="s">
        <v>80</v>
      </c>
      <c r="G397" s="95" t="s">
        <v>78</v>
      </c>
      <c r="H397" s="540"/>
      <c r="I397" s="68">
        <v>1</v>
      </c>
      <c r="J397" s="68">
        <v>2</v>
      </c>
      <c r="K397" s="68">
        <v>3</v>
      </c>
      <c r="L397" s="68">
        <v>1</v>
      </c>
      <c r="M397" s="83">
        <v>2</v>
      </c>
      <c r="N397" s="534" t="str">
        <f t="shared" si="16"/>
        <v/>
      </c>
      <c r="O397" s="60">
        <f t="shared" si="17"/>
        <v>0.48935255543384243</v>
      </c>
      <c r="P397" s="82" t="s">
        <v>895</v>
      </c>
    </row>
    <row r="398" spans="1:16" x14ac:dyDescent="0.2">
      <c r="A398" s="56" t="s">
        <v>30</v>
      </c>
      <c r="B398" s="372" t="s">
        <v>46</v>
      </c>
      <c r="C398" s="42" t="s">
        <v>65</v>
      </c>
      <c r="D398" s="309" t="s">
        <v>864</v>
      </c>
      <c r="E398" s="312">
        <v>0</v>
      </c>
      <c r="G398" s="94" t="s">
        <v>78</v>
      </c>
      <c r="H398" s="533"/>
      <c r="I398" s="305"/>
      <c r="J398" s="305"/>
      <c r="K398" s="305"/>
      <c r="L398" s="305"/>
      <c r="M398" s="85"/>
      <c r="N398" s="534" t="str">
        <f t="shared" si="16"/>
        <v/>
      </c>
      <c r="O398" s="60" t="str">
        <f t="shared" si="17"/>
        <v/>
      </c>
    </row>
    <row r="399" spans="1:16" s="505" customFormat="1" x14ac:dyDescent="0.2">
      <c r="A399" s="55" t="s">
        <v>30</v>
      </c>
      <c r="B399" s="53" t="s">
        <v>47</v>
      </c>
      <c r="C399" s="86" t="s">
        <v>65</v>
      </c>
      <c r="D399" s="70" t="s">
        <v>864</v>
      </c>
      <c r="E399" s="548" t="s">
        <v>56</v>
      </c>
      <c r="F399" s="78"/>
      <c r="G399" s="96" t="s">
        <v>78</v>
      </c>
      <c r="H399" s="549"/>
      <c r="I399" s="75"/>
      <c r="J399" s="75"/>
      <c r="K399" s="75"/>
      <c r="L399" s="75"/>
      <c r="M399" s="29"/>
      <c r="N399" s="534" t="str">
        <f t="shared" si="16"/>
        <v/>
      </c>
      <c r="O399" s="60" t="str">
        <f t="shared" si="17"/>
        <v/>
      </c>
      <c r="P399" s="81"/>
    </row>
    <row r="400" spans="1:16" s="497" customFormat="1" x14ac:dyDescent="0.2">
      <c r="A400" s="54" t="s">
        <v>42</v>
      </c>
      <c r="B400" s="23" t="s">
        <v>52</v>
      </c>
      <c r="C400" s="67" t="s">
        <v>65</v>
      </c>
      <c r="D400" s="68" t="s">
        <v>858</v>
      </c>
      <c r="E400" s="314">
        <v>0.28000000000000003</v>
      </c>
      <c r="F400" s="79" t="s">
        <v>896</v>
      </c>
      <c r="G400" s="95" t="s">
        <v>78</v>
      </c>
      <c r="H400" s="67">
        <v>1</v>
      </c>
      <c r="I400" s="61"/>
      <c r="J400" s="68">
        <v>1</v>
      </c>
      <c r="K400" s="68">
        <v>3</v>
      </c>
      <c r="L400" s="68">
        <v>1</v>
      </c>
      <c r="M400" s="83">
        <v>2</v>
      </c>
      <c r="N400" s="534">
        <f t="shared" si="16"/>
        <v>0.47802211380704585</v>
      </c>
      <c r="O400" s="60" t="str">
        <f t="shared" si="17"/>
        <v/>
      </c>
      <c r="P400" s="82"/>
    </row>
    <row r="401" spans="1:16" x14ac:dyDescent="0.2">
      <c r="A401" s="56" t="s">
        <v>42</v>
      </c>
      <c r="B401" s="378" t="s">
        <v>46</v>
      </c>
      <c r="C401" s="64" t="s">
        <v>65</v>
      </c>
      <c r="D401" s="309" t="s">
        <v>858</v>
      </c>
      <c r="E401" s="535">
        <v>0.40899999999999997</v>
      </c>
      <c r="F401" s="77" t="s">
        <v>896</v>
      </c>
      <c r="G401" s="94" t="s">
        <v>78</v>
      </c>
      <c r="H401" s="64">
        <v>1</v>
      </c>
      <c r="I401" s="305"/>
      <c r="J401" s="309">
        <v>1</v>
      </c>
      <c r="K401" s="309">
        <v>3</v>
      </c>
      <c r="L401" s="309">
        <v>1</v>
      </c>
      <c r="M401" s="66">
        <v>2</v>
      </c>
      <c r="N401" s="534">
        <f t="shared" si="16"/>
        <v>0.47802211380704585</v>
      </c>
      <c r="O401" s="60" t="str">
        <f t="shared" si="17"/>
        <v/>
      </c>
    </row>
    <row r="402" spans="1:16" x14ac:dyDescent="0.2">
      <c r="A402" s="56" t="s">
        <v>42</v>
      </c>
      <c r="B402" s="378" t="s">
        <v>47</v>
      </c>
      <c r="C402" s="64" t="s">
        <v>65</v>
      </c>
      <c r="D402" s="309" t="s">
        <v>858</v>
      </c>
      <c r="E402" s="535">
        <v>0.311</v>
      </c>
      <c r="F402" s="77" t="s">
        <v>896</v>
      </c>
      <c r="G402" s="94" t="s">
        <v>78</v>
      </c>
      <c r="H402" s="64">
        <v>1</v>
      </c>
      <c r="I402" s="305"/>
      <c r="J402" s="309">
        <v>1</v>
      </c>
      <c r="K402" s="309">
        <v>3</v>
      </c>
      <c r="L402" s="309">
        <v>1</v>
      </c>
      <c r="M402" s="66">
        <v>2</v>
      </c>
      <c r="N402" s="534">
        <f t="shared" si="16"/>
        <v>0.47802211380704585</v>
      </c>
      <c r="O402" s="60" t="str">
        <f t="shared" si="17"/>
        <v/>
      </c>
    </row>
    <row r="403" spans="1:16" s="497" customFormat="1" ht="13" customHeight="1" x14ac:dyDescent="0.2">
      <c r="A403" s="54" t="s">
        <v>42</v>
      </c>
      <c r="B403" s="23" t="s">
        <v>52</v>
      </c>
      <c r="C403" s="67" t="s">
        <v>65</v>
      </c>
      <c r="D403" s="68" t="s">
        <v>864</v>
      </c>
      <c r="E403" s="314">
        <v>0.12</v>
      </c>
      <c r="F403" s="79" t="s">
        <v>109</v>
      </c>
      <c r="G403" s="95" t="s">
        <v>78</v>
      </c>
      <c r="H403" s="540"/>
      <c r="I403" s="68">
        <v>1</v>
      </c>
      <c r="J403" s="68">
        <v>2</v>
      </c>
      <c r="K403" s="68">
        <v>3</v>
      </c>
      <c r="L403" s="68">
        <v>1</v>
      </c>
      <c r="M403" s="83">
        <v>2</v>
      </c>
      <c r="N403" s="534" t="str">
        <f t="shared" si="16"/>
        <v/>
      </c>
      <c r="O403" s="60">
        <f t="shared" si="17"/>
        <v>0.48935255543384243</v>
      </c>
      <c r="P403" s="82"/>
    </row>
    <row r="404" spans="1:16" ht="13" customHeight="1" x14ac:dyDescent="0.2">
      <c r="A404" s="56" t="s">
        <v>42</v>
      </c>
      <c r="B404" s="377" t="s">
        <v>52</v>
      </c>
      <c r="C404" s="64" t="s">
        <v>65</v>
      </c>
      <c r="D404" s="309" t="s">
        <v>864</v>
      </c>
      <c r="E404" s="535">
        <v>0.1333</v>
      </c>
      <c r="F404" s="77" t="s">
        <v>72</v>
      </c>
      <c r="G404" s="94" t="s">
        <v>78</v>
      </c>
      <c r="H404" s="533"/>
      <c r="I404" s="309">
        <v>1</v>
      </c>
      <c r="J404" s="309">
        <v>2</v>
      </c>
      <c r="K404" s="309">
        <v>3</v>
      </c>
      <c r="L404" s="309">
        <v>1</v>
      </c>
      <c r="M404" s="66">
        <v>2</v>
      </c>
      <c r="N404" s="534" t="str">
        <f t="shared" si="16"/>
        <v/>
      </c>
      <c r="O404" s="60">
        <f t="shared" si="17"/>
        <v>0.48935255543384243</v>
      </c>
    </row>
    <row r="405" spans="1:16" ht="13" customHeight="1" x14ac:dyDescent="0.2">
      <c r="A405" s="56" t="s">
        <v>42</v>
      </c>
      <c r="B405" s="377" t="s">
        <v>52</v>
      </c>
      <c r="C405" s="64" t="s">
        <v>65</v>
      </c>
      <c r="D405" s="309" t="s">
        <v>864</v>
      </c>
      <c r="E405" s="535">
        <v>0.26669999999999999</v>
      </c>
      <c r="F405" s="77" t="s">
        <v>72</v>
      </c>
      <c r="G405" s="94" t="s">
        <v>78</v>
      </c>
      <c r="H405" s="533"/>
      <c r="I405" s="309">
        <v>1</v>
      </c>
      <c r="J405" s="309">
        <v>2</v>
      </c>
      <c r="K405" s="309">
        <v>3</v>
      </c>
      <c r="L405" s="309">
        <v>1</v>
      </c>
      <c r="M405" s="66">
        <v>2</v>
      </c>
      <c r="N405" s="534" t="str">
        <f t="shared" si="16"/>
        <v/>
      </c>
      <c r="O405" s="60">
        <f t="shared" si="17"/>
        <v>0.48935255543384243</v>
      </c>
    </row>
    <row r="406" spans="1:16" ht="13" customHeight="1" x14ac:dyDescent="0.2">
      <c r="A406" s="56" t="s">
        <v>42</v>
      </c>
      <c r="B406" s="377" t="s">
        <v>52</v>
      </c>
      <c r="C406" s="64" t="s">
        <v>65</v>
      </c>
      <c r="D406" s="309" t="s">
        <v>864</v>
      </c>
      <c r="E406" s="535">
        <v>0.2</v>
      </c>
      <c r="F406" s="77" t="s">
        <v>108</v>
      </c>
      <c r="G406" s="94" t="s">
        <v>78</v>
      </c>
      <c r="H406" s="533"/>
      <c r="I406" s="309">
        <v>1</v>
      </c>
      <c r="J406" s="309">
        <v>2</v>
      </c>
      <c r="K406" s="309">
        <v>3</v>
      </c>
      <c r="L406" s="309">
        <v>1</v>
      </c>
      <c r="M406" s="66">
        <v>2</v>
      </c>
      <c r="N406" s="534" t="str">
        <f t="shared" si="16"/>
        <v/>
      </c>
      <c r="O406" s="60">
        <f t="shared" si="17"/>
        <v>0.48935255543384243</v>
      </c>
      <c r="P406" s="343" t="s">
        <v>897</v>
      </c>
    </row>
    <row r="407" spans="1:16" ht="13" customHeight="1" x14ac:dyDescent="0.2">
      <c r="A407" s="56" t="s">
        <v>42</v>
      </c>
      <c r="B407" s="378" t="s">
        <v>46</v>
      </c>
      <c r="C407" s="64" t="s">
        <v>65</v>
      </c>
      <c r="D407" s="309" t="s">
        <v>864</v>
      </c>
      <c r="E407" s="312">
        <v>0</v>
      </c>
      <c r="G407" s="94" t="s">
        <v>78</v>
      </c>
      <c r="H407" s="533"/>
      <c r="I407" s="305"/>
      <c r="J407" s="305"/>
      <c r="K407" s="305"/>
      <c r="L407" s="305"/>
      <c r="M407" s="85"/>
      <c r="N407" s="534" t="str">
        <f t="shared" si="16"/>
        <v/>
      </c>
      <c r="O407" s="60" t="str">
        <f t="shared" si="17"/>
        <v/>
      </c>
    </row>
    <row r="408" spans="1:16" s="505" customFormat="1" ht="13" customHeight="1" x14ac:dyDescent="0.2">
      <c r="A408" s="55" t="s">
        <v>42</v>
      </c>
      <c r="B408" s="20" t="s">
        <v>47</v>
      </c>
      <c r="C408" s="69" t="s">
        <v>65</v>
      </c>
      <c r="D408" s="70" t="s">
        <v>864</v>
      </c>
      <c r="E408" s="548" t="s">
        <v>56</v>
      </c>
      <c r="F408" s="78"/>
      <c r="G408" s="96" t="s">
        <v>78</v>
      </c>
      <c r="H408" s="549"/>
      <c r="I408" s="75"/>
      <c r="J408" s="75"/>
      <c r="K408" s="75"/>
      <c r="L408" s="75"/>
      <c r="M408" s="29"/>
      <c r="N408" s="534" t="str">
        <f t="shared" si="16"/>
        <v/>
      </c>
      <c r="O408" s="60" t="str">
        <f t="shared" si="17"/>
        <v/>
      </c>
      <c r="P408" s="81"/>
    </row>
    <row r="409" spans="1:16" s="497" customFormat="1" x14ac:dyDescent="0.2">
      <c r="A409" s="48" t="s">
        <v>44</v>
      </c>
      <c r="B409" s="113" t="s">
        <v>53</v>
      </c>
      <c r="C409" s="67" t="s">
        <v>65</v>
      </c>
      <c r="D409" s="68" t="s">
        <v>858</v>
      </c>
      <c r="E409" s="314">
        <v>0.5</v>
      </c>
      <c r="F409" s="77" t="s">
        <v>886</v>
      </c>
      <c r="G409" s="95" t="s">
        <v>78</v>
      </c>
      <c r="H409" s="67">
        <v>1</v>
      </c>
      <c r="I409" s="61"/>
      <c r="J409" s="68">
        <v>3</v>
      </c>
      <c r="K409" s="68">
        <v>3</v>
      </c>
      <c r="L409" s="68">
        <v>1</v>
      </c>
      <c r="M409" s="83">
        <v>2</v>
      </c>
      <c r="N409" s="534">
        <f t="shared" si="16"/>
        <v>0.58256442191643876</v>
      </c>
      <c r="O409" s="60" t="str">
        <f t="shared" si="17"/>
        <v/>
      </c>
      <c r="P409" s="82"/>
    </row>
    <row r="410" spans="1:16" x14ac:dyDescent="0.2">
      <c r="A410" s="56" t="s">
        <v>44</v>
      </c>
      <c r="B410" s="372" t="s">
        <v>67</v>
      </c>
      <c r="C410" s="64" t="s">
        <v>65</v>
      </c>
      <c r="D410" s="309" t="s">
        <v>858</v>
      </c>
      <c r="E410" s="535">
        <f>0.4*0.75</f>
        <v>0.30000000000000004</v>
      </c>
      <c r="F410" s="77" t="s">
        <v>886</v>
      </c>
      <c r="G410" s="94" t="s">
        <v>78</v>
      </c>
      <c r="H410" s="64">
        <v>1</v>
      </c>
      <c r="I410" s="305"/>
      <c r="J410" s="309">
        <v>3</v>
      </c>
      <c r="K410" s="309">
        <v>3</v>
      </c>
      <c r="L410" s="309">
        <v>1</v>
      </c>
      <c r="M410" s="66">
        <v>2</v>
      </c>
      <c r="N410" s="534">
        <f t="shared" si="16"/>
        <v>0.58256442191643876</v>
      </c>
      <c r="O410" s="60" t="str">
        <f t="shared" si="17"/>
        <v/>
      </c>
    </row>
    <row r="411" spans="1:16" x14ac:dyDescent="0.2">
      <c r="A411" s="376" t="s">
        <v>44</v>
      </c>
      <c r="B411" s="372" t="s">
        <v>79</v>
      </c>
      <c r="C411" s="64" t="s">
        <v>65</v>
      </c>
      <c r="D411" s="309" t="s">
        <v>858</v>
      </c>
      <c r="E411" s="535">
        <f>0.4*0.25</f>
        <v>0.1</v>
      </c>
      <c r="F411" s="77" t="s">
        <v>886</v>
      </c>
      <c r="G411" s="94" t="s">
        <v>78</v>
      </c>
      <c r="H411" s="64">
        <v>1</v>
      </c>
      <c r="I411" s="305"/>
      <c r="J411" s="309">
        <v>3</v>
      </c>
      <c r="K411" s="309">
        <v>3</v>
      </c>
      <c r="L411" s="309">
        <v>1</v>
      </c>
      <c r="M411" s="66">
        <v>2</v>
      </c>
      <c r="N411" s="534">
        <f t="shared" si="16"/>
        <v>0.58256442191643876</v>
      </c>
      <c r="O411" s="60" t="str">
        <f t="shared" si="17"/>
        <v/>
      </c>
    </row>
    <row r="412" spans="1:16" x14ac:dyDescent="0.2">
      <c r="A412" s="56" t="s">
        <v>44</v>
      </c>
      <c r="B412" s="378" t="s">
        <v>46</v>
      </c>
      <c r="C412" s="64" t="s">
        <v>65</v>
      </c>
      <c r="D412" s="309" t="s">
        <v>858</v>
      </c>
      <c r="E412" s="535">
        <f>0.1*(0.296+0.008)</f>
        <v>3.04E-2</v>
      </c>
      <c r="F412" s="77" t="s">
        <v>886</v>
      </c>
      <c r="G412" s="94" t="s">
        <v>78</v>
      </c>
      <c r="H412" s="64">
        <v>1</v>
      </c>
      <c r="I412" s="305"/>
      <c r="J412" s="309">
        <v>3</v>
      </c>
      <c r="K412" s="309">
        <v>3</v>
      </c>
      <c r="L412" s="309">
        <v>1</v>
      </c>
      <c r="M412" s="66">
        <v>2</v>
      </c>
      <c r="N412" s="534">
        <f t="shared" si="16"/>
        <v>0.58256442191643876</v>
      </c>
      <c r="O412" s="60" t="str">
        <f t="shared" si="17"/>
        <v/>
      </c>
    </row>
    <row r="413" spans="1:16" x14ac:dyDescent="0.2">
      <c r="A413" s="376" t="s">
        <v>44</v>
      </c>
      <c r="B413" s="378" t="s">
        <v>47</v>
      </c>
      <c r="C413" s="64" t="s">
        <v>65</v>
      </c>
      <c r="D413" s="309" t="s">
        <v>858</v>
      </c>
      <c r="E413" s="535">
        <f>0.1*0.696</f>
        <v>6.9599999999999995E-2</v>
      </c>
      <c r="F413" s="77" t="s">
        <v>886</v>
      </c>
      <c r="G413" s="94" t="s">
        <v>78</v>
      </c>
      <c r="H413" s="64">
        <v>1</v>
      </c>
      <c r="I413" s="305"/>
      <c r="J413" s="309">
        <v>3</v>
      </c>
      <c r="K413" s="309">
        <v>3</v>
      </c>
      <c r="L413" s="309">
        <v>1</v>
      </c>
      <c r="M413" s="66">
        <v>2</v>
      </c>
      <c r="N413" s="534">
        <f t="shared" si="16"/>
        <v>0.58256442191643876</v>
      </c>
      <c r="O413" s="60" t="str">
        <f t="shared" si="17"/>
        <v/>
      </c>
    </row>
    <row r="414" spans="1:16" s="497" customFormat="1" ht="15" customHeight="1" x14ac:dyDescent="0.2">
      <c r="A414" s="54" t="s">
        <v>44</v>
      </c>
      <c r="B414" s="113" t="s">
        <v>53</v>
      </c>
      <c r="C414" s="67" t="s">
        <v>65</v>
      </c>
      <c r="D414" s="68" t="s">
        <v>864</v>
      </c>
      <c r="E414" s="539">
        <v>0</v>
      </c>
      <c r="F414" s="79" t="s">
        <v>103</v>
      </c>
      <c r="G414" s="95" t="s">
        <v>78</v>
      </c>
      <c r="H414" s="540"/>
      <c r="I414" s="61"/>
      <c r="J414" s="61"/>
      <c r="K414" s="61"/>
      <c r="L414" s="61"/>
      <c r="M414" s="30"/>
      <c r="N414" s="534" t="str">
        <f t="shared" si="16"/>
        <v/>
      </c>
      <c r="O414" s="60" t="str">
        <f t="shared" si="17"/>
        <v/>
      </c>
      <c r="P414" s="82"/>
    </row>
    <row r="415" spans="1:16" ht="15" customHeight="1" x14ac:dyDescent="0.2">
      <c r="A415" s="56" t="s">
        <v>44</v>
      </c>
      <c r="B415" s="372" t="s">
        <v>67</v>
      </c>
      <c r="C415" s="64" t="s">
        <v>65</v>
      </c>
      <c r="D415" s="309" t="s">
        <v>864</v>
      </c>
      <c r="E415" s="535">
        <f>0.8129+0.1645</f>
        <v>0.97739999999999994</v>
      </c>
      <c r="F415" s="77" t="s">
        <v>103</v>
      </c>
      <c r="G415" s="94" t="s">
        <v>78</v>
      </c>
      <c r="H415" s="533"/>
      <c r="I415" s="309">
        <v>1</v>
      </c>
      <c r="J415" s="309">
        <v>2</v>
      </c>
      <c r="K415" s="309">
        <v>3</v>
      </c>
      <c r="L415" s="309">
        <v>1</v>
      </c>
      <c r="M415" s="66">
        <v>1</v>
      </c>
      <c r="N415" s="534" t="str">
        <f t="shared" si="16"/>
        <v/>
      </c>
      <c r="O415" s="60">
        <f t="shared" si="17"/>
        <v>0.37356464144298934</v>
      </c>
    </row>
    <row r="416" spans="1:16" ht="15" customHeight="1" x14ac:dyDescent="0.2">
      <c r="A416" s="56" t="s">
        <v>44</v>
      </c>
      <c r="B416" s="372" t="s">
        <v>79</v>
      </c>
      <c r="C416" s="64" t="s">
        <v>65</v>
      </c>
      <c r="D416" s="309" t="s">
        <v>864</v>
      </c>
      <c r="E416" s="535">
        <v>3.8999999999999998E-3</v>
      </c>
      <c r="F416" s="77" t="s">
        <v>103</v>
      </c>
      <c r="G416" s="94" t="s">
        <v>78</v>
      </c>
      <c r="H416" s="533"/>
      <c r="I416" s="309">
        <v>1</v>
      </c>
      <c r="J416" s="309">
        <v>2</v>
      </c>
      <c r="K416" s="309">
        <v>3</v>
      </c>
      <c r="L416" s="309">
        <v>1</v>
      </c>
      <c r="M416" s="66">
        <v>1</v>
      </c>
      <c r="N416" s="534" t="str">
        <f t="shared" si="16"/>
        <v/>
      </c>
      <c r="O416" s="60">
        <f t="shared" si="17"/>
        <v>0.37356464144298934</v>
      </c>
    </row>
    <row r="417" spans="1:16" ht="15" customHeight="1" x14ac:dyDescent="0.2">
      <c r="A417" s="56" t="s">
        <v>44</v>
      </c>
      <c r="B417" s="372" t="s">
        <v>46</v>
      </c>
      <c r="C417" s="64" t="s">
        <v>65</v>
      </c>
      <c r="D417" s="309" t="s">
        <v>864</v>
      </c>
      <c r="E417" s="312">
        <v>0</v>
      </c>
      <c r="G417" s="94" t="s">
        <v>78</v>
      </c>
      <c r="H417" s="533"/>
      <c r="I417" s="305"/>
      <c r="J417" s="305"/>
      <c r="K417" s="305"/>
      <c r="L417" s="305"/>
      <c r="M417" s="85"/>
      <c r="N417" s="534" t="str">
        <f t="shared" si="16"/>
        <v/>
      </c>
      <c r="O417" s="60" t="str">
        <f t="shared" si="17"/>
        <v/>
      </c>
    </row>
    <row r="418" spans="1:16" s="505" customFormat="1" ht="15" customHeight="1" x14ac:dyDescent="0.2">
      <c r="A418" s="55" t="s">
        <v>44</v>
      </c>
      <c r="B418" s="20" t="s">
        <v>47</v>
      </c>
      <c r="C418" s="69" t="s">
        <v>65</v>
      </c>
      <c r="D418" s="70" t="s">
        <v>864</v>
      </c>
      <c r="E418" s="313">
        <v>1.8700000000000001E-2</v>
      </c>
      <c r="F418" s="78" t="s">
        <v>103</v>
      </c>
      <c r="G418" s="96" t="s">
        <v>78</v>
      </c>
      <c r="H418" s="549"/>
      <c r="I418" s="70">
        <v>1</v>
      </c>
      <c r="J418" s="70">
        <v>2</v>
      </c>
      <c r="K418" s="70">
        <v>3</v>
      </c>
      <c r="L418" s="70">
        <v>1</v>
      </c>
      <c r="M418" s="84">
        <v>1</v>
      </c>
      <c r="N418" s="534" t="str">
        <f t="shared" si="16"/>
        <v/>
      </c>
      <c r="O418" s="60">
        <f t="shared" si="17"/>
        <v>0.37356464144298934</v>
      </c>
      <c r="P418" s="81"/>
    </row>
    <row r="419" spans="1:16" s="497" customFormat="1" x14ac:dyDescent="0.2">
      <c r="A419" s="54" t="s">
        <v>855</v>
      </c>
      <c r="B419" s="590" t="s">
        <v>53</v>
      </c>
      <c r="C419" s="67" t="s">
        <v>65</v>
      </c>
      <c r="D419" s="68" t="s">
        <v>858</v>
      </c>
      <c r="E419" s="314">
        <f>(40+777)/(60+856)</f>
        <v>0.89192139737991272</v>
      </c>
      <c r="F419" s="79" t="s">
        <v>102</v>
      </c>
      <c r="G419" s="95" t="s">
        <v>78</v>
      </c>
      <c r="H419" s="67">
        <v>2</v>
      </c>
      <c r="I419" s="61"/>
      <c r="J419" s="68">
        <v>2</v>
      </c>
      <c r="K419" s="68">
        <v>3</v>
      </c>
      <c r="L419" s="68">
        <v>1</v>
      </c>
      <c r="M419" s="83">
        <v>2</v>
      </c>
      <c r="N419" s="534">
        <f t="shared" si="16"/>
        <v>0.50042652380814845</v>
      </c>
      <c r="O419" s="60" t="str">
        <f t="shared" si="17"/>
        <v/>
      </c>
      <c r="P419" s="82"/>
    </row>
    <row r="420" spans="1:16" x14ac:dyDescent="0.2">
      <c r="A420" s="56" t="s">
        <v>855</v>
      </c>
      <c r="B420" s="587" t="s">
        <v>46</v>
      </c>
      <c r="C420" s="64" t="s">
        <v>65</v>
      </c>
      <c r="D420" s="309" t="s">
        <v>858</v>
      </c>
      <c r="E420" s="535">
        <f>(2+2)/(856+60)</f>
        <v>4.3668122270742356E-3</v>
      </c>
      <c r="F420" s="77" t="s">
        <v>102</v>
      </c>
      <c r="G420" s="94" t="s">
        <v>78</v>
      </c>
      <c r="H420" s="64">
        <v>2</v>
      </c>
      <c r="I420" s="305"/>
      <c r="J420" s="309">
        <v>2</v>
      </c>
      <c r="K420" s="309">
        <v>3</v>
      </c>
      <c r="L420" s="309">
        <v>1</v>
      </c>
      <c r="M420" s="66">
        <v>2</v>
      </c>
      <c r="N420" s="534">
        <f t="shared" si="16"/>
        <v>0.50042652380814845</v>
      </c>
      <c r="O420" s="60" t="str">
        <f t="shared" si="17"/>
        <v/>
      </c>
    </row>
    <row r="421" spans="1:16" x14ac:dyDescent="0.2">
      <c r="A421" s="56" t="s">
        <v>855</v>
      </c>
      <c r="B421" s="587" t="s">
        <v>47</v>
      </c>
      <c r="C421" s="64" t="s">
        <v>65</v>
      </c>
      <c r="D421" s="309" t="s">
        <v>858</v>
      </c>
      <c r="E421" s="535">
        <f>(18+77)/(60+856)</f>
        <v>0.10371179039301311</v>
      </c>
      <c r="F421" s="77" t="s">
        <v>102</v>
      </c>
      <c r="G421" s="94" t="s">
        <v>78</v>
      </c>
      <c r="H421" s="64">
        <v>2</v>
      </c>
      <c r="I421" s="305"/>
      <c r="J421" s="309">
        <v>2</v>
      </c>
      <c r="K421" s="309">
        <v>3</v>
      </c>
      <c r="L421" s="309">
        <v>1</v>
      </c>
      <c r="M421" s="66">
        <v>2</v>
      </c>
      <c r="N421" s="534">
        <f t="shared" si="16"/>
        <v>0.50042652380814845</v>
      </c>
      <c r="O421" s="60" t="str">
        <f t="shared" si="17"/>
        <v/>
      </c>
    </row>
    <row r="422" spans="1:16" s="497" customFormat="1" ht="15" customHeight="1" x14ac:dyDescent="0.2">
      <c r="A422" s="54" t="s">
        <v>855</v>
      </c>
      <c r="B422" s="590" t="s">
        <v>53</v>
      </c>
      <c r="C422" s="67" t="s">
        <v>65</v>
      </c>
      <c r="D422" s="68" t="s">
        <v>864</v>
      </c>
      <c r="E422" s="314">
        <f>E419</f>
        <v>0.89192139737991272</v>
      </c>
      <c r="F422" s="79" t="s">
        <v>102</v>
      </c>
      <c r="G422" s="95" t="s">
        <v>78</v>
      </c>
      <c r="H422" s="540"/>
      <c r="I422" s="68">
        <v>2</v>
      </c>
      <c r="J422" s="68">
        <v>2</v>
      </c>
      <c r="K422" s="68">
        <v>3</v>
      </c>
      <c r="L422" s="68">
        <v>1</v>
      </c>
      <c r="M422" s="83">
        <v>2</v>
      </c>
      <c r="N422" s="534" t="str">
        <f t="shared" si="16"/>
        <v/>
      </c>
      <c r="O422" s="60">
        <f t="shared" si="17"/>
        <v>0.50042652380814845</v>
      </c>
      <c r="P422" s="82"/>
    </row>
    <row r="423" spans="1:16" ht="15" customHeight="1" x14ac:dyDescent="0.2">
      <c r="A423" s="56" t="s">
        <v>855</v>
      </c>
      <c r="B423" s="587" t="s">
        <v>46</v>
      </c>
      <c r="C423" s="64" t="s">
        <v>65</v>
      </c>
      <c r="D423" s="309" t="s">
        <v>864</v>
      </c>
      <c r="E423" s="312">
        <v>0</v>
      </c>
      <c r="G423" s="94" t="s">
        <v>78</v>
      </c>
      <c r="H423" s="533"/>
      <c r="I423" s="305"/>
      <c r="J423" s="305"/>
      <c r="K423" s="305"/>
      <c r="L423" s="305"/>
      <c r="M423" s="85"/>
      <c r="N423" s="534" t="str">
        <f t="shared" si="16"/>
        <v/>
      </c>
      <c r="O423" s="60" t="str">
        <f t="shared" si="17"/>
        <v/>
      </c>
    </row>
    <row r="424" spans="1:16" s="505" customFormat="1" ht="15" customHeight="1" x14ac:dyDescent="0.2">
      <c r="A424" s="55" t="s">
        <v>855</v>
      </c>
      <c r="B424" s="591" t="s">
        <v>47</v>
      </c>
      <c r="C424" s="69" t="s">
        <v>65</v>
      </c>
      <c r="D424" s="70" t="s">
        <v>864</v>
      </c>
      <c r="E424" s="313">
        <f>E420+E421</f>
        <v>0.10807860262008734</v>
      </c>
      <c r="F424" s="78" t="s">
        <v>102</v>
      </c>
      <c r="G424" s="96" t="s">
        <v>78</v>
      </c>
      <c r="H424" s="549"/>
      <c r="I424" s="70">
        <v>2</v>
      </c>
      <c r="J424" s="70">
        <v>2</v>
      </c>
      <c r="K424" s="70">
        <v>3</v>
      </c>
      <c r="L424" s="70">
        <v>1</v>
      </c>
      <c r="M424" s="84">
        <v>2</v>
      </c>
      <c r="N424" s="534" t="str">
        <f t="shared" si="16"/>
        <v/>
      </c>
      <c r="O424" s="60">
        <f t="shared" si="17"/>
        <v>0.50042652380814845</v>
      </c>
      <c r="P424" s="81"/>
    </row>
    <row r="425" spans="1:16" s="497" customFormat="1" x14ac:dyDescent="0.2">
      <c r="A425" s="5" t="s">
        <v>45</v>
      </c>
      <c r="B425" s="590" t="s">
        <v>53</v>
      </c>
      <c r="C425" s="67" t="s">
        <v>65</v>
      </c>
      <c r="D425" s="68" t="s">
        <v>65</v>
      </c>
      <c r="E425" s="539" t="s">
        <v>56</v>
      </c>
      <c r="F425" s="79"/>
      <c r="G425" s="95" t="s">
        <v>78</v>
      </c>
      <c r="H425" s="540"/>
      <c r="I425" s="61"/>
      <c r="J425" s="61"/>
      <c r="K425" s="61"/>
      <c r="L425" s="61"/>
      <c r="M425" s="30"/>
      <c r="N425" s="534" t="str">
        <f t="shared" si="16"/>
        <v/>
      </c>
      <c r="O425" s="60" t="str">
        <f t="shared" si="17"/>
        <v/>
      </c>
      <c r="P425" s="82"/>
    </row>
    <row r="426" spans="1:16" x14ac:dyDescent="0.2">
      <c r="A426" s="6" t="s">
        <v>45</v>
      </c>
      <c r="B426" s="587" t="s">
        <v>46</v>
      </c>
      <c r="C426" s="64" t="s">
        <v>65</v>
      </c>
      <c r="D426" s="309" t="s">
        <v>65</v>
      </c>
      <c r="E426" s="312">
        <v>0</v>
      </c>
      <c r="F426" s="77" t="s">
        <v>71</v>
      </c>
      <c r="G426" s="94" t="s">
        <v>78</v>
      </c>
      <c r="H426" s="533"/>
      <c r="I426" s="305"/>
      <c r="J426" s="305"/>
      <c r="K426" s="305"/>
      <c r="L426" s="305"/>
      <c r="M426" s="85"/>
      <c r="N426" s="534" t="str">
        <f t="shared" si="16"/>
        <v/>
      </c>
      <c r="O426" s="60" t="str">
        <f t="shared" si="17"/>
        <v/>
      </c>
    </row>
    <row r="427" spans="1:16" x14ac:dyDescent="0.2">
      <c r="A427" s="6" t="s">
        <v>45</v>
      </c>
      <c r="B427" s="587" t="s">
        <v>67</v>
      </c>
      <c r="C427" s="64" t="s">
        <v>65</v>
      </c>
      <c r="D427" s="309" t="s">
        <v>858</v>
      </c>
      <c r="E427" s="535">
        <v>0.46</v>
      </c>
      <c r="F427" s="77" t="s">
        <v>898</v>
      </c>
      <c r="G427" s="94" t="s">
        <v>78</v>
      </c>
      <c r="H427" s="64">
        <v>2</v>
      </c>
      <c r="I427" s="305"/>
      <c r="J427" s="309">
        <v>2</v>
      </c>
      <c r="K427" s="309">
        <v>3</v>
      </c>
      <c r="L427" s="309">
        <v>3</v>
      </c>
      <c r="M427" s="66">
        <v>2</v>
      </c>
      <c r="N427" s="534">
        <f t="shared" si="16"/>
        <v>0.60108474454521421</v>
      </c>
      <c r="O427" s="60" t="str">
        <f t="shared" si="17"/>
        <v/>
      </c>
      <c r="P427" s="343" t="s">
        <v>899</v>
      </c>
    </row>
    <row r="428" spans="1:16" ht="15" customHeight="1" x14ac:dyDescent="0.2">
      <c r="A428" s="6" t="s">
        <v>45</v>
      </c>
      <c r="B428" s="587" t="s">
        <v>67</v>
      </c>
      <c r="C428" s="543" t="s">
        <v>809</v>
      </c>
      <c r="D428" s="309" t="s">
        <v>864</v>
      </c>
      <c r="E428" s="535">
        <v>0.16159999999999999</v>
      </c>
      <c r="F428" s="77" t="s">
        <v>264</v>
      </c>
      <c r="G428" s="94" t="s">
        <v>78</v>
      </c>
      <c r="H428" s="533"/>
      <c r="I428" s="309">
        <v>1</v>
      </c>
      <c r="J428" s="309">
        <v>2</v>
      </c>
      <c r="K428" s="309">
        <v>3</v>
      </c>
      <c r="L428" s="309">
        <v>1</v>
      </c>
      <c r="M428" s="66">
        <v>1</v>
      </c>
      <c r="N428" s="534" t="str">
        <f t="shared" si="16"/>
        <v/>
      </c>
      <c r="O428" s="60">
        <f t="shared" si="17"/>
        <v>0.37356464144298934</v>
      </c>
    </row>
    <row r="429" spans="1:16" ht="15" customHeight="1" x14ac:dyDescent="0.2">
      <c r="A429" s="6" t="s">
        <v>45</v>
      </c>
      <c r="B429" s="587" t="s">
        <v>67</v>
      </c>
      <c r="C429" s="544" t="s">
        <v>810</v>
      </c>
      <c r="D429" s="309" t="s">
        <v>864</v>
      </c>
      <c r="E429" s="535">
        <v>0.16159999999999999</v>
      </c>
      <c r="F429" s="77" t="s">
        <v>264</v>
      </c>
      <c r="G429" s="94" t="s">
        <v>78</v>
      </c>
      <c r="H429" s="533"/>
      <c r="I429" s="309">
        <v>1</v>
      </c>
      <c r="J429" s="309">
        <v>2</v>
      </c>
      <c r="K429" s="309">
        <v>3</v>
      </c>
      <c r="L429" s="309">
        <v>1</v>
      </c>
      <c r="M429" s="66">
        <v>1</v>
      </c>
      <c r="N429" s="534" t="str">
        <f t="shared" si="16"/>
        <v/>
      </c>
      <c r="O429" s="60">
        <f t="shared" si="17"/>
        <v>0.37356464144298934</v>
      </c>
    </row>
    <row r="430" spans="1:16" ht="15" customHeight="1" x14ac:dyDescent="0.2">
      <c r="A430" s="6" t="s">
        <v>45</v>
      </c>
      <c r="B430" s="587" t="s">
        <v>67</v>
      </c>
      <c r="C430" s="545" t="s">
        <v>811</v>
      </c>
      <c r="D430" s="309" t="s">
        <v>864</v>
      </c>
      <c r="E430" s="535">
        <v>0.16159999999999999</v>
      </c>
      <c r="F430" s="77" t="s">
        <v>264</v>
      </c>
      <c r="G430" s="94" t="s">
        <v>78</v>
      </c>
      <c r="H430" s="533"/>
      <c r="I430" s="309">
        <v>1</v>
      </c>
      <c r="J430" s="309">
        <v>2</v>
      </c>
      <c r="K430" s="309">
        <v>3</v>
      </c>
      <c r="L430" s="309">
        <v>1</v>
      </c>
      <c r="M430" s="66">
        <v>1</v>
      </c>
      <c r="N430" s="534" t="str">
        <f t="shared" si="16"/>
        <v/>
      </c>
      <c r="O430" s="60">
        <f t="shared" si="17"/>
        <v>0.37356464144298934</v>
      </c>
    </row>
    <row r="431" spans="1:16" ht="15" customHeight="1" x14ac:dyDescent="0.2">
      <c r="A431" s="6" t="s">
        <v>45</v>
      </c>
      <c r="B431" s="587" t="s">
        <v>67</v>
      </c>
      <c r="C431" s="546" t="s">
        <v>812</v>
      </c>
      <c r="D431" s="309" t="s">
        <v>864</v>
      </c>
      <c r="E431" s="535">
        <v>0.16159999999999999</v>
      </c>
      <c r="F431" s="77" t="s">
        <v>264</v>
      </c>
      <c r="G431" s="94" t="s">
        <v>78</v>
      </c>
      <c r="H431" s="533"/>
      <c r="I431" s="309">
        <v>1</v>
      </c>
      <c r="J431" s="309">
        <v>2</v>
      </c>
      <c r="K431" s="309">
        <v>3</v>
      </c>
      <c r="L431" s="309">
        <v>1</v>
      </c>
      <c r="M431" s="66">
        <v>1</v>
      </c>
      <c r="N431" s="534" t="str">
        <f t="shared" si="16"/>
        <v/>
      </c>
      <c r="O431" s="60">
        <f t="shared" si="17"/>
        <v>0.37356464144298934</v>
      </c>
    </row>
    <row r="432" spans="1:16" ht="15" customHeight="1" x14ac:dyDescent="0.2">
      <c r="A432" s="6" t="s">
        <v>45</v>
      </c>
      <c r="B432" s="587" t="s">
        <v>67</v>
      </c>
      <c r="C432" s="547" t="s">
        <v>813</v>
      </c>
      <c r="D432" s="309" t="s">
        <v>864</v>
      </c>
      <c r="E432" s="535">
        <v>0.16159999999999999</v>
      </c>
      <c r="F432" s="77" t="s">
        <v>264</v>
      </c>
      <c r="G432" s="94" t="s">
        <v>78</v>
      </c>
      <c r="H432" s="533"/>
      <c r="I432" s="309">
        <v>1</v>
      </c>
      <c r="J432" s="309">
        <v>2</v>
      </c>
      <c r="K432" s="309">
        <v>3</v>
      </c>
      <c r="L432" s="309">
        <v>1</v>
      </c>
      <c r="M432" s="66">
        <v>1</v>
      </c>
      <c r="N432" s="534" t="str">
        <f t="shared" si="16"/>
        <v/>
      </c>
      <c r="O432" s="60">
        <f t="shared" si="17"/>
        <v>0.37356464144298934</v>
      </c>
    </row>
    <row r="433" spans="1:16" x14ac:dyDescent="0.2">
      <c r="A433" s="6" t="s">
        <v>45</v>
      </c>
      <c r="B433" s="587" t="s">
        <v>47</v>
      </c>
      <c r="C433" s="543" t="s">
        <v>809</v>
      </c>
      <c r="D433" s="309" t="s">
        <v>65</v>
      </c>
      <c r="E433" s="535">
        <v>7.5999999999999998E-2</v>
      </c>
      <c r="F433" s="77" t="s">
        <v>105</v>
      </c>
      <c r="G433" s="94" t="s">
        <v>78</v>
      </c>
      <c r="H433" s="64">
        <v>2</v>
      </c>
      <c r="I433" s="309">
        <v>2</v>
      </c>
      <c r="J433" s="309">
        <v>3</v>
      </c>
      <c r="K433" s="309">
        <v>3</v>
      </c>
      <c r="L433" s="309">
        <v>1</v>
      </c>
      <c r="M433" s="66">
        <v>2</v>
      </c>
      <c r="N433" s="534">
        <f t="shared" si="16"/>
        <v>0.59189702474662764</v>
      </c>
      <c r="O433" s="60">
        <f t="shared" si="17"/>
        <v>0.59189702474662764</v>
      </c>
    </row>
    <row r="434" spans="1:16" x14ac:dyDescent="0.2">
      <c r="A434" s="6" t="s">
        <v>45</v>
      </c>
      <c r="B434" s="587" t="s">
        <v>47</v>
      </c>
      <c r="C434" s="544" t="s">
        <v>810</v>
      </c>
      <c r="D434" s="309" t="s">
        <v>65</v>
      </c>
      <c r="E434" s="535">
        <v>7.5999999999999998E-2</v>
      </c>
      <c r="F434" s="77" t="s">
        <v>105</v>
      </c>
      <c r="G434" s="94" t="s">
        <v>78</v>
      </c>
      <c r="H434" s="64">
        <v>2</v>
      </c>
      <c r="I434" s="309">
        <v>2</v>
      </c>
      <c r="J434" s="309">
        <v>3</v>
      </c>
      <c r="K434" s="309">
        <v>3</v>
      </c>
      <c r="L434" s="309">
        <v>1</v>
      </c>
      <c r="M434" s="66">
        <v>2</v>
      </c>
      <c r="N434" s="534">
        <f t="shared" si="16"/>
        <v>0.59189702474662764</v>
      </c>
      <c r="O434" s="60">
        <f t="shared" si="17"/>
        <v>0.59189702474662764</v>
      </c>
    </row>
    <row r="435" spans="1:16" x14ac:dyDescent="0.2">
      <c r="A435" s="6" t="s">
        <v>45</v>
      </c>
      <c r="B435" s="587" t="s">
        <v>47</v>
      </c>
      <c r="C435" s="545" t="s">
        <v>811</v>
      </c>
      <c r="D435" s="309" t="s">
        <v>65</v>
      </c>
      <c r="E435" s="535">
        <v>7.5999999999999998E-2</v>
      </c>
      <c r="F435" s="77" t="s">
        <v>105</v>
      </c>
      <c r="G435" s="94" t="s">
        <v>78</v>
      </c>
      <c r="H435" s="64">
        <v>2</v>
      </c>
      <c r="I435" s="309">
        <v>2</v>
      </c>
      <c r="J435" s="309">
        <v>3</v>
      </c>
      <c r="K435" s="309">
        <v>3</v>
      </c>
      <c r="L435" s="309">
        <v>1</v>
      </c>
      <c r="M435" s="66">
        <v>2</v>
      </c>
      <c r="N435" s="534">
        <f t="shared" si="16"/>
        <v>0.59189702474662764</v>
      </c>
      <c r="O435" s="60">
        <f t="shared" si="17"/>
        <v>0.59189702474662764</v>
      </c>
    </row>
    <row r="436" spans="1:16" x14ac:dyDescent="0.2">
      <c r="A436" s="6" t="s">
        <v>45</v>
      </c>
      <c r="B436" s="587" t="s">
        <v>47</v>
      </c>
      <c r="C436" s="546" t="s">
        <v>812</v>
      </c>
      <c r="D436" s="309" t="s">
        <v>65</v>
      </c>
      <c r="E436" s="535">
        <v>7.5999999999999998E-2</v>
      </c>
      <c r="F436" s="77" t="s">
        <v>105</v>
      </c>
      <c r="G436" s="94" t="s">
        <v>78</v>
      </c>
      <c r="H436" s="64">
        <v>2</v>
      </c>
      <c r="I436" s="309">
        <v>2</v>
      </c>
      <c r="J436" s="309">
        <v>3</v>
      </c>
      <c r="K436" s="309">
        <v>3</v>
      </c>
      <c r="L436" s="309">
        <v>1</v>
      </c>
      <c r="M436" s="66">
        <v>2</v>
      </c>
      <c r="N436" s="534">
        <f t="shared" si="16"/>
        <v>0.59189702474662764</v>
      </c>
      <c r="O436" s="60">
        <f t="shared" si="17"/>
        <v>0.59189702474662764</v>
      </c>
    </row>
    <row r="437" spans="1:16" s="505" customFormat="1" x14ac:dyDescent="0.2">
      <c r="A437" s="7" t="s">
        <v>45</v>
      </c>
      <c r="B437" s="591" t="s">
        <v>47</v>
      </c>
      <c r="C437" s="547" t="s">
        <v>813</v>
      </c>
      <c r="D437" s="70" t="s">
        <v>65</v>
      </c>
      <c r="E437" s="535">
        <v>7.5999999999999998E-2</v>
      </c>
      <c r="F437" s="77" t="s">
        <v>105</v>
      </c>
      <c r="G437" s="96" t="s">
        <v>78</v>
      </c>
      <c r="H437" s="69">
        <v>2</v>
      </c>
      <c r="I437" s="70">
        <v>1</v>
      </c>
      <c r="J437" s="70">
        <v>3</v>
      </c>
      <c r="K437" s="70">
        <v>1</v>
      </c>
      <c r="L437" s="70">
        <v>1</v>
      </c>
      <c r="M437" s="84">
        <v>2</v>
      </c>
      <c r="N437" s="534">
        <f t="shared" si="16"/>
        <v>0.48935255543384243</v>
      </c>
      <c r="O437" s="60">
        <f t="shared" si="17"/>
        <v>0.47802211380704585</v>
      </c>
      <c r="P437" s="81"/>
    </row>
    <row r="438" spans="1:16" s="497" customFormat="1" x14ac:dyDescent="0.2">
      <c r="A438" s="5" t="s">
        <v>48</v>
      </c>
      <c r="B438" s="590" t="s">
        <v>47</v>
      </c>
      <c r="C438" s="67" t="s">
        <v>65</v>
      </c>
      <c r="D438" s="68" t="s">
        <v>858</v>
      </c>
      <c r="E438" s="314">
        <v>0.1</v>
      </c>
      <c r="F438" s="77" t="s">
        <v>71</v>
      </c>
      <c r="G438" s="95" t="s">
        <v>78</v>
      </c>
      <c r="H438" s="67">
        <v>2</v>
      </c>
      <c r="I438" s="61"/>
      <c r="J438" s="68">
        <v>2</v>
      </c>
      <c r="K438" s="68">
        <v>3</v>
      </c>
      <c r="L438" s="68">
        <v>1</v>
      </c>
      <c r="M438" s="83">
        <v>1</v>
      </c>
      <c r="N438" s="534">
        <f t="shared" si="16"/>
        <v>0.38795788889711302</v>
      </c>
      <c r="O438" s="60" t="str">
        <f t="shared" si="17"/>
        <v/>
      </c>
      <c r="P438" s="82" t="s">
        <v>900</v>
      </c>
    </row>
    <row r="439" spans="1:16" x14ac:dyDescent="0.2">
      <c r="A439" s="6" t="s">
        <v>48</v>
      </c>
      <c r="B439" s="587" t="s">
        <v>46</v>
      </c>
      <c r="C439" s="64" t="s">
        <v>65</v>
      </c>
      <c r="D439" s="309" t="s">
        <v>858</v>
      </c>
      <c r="E439" s="535">
        <v>0</v>
      </c>
      <c r="F439" s="77" t="s">
        <v>71</v>
      </c>
      <c r="G439" s="94" t="s">
        <v>78</v>
      </c>
      <c r="H439" s="533"/>
      <c r="I439" s="305"/>
      <c r="J439" s="305"/>
      <c r="K439" s="305"/>
      <c r="L439" s="305"/>
      <c r="M439" s="85"/>
      <c r="N439" s="534" t="str">
        <f t="shared" si="16"/>
        <v/>
      </c>
      <c r="O439" s="60" t="str">
        <f t="shared" si="17"/>
        <v/>
      </c>
    </row>
    <row r="440" spans="1:16" x14ac:dyDescent="0.2">
      <c r="A440" s="6" t="s">
        <v>48</v>
      </c>
      <c r="B440" s="587" t="s">
        <v>53</v>
      </c>
      <c r="C440" s="64" t="s">
        <v>65</v>
      </c>
      <c r="D440" s="309" t="s">
        <v>858</v>
      </c>
      <c r="E440" s="312" t="s">
        <v>56</v>
      </c>
      <c r="G440" s="589" t="s">
        <v>78</v>
      </c>
      <c r="H440" s="533"/>
      <c r="I440" s="305"/>
      <c r="J440" s="305"/>
      <c r="K440" s="305"/>
      <c r="L440" s="305"/>
      <c r="M440" s="85"/>
      <c r="N440" s="534" t="str">
        <f t="shared" si="16"/>
        <v/>
      </c>
      <c r="O440" s="60" t="str">
        <f t="shared" si="17"/>
        <v/>
      </c>
    </row>
    <row r="441" spans="1:16" s="497" customFormat="1" x14ac:dyDescent="0.2">
      <c r="A441" s="5" t="s">
        <v>48</v>
      </c>
      <c r="B441" s="590" t="s">
        <v>47</v>
      </c>
      <c r="C441" s="67" t="s">
        <v>65</v>
      </c>
      <c r="D441" s="68" t="s">
        <v>864</v>
      </c>
      <c r="E441" s="314">
        <v>0.1</v>
      </c>
      <c r="F441" s="79" t="s">
        <v>83</v>
      </c>
      <c r="G441" s="95" t="s">
        <v>78</v>
      </c>
      <c r="H441" s="540"/>
      <c r="I441" s="68">
        <v>2</v>
      </c>
      <c r="J441" s="68">
        <v>2</v>
      </c>
      <c r="K441" s="68">
        <v>3</v>
      </c>
      <c r="L441" s="68">
        <v>1</v>
      </c>
      <c r="M441" s="83">
        <v>1</v>
      </c>
      <c r="N441" s="534" t="str">
        <f t="shared" si="16"/>
        <v/>
      </c>
      <c r="O441" s="60">
        <f t="shared" si="17"/>
        <v>0.38795788889711302</v>
      </c>
      <c r="P441" s="82" t="s">
        <v>900</v>
      </c>
    </row>
    <row r="442" spans="1:16" x14ac:dyDescent="0.2">
      <c r="A442" s="6" t="s">
        <v>48</v>
      </c>
      <c r="B442" s="587" t="s">
        <v>46</v>
      </c>
      <c r="C442" s="64" t="s">
        <v>65</v>
      </c>
      <c r="D442" s="309" t="s">
        <v>864</v>
      </c>
      <c r="E442" s="312">
        <v>0</v>
      </c>
      <c r="G442" s="94" t="s">
        <v>78</v>
      </c>
      <c r="H442" s="533"/>
      <c r="I442" s="305"/>
      <c r="J442" s="305"/>
      <c r="K442" s="305"/>
      <c r="L442" s="305"/>
      <c r="M442" s="85"/>
      <c r="N442" s="534" t="str">
        <f t="shared" si="16"/>
        <v/>
      </c>
      <c r="O442" s="60" t="str">
        <f t="shared" si="17"/>
        <v/>
      </c>
    </row>
    <row r="443" spans="1:16" s="505" customFormat="1" x14ac:dyDescent="0.2">
      <c r="A443" s="7" t="s">
        <v>48</v>
      </c>
      <c r="B443" s="591" t="s">
        <v>53</v>
      </c>
      <c r="C443" s="69" t="s">
        <v>65</v>
      </c>
      <c r="D443" s="70" t="s">
        <v>864</v>
      </c>
      <c r="E443" s="548" t="s">
        <v>56</v>
      </c>
      <c r="F443" s="78"/>
      <c r="G443" s="592" t="s">
        <v>78</v>
      </c>
      <c r="H443" s="549"/>
      <c r="I443" s="75"/>
      <c r="J443" s="75"/>
      <c r="K443" s="75"/>
      <c r="L443" s="75"/>
      <c r="M443" s="29"/>
      <c r="N443" s="534" t="str">
        <f t="shared" si="16"/>
        <v/>
      </c>
      <c r="O443" s="60" t="str">
        <f t="shared" si="17"/>
        <v/>
      </c>
      <c r="P443" s="81"/>
    </row>
    <row r="444" spans="1:16" s="497" customFormat="1" x14ac:dyDescent="0.2">
      <c r="A444" s="5" t="s">
        <v>49</v>
      </c>
      <c r="B444" s="590" t="s">
        <v>53</v>
      </c>
      <c r="C444" s="67" t="s">
        <v>65</v>
      </c>
      <c r="D444" s="68" t="s">
        <v>858</v>
      </c>
      <c r="E444" s="314"/>
      <c r="F444" s="79" t="s">
        <v>73</v>
      </c>
      <c r="G444" s="95" t="s">
        <v>78</v>
      </c>
      <c r="H444" s="67">
        <v>2</v>
      </c>
      <c r="I444" s="61"/>
      <c r="J444" s="68">
        <v>2</v>
      </c>
      <c r="K444" s="68">
        <v>3</v>
      </c>
      <c r="L444" s="68">
        <v>1</v>
      </c>
      <c r="M444" s="83">
        <v>2</v>
      </c>
      <c r="N444" s="534">
        <f t="shared" si="16"/>
        <v>0.50042652380814845</v>
      </c>
      <c r="O444" s="60" t="str">
        <f t="shared" si="17"/>
        <v/>
      </c>
      <c r="P444" s="82"/>
    </row>
    <row r="445" spans="1:16" x14ac:dyDescent="0.2">
      <c r="A445" s="6" t="s">
        <v>49</v>
      </c>
      <c r="B445" s="587" t="s">
        <v>55</v>
      </c>
      <c r="C445" s="64" t="s">
        <v>65</v>
      </c>
      <c r="D445" s="309" t="s">
        <v>858</v>
      </c>
      <c r="E445" s="535">
        <v>8.5400000000000004E-2</v>
      </c>
      <c r="F445" s="77" t="s">
        <v>73</v>
      </c>
      <c r="G445" s="94" t="s">
        <v>78</v>
      </c>
      <c r="H445" s="64">
        <v>2</v>
      </c>
      <c r="I445" s="305"/>
      <c r="J445" s="309">
        <v>2</v>
      </c>
      <c r="K445" s="309">
        <v>3</v>
      </c>
      <c r="L445" s="309">
        <v>1</v>
      </c>
      <c r="M445" s="66">
        <v>2</v>
      </c>
      <c r="N445" s="534">
        <f t="shared" si="16"/>
        <v>0.50042652380814845</v>
      </c>
      <c r="O445" s="60" t="str">
        <f t="shared" si="17"/>
        <v/>
      </c>
    </row>
    <row r="446" spans="1:16" x14ac:dyDescent="0.2">
      <c r="A446" s="6" t="s">
        <v>49</v>
      </c>
      <c r="B446" s="587" t="s">
        <v>46</v>
      </c>
      <c r="C446" s="64" t="s">
        <v>65</v>
      </c>
      <c r="D446" s="309" t="s">
        <v>858</v>
      </c>
      <c r="E446" s="535">
        <v>0.14929999999999999</v>
      </c>
      <c r="F446" s="77" t="s">
        <v>73</v>
      </c>
      <c r="G446" s="94" t="s">
        <v>78</v>
      </c>
      <c r="H446" s="64">
        <v>2</v>
      </c>
      <c r="I446" s="305"/>
      <c r="J446" s="309">
        <v>2</v>
      </c>
      <c r="K446" s="309">
        <v>3</v>
      </c>
      <c r="L446" s="309">
        <v>1</v>
      </c>
      <c r="M446" s="66">
        <v>2</v>
      </c>
      <c r="N446" s="534">
        <f t="shared" si="16"/>
        <v>0.50042652380814845</v>
      </c>
      <c r="O446" s="60" t="str">
        <f t="shared" si="17"/>
        <v/>
      </c>
    </row>
    <row r="447" spans="1:16" x14ac:dyDescent="0.2">
      <c r="A447" s="6" t="s">
        <v>49</v>
      </c>
      <c r="B447" s="587" t="s">
        <v>47</v>
      </c>
      <c r="C447" s="64" t="s">
        <v>65</v>
      </c>
      <c r="D447" s="309" t="s">
        <v>858</v>
      </c>
      <c r="E447" s="535">
        <v>4.2200000000000001E-2</v>
      </c>
      <c r="F447" s="77" t="s">
        <v>73</v>
      </c>
      <c r="G447" s="94" t="s">
        <v>78</v>
      </c>
      <c r="H447" s="64">
        <v>2</v>
      </c>
      <c r="I447" s="305"/>
      <c r="J447" s="309">
        <v>2</v>
      </c>
      <c r="K447" s="309">
        <v>3</v>
      </c>
      <c r="L447" s="309">
        <v>1</v>
      </c>
      <c r="M447" s="66">
        <v>2</v>
      </c>
      <c r="N447" s="534">
        <f t="shared" si="16"/>
        <v>0.50042652380814845</v>
      </c>
      <c r="O447" s="60" t="str">
        <f t="shared" si="17"/>
        <v/>
      </c>
    </row>
    <row r="448" spans="1:16" s="497" customFormat="1" x14ac:dyDescent="0.2">
      <c r="A448" s="5" t="s">
        <v>49</v>
      </c>
      <c r="B448" s="590" t="s">
        <v>53</v>
      </c>
      <c r="C448" s="67" t="s">
        <v>65</v>
      </c>
      <c r="D448" s="68" t="s">
        <v>864</v>
      </c>
      <c r="E448" s="314">
        <f>E444</f>
        <v>0</v>
      </c>
      <c r="F448" s="79" t="s">
        <v>73</v>
      </c>
      <c r="G448" s="95" t="s">
        <v>78</v>
      </c>
      <c r="H448" s="540"/>
      <c r="I448" s="68">
        <v>2</v>
      </c>
      <c r="J448" s="68">
        <v>2</v>
      </c>
      <c r="K448" s="68">
        <v>3</v>
      </c>
      <c r="L448" s="68">
        <v>1</v>
      </c>
      <c r="M448" s="83">
        <v>2</v>
      </c>
      <c r="N448" s="534" t="str">
        <f t="shared" si="16"/>
        <v/>
      </c>
      <c r="O448" s="60">
        <f t="shared" si="17"/>
        <v>0.50042652380814845</v>
      </c>
      <c r="P448" s="82"/>
    </row>
    <row r="449" spans="1:16" x14ac:dyDescent="0.2">
      <c r="A449" s="6" t="s">
        <v>49</v>
      </c>
      <c r="B449" s="587" t="s">
        <v>55</v>
      </c>
      <c r="C449" s="64" t="s">
        <v>65</v>
      </c>
      <c r="D449" s="309" t="s">
        <v>864</v>
      </c>
      <c r="E449" s="535">
        <f>E445</f>
        <v>8.5400000000000004E-2</v>
      </c>
      <c r="F449" s="77" t="s">
        <v>73</v>
      </c>
      <c r="G449" s="94" t="s">
        <v>78</v>
      </c>
      <c r="H449" s="533"/>
      <c r="I449" s="309">
        <v>2</v>
      </c>
      <c r="J449" s="309">
        <v>2</v>
      </c>
      <c r="K449" s="309">
        <v>3</v>
      </c>
      <c r="L449" s="309">
        <v>1</v>
      </c>
      <c r="M449" s="66">
        <v>2</v>
      </c>
      <c r="N449" s="534" t="str">
        <f t="shared" si="16"/>
        <v/>
      </c>
      <c r="O449" s="60">
        <f t="shared" si="17"/>
        <v>0.50042652380814845</v>
      </c>
    </row>
    <row r="450" spans="1:16" x14ac:dyDescent="0.2">
      <c r="A450" s="6" t="s">
        <v>49</v>
      </c>
      <c r="B450" s="587" t="s">
        <v>46</v>
      </c>
      <c r="C450" s="64" t="s">
        <v>65</v>
      </c>
      <c r="D450" s="309" t="s">
        <v>864</v>
      </c>
      <c r="E450" s="312">
        <v>0</v>
      </c>
      <c r="G450" s="94" t="s">
        <v>78</v>
      </c>
      <c r="H450" s="533"/>
      <c r="I450" s="305"/>
      <c r="J450" s="305"/>
      <c r="K450" s="305"/>
      <c r="L450" s="305"/>
      <c r="M450" s="85"/>
      <c r="N450" s="534" t="str">
        <f t="shared" si="16"/>
        <v/>
      </c>
      <c r="O450" s="60" t="str">
        <f t="shared" si="17"/>
        <v/>
      </c>
    </row>
    <row r="451" spans="1:16" s="505" customFormat="1" x14ac:dyDescent="0.2">
      <c r="A451" s="7" t="s">
        <v>49</v>
      </c>
      <c r="B451" s="591" t="s">
        <v>47</v>
      </c>
      <c r="C451" s="69" t="s">
        <v>65</v>
      </c>
      <c r="D451" s="70" t="s">
        <v>864</v>
      </c>
      <c r="E451" s="548" t="s">
        <v>56</v>
      </c>
      <c r="F451" s="78"/>
      <c r="G451" s="96" t="s">
        <v>78</v>
      </c>
      <c r="H451" s="549"/>
      <c r="I451" s="75"/>
      <c r="J451" s="75"/>
      <c r="K451" s="75"/>
      <c r="L451" s="75"/>
      <c r="M451" s="29"/>
      <c r="N451" s="534" t="str">
        <f t="shared" ref="N451:N470" si="18">IF( OR( ISBLANK(H451),ISBLANK(J451), ISBLANK(K451), ISBLANK(L451), ISBLANK(M451) ), "", 1.5*SQRT(   EXP(2.21*(H451-1)) + EXP(2.21*(J451-1)) + EXP(2.21*(K451-1)) + EXP(2.21*(L451-1)) + EXP(2.21*M451)   )/100*2.45 )</f>
        <v/>
      </c>
      <c r="O451" s="60" t="str">
        <f t="shared" ref="O451:O470" si="19">IF( OR( ISBLANK(I451),ISBLANK(J451), ISBLANK(K451), ISBLANK(L451), ISBLANK(M451) ), "", 1.5*SQRT(   EXP(2.21*(I451-1)) + EXP(2.21*(J451-1)) + EXP(2.21*(K451-1)) + EXP(2.21*(L451-1)) + EXP(2.21*M451)   )/100*2.45 )</f>
        <v/>
      </c>
      <c r="P451" s="81"/>
    </row>
    <row r="452" spans="1:16" s="497" customFormat="1" x14ac:dyDescent="0.2">
      <c r="A452" s="5" t="s">
        <v>50</v>
      </c>
      <c r="B452" s="590" t="s">
        <v>53</v>
      </c>
      <c r="C452" s="67" t="s">
        <v>65</v>
      </c>
      <c r="D452" s="68" t="s">
        <v>858</v>
      </c>
      <c r="E452" s="314">
        <v>0.1754</v>
      </c>
      <c r="F452" s="79" t="s">
        <v>73</v>
      </c>
      <c r="G452" s="95" t="s">
        <v>78</v>
      </c>
      <c r="H452" s="67">
        <v>2</v>
      </c>
      <c r="I452" s="61"/>
      <c r="J452" s="68">
        <v>2</v>
      </c>
      <c r="K452" s="68">
        <v>3</v>
      </c>
      <c r="L452" s="68">
        <v>1</v>
      </c>
      <c r="M452" s="83">
        <v>2</v>
      </c>
      <c r="N452" s="534">
        <f t="shared" si="18"/>
        <v>0.50042652380814845</v>
      </c>
      <c r="O452" s="60" t="str">
        <f t="shared" si="19"/>
        <v/>
      </c>
      <c r="P452" s="82"/>
    </row>
    <row r="453" spans="1:16" x14ac:dyDescent="0.2">
      <c r="A453" s="6" t="s">
        <v>50</v>
      </c>
      <c r="B453" s="587" t="s">
        <v>46</v>
      </c>
      <c r="C453" s="64" t="s">
        <v>65</v>
      </c>
      <c r="D453" s="309" t="s">
        <v>858</v>
      </c>
      <c r="E453" s="535">
        <v>0.56340000000000001</v>
      </c>
      <c r="F453" s="77" t="s">
        <v>73</v>
      </c>
      <c r="G453" s="94" t="s">
        <v>78</v>
      </c>
      <c r="H453" s="64">
        <v>2</v>
      </c>
      <c r="I453" s="305"/>
      <c r="J453" s="309">
        <v>2</v>
      </c>
      <c r="K453" s="309">
        <v>3</v>
      </c>
      <c r="L453" s="309">
        <v>1</v>
      </c>
      <c r="M453" s="66">
        <v>2</v>
      </c>
      <c r="N453" s="534">
        <f t="shared" si="18"/>
        <v>0.50042652380814845</v>
      </c>
      <c r="O453" s="60" t="str">
        <f t="shared" si="19"/>
        <v/>
      </c>
    </row>
    <row r="454" spans="1:16" x14ac:dyDescent="0.2">
      <c r="A454" s="6" t="s">
        <v>50</v>
      </c>
      <c r="B454" s="587" t="s">
        <v>47</v>
      </c>
      <c r="C454" s="64" t="s">
        <v>65</v>
      </c>
      <c r="D454" s="309" t="s">
        <v>858</v>
      </c>
      <c r="E454" s="535">
        <v>0.26129999999999998</v>
      </c>
      <c r="F454" s="77" t="s">
        <v>73</v>
      </c>
      <c r="G454" s="94" t="s">
        <v>78</v>
      </c>
      <c r="H454" s="64">
        <v>2</v>
      </c>
      <c r="I454" s="305"/>
      <c r="J454" s="309">
        <v>2</v>
      </c>
      <c r="K454" s="309">
        <v>3</v>
      </c>
      <c r="L454" s="309">
        <v>1</v>
      </c>
      <c r="M454" s="66">
        <v>2</v>
      </c>
      <c r="N454" s="534">
        <f t="shared" si="18"/>
        <v>0.50042652380814845</v>
      </c>
      <c r="O454" s="60" t="str">
        <f t="shared" si="19"/>
        <v/>
      </c>
    </row>
    <row r="455" spans="1:16" s="497" customFormat="1" x14ac:dyDescent="0.2">
      <c r="A455" s="5" t="s">
        <v>50</v>
      </c>
      <c r="B455" s="590" t="s">
        <v>53</v>
      </c>
      <c r="C455" s="67" t="s">
        <v>65</v>
      </c>
      <c r="D455" s="68" t="s">
        <v>864</v>
      </c>
      <c r="E455" s="539">
        <v>0</v>
      </c>
      <c r="F455" s="79" t="s">
        <v>77</v>
      </c>
      <c r="G455" s="95" t="s">
        <v>78</v>
      </c>
      <c r="H455" s="540"/>
      <c r="I455" s="61"/>
      <c r="J455" s="61"/>
      <c r="K455" s="61"/>
      <c r="L455" s="61"/>
      <c r="M455" s="30"/>
      <c r="N455" s="534" t="str">
        <f t="shared" si="18"/>
        <v/>
      </c>
      <c r="O455" s="60" t="str">
        <f t="shared" si="19"/>
        <v/>
      </c>
      <c r="P455" s="82"/>
    </row>
    <row r="456" spans="1:16" x14ac:dyDescent="0.2">
      <c r="A456" s="6" t="s">
        <v>50</v>
      </c>
      <c r="B456" s="587" t="s">
        <v>46</v>
      </c>
      <c r="C456" s="64" t="s">
        <v>65</v>
      </c>
      <c r="D456" s="309" t="s">
        <v>864</v>
      </c>
      <c r="E456" s="312">
        <v>0</v>
      </c>
      <c r="G456" s="94" t="s">
        <v>78</v>
      </c>
      <c r="H456" s="533"/>
      <c r="I456" s="305"/>
      <c r="J456" s="305"/>
      <c r="K456" s="305"/>
      <c r="L456" s="305"/>
      <c r="M456" s="85"/>
      <c r="N456" s="534" t="str">
        <f t="shared" si="18"/>
        <v/>
      </c>
      <c r="O456" s="60" t="str">
        <f t="shared" si="19"/>
        <v/>
      </c>
    </row>
    <row r="457" spans="1:16" s="505" customFormat="1" x14ac:dyDescent="0.2">
      <c r="A457" s="7" t="s">
        <v>50</v>
      </c>
      <c r="B457" s="591" t="s">
        <v>47</v>
      </c>
      <c r="C457" s="69" t="s">
        <v>65</v>
      </c>
      <c r="D457" s="70" t="s">
        <v>864</v>
      </c>
      <c r="E457" s="548">
        <v>1</v>
      </c>
      <c r="F457" s="78" t="s">
        <v>77</v>
      </c>
      <c r="G457" s="96" t="s">
        <v>78</v>
      </c>
      <c r="H457" s="549"/>
      <c r="I457" s="75"/>
      <c r="J457" s="75"/>
      <c r="K457" s="75"/>
      <c r="L457" s="75"/>
      <c r="M457" s="29"/>
      <c r="N457" s="534" t="str">
        <f t="shared" si="18"/>
        <v/>
      </c>
      <c r="O457" s="60" t="str">
        <f t="shared" si="19"/>
        <v/>
      </c>
      <c r="P457" s="81"/>
    </row>
    <row r="458" spans="1:16" s="497" customFormat="1" x14ac:dyDescent="0.2">
      <c r="A458" s="5" t="s">
        <v>51</v>
      </c>
      <c r="B458" s="590" t="s">
        <v>53</v>
      </c>
      <c r="C458" s="67" t="s">
        <v>65</v>
      </c>
      <c r="D458" s="68" t="s">
        <v>858</v>
      </c>
      <c r="E458" s="314">
        <v>0.51</v>
      </c>
      <c r="F458" s="79" t="s">
        <v>80</v>
      </c>
      <c r="G458" s="95" t="s">
        <v>78</v>
      </c>
      <c r="H458" s="67">
        <v>3</v>
      </c>
      <c r="I458" s="61"/>
      <c r="J458" s="68">
        <v>2</v>
      </c>
      <c r="K458" s="68">
        <v>3</v>
      </c>
      <c r="L458" s="68">
        <v>1</v>
      </c>
      <c r="M458" s="83">
        <v>3</v>
      </c>
      <c r="N458" s="534">
        <f t="shared" si="18"/>
        <v>1.123005955058592</v>
      </c>
      <c r="O458" s="60" t="str">
        <f t="shared" si="19"/>
        <v/>
      </c>
      <c r="P458" s="82"/>
    </row>
    <row r="459" spans="1:16" x14ac:dyDescent="0.2">
      <c r="A459" s="6" t="s">
        <v>51</v>
      </c>
      <c r="B459" s="587" t="s">
        <v>46</v>
      </c>
      <c r="C459" s="64" t="s">
        <v>65</v>
      </c>
      <c r="D459" s="309" t="s">
        <v>858</v>
      </c>
      <c r="E459" s="312">
        <v>0</v>
      </c>
      <c r="G459" s="94" t="s">
        <v>78</v>
      </c>
      <c r="H459" s="533"/>
      <c r="I459" s="305"/>
      <c r="J459" s="305"/>
      <c r="K459" s="305"/>
      <c r="L459" s="305"/>
      <c r="M459" s="85"/>
      <c r="N459" s="534" t="str">
        <f t="shared" si="18"/>
        <v/>
      </c>
      <c r="O459" s="60" t="str">
        <f t="shared" si="19"/>
        <v/>
      </c>
    </row>
    <row r="460" spans="1:16" x14ac:dyDescent="0.2">
      <c r="A460" s="6" t="s">
        <v>51</v>
      </c>
      <c r="B460" s="587" t="s">
        <v>47</v>
      </c>
      <c r="C460" s="64" t="s">
        <v>65</v>
      </c>
      <c r="D460" s="309" t="s">
        <v>858</v>
      </c>
      <c r="E460" s="312" t="s">
        <v>56</v>
      </c>
      <c r="G460" s="94" t="s">
        <v>78</v>
      </c>
      <c r="H460" s="533"/>
      <c r="I460" s="305"/>
      <c r="J460" s="305"/>
      <c r="K460" s="305"/>
      <c r="L460" s="305"/>
      <c r="M460" s="85"/>
      <c r="N460" s="534" t="str">
        <f t="shared" si="18"/>
        <v/>
      </c>
      <c r="O460" s="60" t="str">
        <f t="shared" si="19"/>
        <v/>
      </c>
    </row>
    <row r="461" spans="1:16" s="497" customFormat="1" x14ac:dyDescent="0.2">
      <c r="A461" s="5" t="s">
        <v>51</v>
      </c>
      <c r="B461" s="590" t="s">
        <v>53</v>
      </c>
      <c r="C461" s="67" t="s">
        <v>65</v>
      </c>
      <c r="D461" s="68" t="s">
        <v>864</v>
      </c>
      <c r="E461" s="314">
        <v>0.51</v>
      </c>
      <c r="F461" s="79" t="s">
        <v>80</v>
      </c>
      <c r="G461" s="95" t="s">
        <v>78</v>
      </c>
      <c r="H461" s="540"/>
      <c r="I461" s="68">
        <v>1</v>
      </c>
      <c r="J461" s="68">
        <v>2</v>
      </c>
      <c r="K461" s="68">
        <v>3</v>
      </c>
      <c r="L461" s="68">
        <v>1</v>
      </c>
      <c r="M461" s="83">
        <v>3</v>
      </c>
      <c r="N461" s="534" t="str">
        <f t="shared" si="18"/>
        <v/>
      </c>
      <c r="O461" s="60">
        <f t="shared" si="19"/>
        <v>1.0725046436742278</v>
      </c>
      <c r="P461" s="82" t="s">
        <v>901</v>
      </c>
    </row>
    <row r="462" spans="1:16" x14ac:dyDescent="0.2">
      <c r="A462" s="6" t="s">
        <v>51</v>
      </c>
      <c r="B462" s="587" t="s">
        <v>46</v>
      </c>
      <c r="C462" s="64" t="s">
        <v>65</v>
      </c>
      <c r="D462" s="309" t="s">
        <v>864</v>
      </c>
      <c r="E462" s="312">
        <v>0</v>
      </c>
      <c r="G462" s="94" t="s">
        <v>78</v>
      </c>
      <c r="H462" s="533"/>
      <c r="I462" s="305"/>
      <c r="J462" s="305"/>
      <c r="K462" s="305"/>
      <c r="L462" s="305"/>
      <c r="M462" s="85"/>
      <c r="N462" s="534" t="str">
        <f t="shared" si="18"/>
        <v/>
      </c>
      <c r="O462" s="60" t="str">
        <f t="shared" si="19"/>
        <v/>
      </c>
    </row>
    <row r="463" spans="1:16" s="505" customFormat="1" x14ac:dyDescent="0.2">
      <c r="A463" s="7" t="s">
        <v>51</v>
      </c>
      <c r="B463" s="591" t="s">
        <v>47</v>
      </c>
      <c r="C463" s="69" t="s">
        <v>65</v>
      </c>
      <c r="D463" s="70" t="s">
        <v>864</v>
      </c>
      <c r="E463" s="548" t="s">
        <v>56</v>
      </c>
      <c r="F463" s="78"/>
      <c r="G463" s="96" t="s">
        <v>78</v>
      </c>
      <c r="H463" s="549"/>
      <c r="I463" s="75"/>
      <c r="J463" s="75"/>
      <c r="K463" s="75"/>
      <c r="L463" s="75"/>
      <c r="M463" s="29"/>
      <c r="N463" s="534" t="str">
        <f t="shared" si="18"/>
        <v/>
      </c>
      <c r="O463" s="60" t="str">
        <f t="shared" si="19"/>
        <v/>
      </c>
      <c r="P463" s="81"/>
    </row>
    <row r="464" spans="1:16" s="497" customFormat="1" x14ac:dyDescent="0.2">
      <c r="A464" s="5" t="s">
        <v>52</v>
      </c>
      <c r="B464" s="590" t="s">
        <v>53</v>
      </c>
      <c r="C464" s="67" t="s">
        <v>65</v>
      </c>
      <c r="D464" s="68" t="s">
        <v>858</v>
      </c>
      <c r="E464" s="539" t="s">
        <v>56</v>
      </c>
      <c r="G464" s="95" t="s">
        <v>78</v>
      </c>
      <c r="H464" s="540"/>
      <c r="I464" s="61"/>
      <c r="J464" s="61"/>
      <c r="K464" s="61"/>
      <c r="L464" s="61"/>
      <c r="M464" s="30"/>
      <c r="N464" s="534" t="str">
        <f t="shared" si="18"/>
        <v/>
      </c>
      <c r="O464" s="60" t="str">
        <f t="shared" si="19"/>
        <v/>
      </c>
      <c r="P464" s="82" t="s">
        <v>900</v>
      </c>
    </row>
    <row r="465" spans="1:16" x14ac:dyDescent="0.2">
      <c r="A465" s="6" t="s">
        <v>52</v>
      </c>
      <c r="B465" s="587" t="s">
        <v>46</v>
      </c>
      <c r="C465" s="64" t="s">
        <v>65</v>
      </c>
      <c r="D465" s="309" t="s">
        <v>858</v>
      </c>
      <c r="E465" s="535">
        <v>0</v>
      </c>
      <c r="F465" s="77" t="s">
        <v>71</v>
      </c>
      <c r="G465" s="94" t="s">
        <v>78</v>
      </c>
      <c r="H465" s="533"/>
      <c r="I465" s="305"/>
      <c r="J465" s="305"/>
      <c r="K465" s="305"/>
      <c r="L465" s="305"/>
      <c r="M465" s="85"/>
      <c r="N465" s="534" t="str">
        <f t="shared" si="18"/>
        <v/>
      </c>
      <c r="O465" s="60" t="str">
        <f t="shared" si="19"/>
        <v/>
      </c>
    </row>
    <row r="466" spans="1:16" x14ac:dyDescent="0.2">
      <c r="A466" s="6" t="s">
        <v>52</v>
      </c>
      <c r="B466" s="587" t="s">
        <v>47</v>
      </c>
      <c r="C466" s="64" t="s">
        <v>65</v>
      </c>
      <c r="D466" s="309" t="s">
        <v>858</v>
      </c>
      <c r="E466" s="535">
        <v>0.1</v>
      </c>
      <c r="F466" s="77" t="s">
        <v>82</v>
      </c>
      <c r="G466" s="94" t="s">
        <v>78</v>
      </c>
      <c r="H466" s="64">
        <v>2</v>
      </c>
      <c r="I466" s="305"/>
      <c r="J466" s="309">
        <v>2</v>
      </c>
      <c r="K466" s="309">
        <v>3</v>
      </c>
      <c r="L466" s="309">
        <v>1</v>
      </c>
      <c r="M466" s="66">
        <v>1</v>
      </c>
      <c r="N466" s="534">
        <f t="shared" si="18"/>
        <v>0.38795788889711302</v>
      </c>
      <c r="O466" s="60" t="str">
        <f t="shared" si="19"/>
        <v/>
      </c>
    </row>
    <row r="467" spans="1:16" s="497" customFormat="1" x14ac:dyDescent="0.2">
      <c r="A467" s="5" t="s">
        <v>52</v>
      </c>
      <c r="B467" s="590" t="s">
        <v>53</v>
      </c>
      <c r="C467" s="67" t="s">
        <v>65</v>
      </c>
      <c r="D467" s="68" t="s">
        <v>864</v>
      </c>
      <c r="E467" s="539" t="s">
        <v>56</v>
      </c>
      <c r="G467" s="95" t="s">
        <v>78</v>
      </c>
      <c r="H467" s="540"/>
      <c r="I467" s="61"/>
      <c r="J467" s="61"/>
      <c r="K467" s="61"/>
      <c r="L467" s="61"/>
      <c r="M467" s="30"/>
      <c r="N467" s="534" t="str">
        <f t="shared" si="18"/>
        <v/>
      </c>
      <c r="O467" s="60" t="str">
        <f t="shared" si="19"/>
        <v/>
      </c>
      <c r="P467" s="82" t="s">
        <v>900</v>
      </c>
    </row>
    <row r="468" spans="1:16" x14ac:dyDescent="0.2">
      <c r="A468" s="6" t="s">
        <v>52</v>
      </c>
      <c r="B468" s="587" t="s">
        <v>46</v>
      </c>
      <c r="C468" s="64" t="s">
        <v>65</v>
      </c>
      <c r="D468" s="309" t="s">
        <v>864</v>
      </c>
      <c r="E468" s="312">
        <v>0</v>
      </c>
      <c r="G468" s="94" t="s">
        <v>78</v>
      </c>
      <c r="H468" s="533"/>
      <c r="I468" s="305"/>
      <c r="J468" s="305"/>
      <c r="K468" s="305"/>
      <c r="L468" s="305"/>
      <c r="M468" s="85"/>
      <c r="N468" s="534" t="str">
        <f t="shared" si="18"/>
        <v/>
      </c>
      <c r="O468" s="60" t="str">
        <f t="shared" si="19"/>
        <v/>
      </c>
    </row>
    <row r="469" spans="1:16" s="505" customFormat="1" x14ac:dyDescent="0.2">
      <c r="A469" s="7" t="s">
        <v>52</v>
      </c>
      <c r="B469" s="591" t="s">
        <v>47</v>
      </c>
      <c r="C469" s="69" t="s">
        <v>65</v>
      </c>
      <c r="D469" s="70" t="s">
        <v>864</v>
      </c>
      <c r="E469" s="313">
        <v>0.1</v>
      </c>
      <c r="F469" s="77" t="s">
        <v>82</v>
      </c>
      <c r="G469" s="96" t="s">
        <v>78</v>
      </c>
      <c r="H469" s="549"/>
      <c r="I469" s="309">
        <v>2</v>
      </c>
      <c r="J469" s="309">
        <v>2</v>
      </c>
      <c r="K469" s="309">
        <v>3</v>
      </c>
      <c r="L469" s="309">
        <v>1</v>
      </c>
      <c r="M469" s="66">
        <v>1</v>
      </c>
      <c r="N469" s="534" t="str">
        <f t="shared" si="18"/>
        <v/>
      </c>
      <c r="O469" s="60">
        <f t="shared" si="19"/>
        <v>0.38795788889711302</v>
      </c>
      <c r="P469" s="81"/>
    </row>
    <row r="470" spans="1:16" s="565" customFormat="1" x14ac:dyDescent="0.2">
      <c r="A470" s="593" t="s">
        <v>47</v>
      </c>
      <c r="B470" s="594" t="s">
        <v>54</v>
      </c>
      <c r="C470" s="564" t="s">
        <v>65</v>
      </c>
      <c r="D470" s="105" t="s">
        <v>65</v>
      </c>
      <c r="E470" s="561">
        <v>1</v>
      </c>
      <c r="F470" s="562"/>
      <c r="G470" s="563" t="s">
        <v>78</v>
      </c>
      <c r="H470" s="572"/>
      <c r="I470" s="110"/>
      <c r="J470" s="110"/>
      <c r="K470" s="110"/>
      <c r="L470" s="110"/>
      <c r="M470" s="111"/>
      <c r="N470" s="534" t="str">
        <f t="shared" si="18"/>
        <v/>
      </c>
      <c r="O470" s="60" t="str">
        <f t="shared" si="19"/>
        <v/>
      </c>
      <c r="P470" s="109"/>
    </row>
  </sheetData>
  <conditionalFormatting sqref="H329:M329">
    <cfRule type="dataBar" priority="35">
      <dataBar>
        <cfvo type="min"/>
        <cfvo type="max"/>
        <color rgb="FFFFB628"/>
      </dataBar>
      <extLst>
        <ext xmlns:x14="http://schemas.microsoft.com/office/spreadsheetml/2009/9/main" uri="{B025F937-C7B1-47D3-B67F-A62EFF666E3E}">
          <x14:id>{A93AA659-ABFA-DB45-AB86-BC4CB253A595}</x14:id>
        </ext>
      </extLst>
    </cfRule>
  </conditionalFormatting>
  <conditionalFormatting sqref="H330:M470 H2:M33 H201:M209 H211:M219 H221:M224 H169:M170 H189:M189 H191:M199 H35:M36 H39:M74 H90:M139 H160:M167 H147:M156 H141:M145 H173:M182 H184:M187 H236:M328 H226:M234">
    <cfRule type="dataBar" priority="36">
      <dataBar>
        <cfvo type="min"/>
        <cfvo type="max"/>
        <color rgb="FFFFB628"/>
      </dataBar>
      <extLst>
        <ext xmlns:x14="http://schemas.microsoft.com/office/spreadsheetml/2009/9/main" uri="{B025F937-C7B1-47D3-B67F-A62EFF666E3E}">
          <x14:id>{2E2C0264-8473-934E-AFBF-E038769A6E6E}</x14:id>
        </ext>
      </extLst>
    </cfRule>
  </conditionalFormatting>
  <conditionalFormatting sqref="H200:M200">
    <cfRule type="dataBar" priority="34">
      <dataBar>
        <cfvo type="min"/>
        <cfvo type="max"/>
        <color rgb="FFFFB628"/>
      </dataBar>
      <extLst>
        <ext xmlns:x14="http://schemas.microsoft.com/office/spreadsheetml/2009/9/main" uri="{B025F937-C7B1-47D3-B67F-A62EFF666E3E}">
          <x14:id>{5E24EC46-0BC7-E04B-A7A9-4428E8E8C544}</x14:id>
        </ext>
      </extLst>
    </cfRule>
  </conditionalFormatting>
  <conditionalFormatting sqref="H210:M210">
    <cfRule type="dataBar" priority="33">
      <dataBar>
        <cfvo type="min"/>
        <cfvo type="max"/>
        <color rgb="FFFFB628"/>
      </dataBar>
      <extLst>
        <ext xmlns:x14="http://schemas.microsoft.com/office/spreadsheetml/2009/9/main" uri="{B025F937-C7B1-47D3-B67F-A62EFF666E3E}">
          <x14:id>{B3028466-0745-9F44-A2B8-FF49AF22399B}</x14:id>
        </ext>
      </extLst>
    </cfRule>
  </conditionalFormatting>
  <conditionalFormatting sqref="H220:M220">
    <cfRule type="dataBar" priority="32">
      <dataBar>
        <cfvo type="min"/>
        <cfvo type="max"/>
        <color rgb="FFFFB628"/>
      </dataBar>
      <extLst>
        <ext xmlns:x14="http://schemas.microsoft.com/office/spreadsheetml/2009/9/main" uri="{B025F937-C7B1-47D3-B67F-A62EFF666E3E}">
          <x14:id>{307239EB-F5E5-9D4B-8027-A205D1D174CB}</x14:id>
        </ext>
      </extLst>
    </cfRule>
  </conditionalFormatting>
  <conditionalFormatting sqref="M76:M89">
    <cfRule type="dataBar" priority="29">
      <dataBar>
        <cfvo type="min"/>
        <cfvo type="max"/>
        <color rgb="FF3FCDFF"/>
      </dataBar>
      <extLst>
        <ext xmlns:x14="http://schemas.microsoft.com/office/spreadsheetml/2009/9/main" uri="{B025F937-C7B1-47D3-B67F-A62EFF666E3E}">
          <x14:id>{724E6703-91DB-5A4C-92A8-DC242068EF6B}</x14:id>
        </ext>
      </extLst>
    </cfRule>
  </conditionalFormatting>
  <conditionalFormatting sqref="H85:L85">
    <cfRule type="dataBar" priority="30">
      <dataBar>
        <cfvo type="min"/>
        <cfvo type="max"/>
        <color rgb="FFFFB628"/>
      </dataBar>
      <extLst>
        <ext xmlns:x14="http://schemas.microsoft.com/office/spreadsheetml/2009/9/main" uri="{B025F937-C7B1-47D3-B67F-A62EFF666E3E}">
          <x14:id>{E0743C28-4E0C-974F-8A94-E21522D30C43}</x14:id>
        </ext>
      </extLst>
    </cfRule>
  </conditionalFormatting>
  <conditionalFormatting sqref="H86:L89 H76:L84">
    <cfRule type="dataBar" priority="31">
      <dataBar>
        <cfvo type="min"/>
        <cfvo type="max"/>
        <color rgb="FFFFB628"/>
      </dataBar>
      <extLst>
        <ext xmlns:x14="http://schemas.microsoft.com/office/spreadsheetml/2009/9/main" uri="{B025F937-C7B1-47D3-B67F-A62EFF666E3E}">
          <x14:id>{71A58694-E163-7C44-A105-8D85309CFBD9}</x14:id>
        </ext>
      </extLst>
    </cfRule>
  </conditionalFormatting>
  <conditionalFormatting sqref="M75">
    <cfRule type="dataBar" priority="27">
      <dataBar>
        <cfvo type="min"/>
        <cfvo type="max"/>
        <color rgb="FF3FCDFF"/>
      </dataBar>
      <extLst>
        <ext xmlns:x14="http://schemas.microsoft.com/office/spreadsheetml/2009/9/main" uri="{B025F937-C7B1-47D3-B67F-A62EFF666E3E}">
          <x14:id>{878A0E82-72F7-E245-B8B1-3B0003656331}</x14:id>
        </ext>
      </extLst>
    </cfRule>
  </conditionalFormatting>
  <conditionalFormatting sqref="H75:L75">
    <cfRule type="dataBar" priority="28">
      <dataBar>
        <cfvo type="min"/>
        <cfvo type="max"/>
        <color rgb="FFFFB628"/>
      </dataBar>
      <extLst>
        <ext xmlns:x14="http://schemas.microsoft.com/office/spreadsheetml/2009/9/main" uri="{B025F937-C7B1-47D3-B67F-A62EFF666E3E}">
          <x14:id>{1AA5ADE2-01B3-4545-9FE9-0CA2E9F2DCBD}</x14:id>
        </ext>
      </extLst>
    </cfRule>
  </conditionalFormatting>
  <conditionalFormatting sqref="H168:M168">
    <cfRule type="dataBar" priority="25">
      <dataBar>
        <cfvo type="min"/>
        <cfvo type="max"/>
        <color rgb="FFFFB628"/>
      </dataBar>
      <extLst>
        <ext xmlns:x14="http://schemas.microsoft.com/office/spreadsheetml/2009/9/main" uri="{B025F937-C7B1-47D3-B67F-A62EFF666E3E}">
          <x14:id>{DDC8CB4A-0694-8D49-AF3E-4586F14297DC}</x14:id>
        </ext>
      </extLst>
    </cfRule>
  </conditionalFormatting>
  <conditionalFormatting sqref="N168:O168">
    <cfRule type="dataBar" priority="26">
      <dataBar>
        <cfvo type="min"/>
        <cfvo type="max"/>
        <color rgb="FF3FCDFF"/>
      </dataBar>
      <extLst>
        <ext xmlns:x14="http://schemas.microsoft.com/office/spreadsheetml/2009/9/main" uri="{B025F937-C7B1-47D3-B67F-A62EFF666E3E}">
          <x14:id>{01C00039-2686-244D-B17F-B0667B9400D8}</x14:id>
        </ext>
      </extLst>
    </cfRule>
  </conditionalFormatting>
  <conditionalFormatting sqref="H188:M188">
    <cfRule type="dataBar" priority="23">
      <dataBar>
        <cfvo type="min"/>
        <cfvo type="max"/>
        <color rgb="FFFFB628"/>
      </dataBar>
      <extLst>
        <ext xmlns:x14="http://schemas.microsoft.com/office/spreadsheetml/2009/9/main" uri="{B025F937-C7B1-47D3-B67F-A62EFF666E3E}">
          <x14:id>{707AAE4A-CBC2-3E4D-8DB0-9696713E3DDF}</x14:id>
        </ext>
      </extLst>
    </cfRule>
  </conditionalFormatting>
  <conditionalFormatting sqref="N188:O188">
    <cfRule type="dataBar" priority="24">
      <dataBar>
        <cfvo type="min"/>
        <cfvo type="max"/>
        <color rgb="FF3FCDFF"/>
      </dataBar>
      <extLst>
        <ext xmlns:x14="http://schemas.microsoft.com/office/spreadsheetml/2009/9/main" uri="{B025F937-C7B1-47D3-B67F-A62EFF666E3E}">
          <x14:id>{1AD403AE-0EFE-6A41-B290-481F9AFA46D7}</x14:id>
        </ext>
      </extLst>
    </cfRule>
  </conditionalFormatting>
  <conditionalFormatting sqref="H190:M190">
    <cfRule type="dataBar" priority="21">
      <dataBar>
        <cfvo type="min"/>
        <cfvo type="max"/>
        <color rgb="FFFFB628"/>
      </dataBar>
      <extLst>
        <ext xmlns:x14="http://schemas.microsoft.com/office/spreadsheetml/2009/9/main" uri="{B025F937-C7B1-47D3-B67F-A62EFF666E3E}">
          <x14:id>{EC24FA50-FA95-204A-95B4-538B0D9F860A}</x14:id>
        </ext>
      </extLst>
    </cfRule>
  </conditionalFormatting>
  <conditionalFormatting sqref="N190:O190">
    <cfRule type="dataBar" priority="22">
      <dataBar>
        <cfvo type="min"/>
        <cfvo type="max"/>
        <color rgb="FF3FCDFF"/>
      </dataBar>
      <extLst>
        <ext xmlns:x14="http://schemas.microsoft.com/office/spreadsheetml/2009/9/main" uri="{B025F937-C7B1-47D3-B67F-A62EFF666E3E}">
          <x14:id>{A52158F7-7CE2-E94C-BB89-11F1DF92FDED}</x14:id>
        </ext>
      </extLst>
    </cfRule>
  </conditionalFormatting>
  <conditionalFormatting sqref="H37:M38">
    <cfRule type="dataBar" priority="19">
      <dataBar>
        <cfvo type="min"/>
        <cfvo type="max"/>
        <color rgb="FFFFB628"/>
      </dataBar>
      <extLst>
        <ext xmlns:x14="http://schemas.microsoft.com/office/spreadsheetml/2009/9/main" uri="{B025F937-C7B1-47D3-B67F-A62EFF666E3E}">
          <x14:id>{F7C1B39B-1859-9648-959B-D9CE5D2F53BB}</x14:id>
        </ext>
      </extLst>
    </cfRule>
  </conditionalFormatting>
  <conditionalFormatting sqref="N37:N38">
    <cfRule type="dataBar" priority="20">
      <dataBar>
        <cfvo type="min"/>
        <cfvo type="max"/>
        <color rgb="FF3FCDFF"/>
      </dataBar>
      <extLst>
        <ext xmlns:x14="http://schemas.microsoft.com/office/spreadsheetml/2009/9/main" uri="{B025F937-C7B1-47D3-B67F-A62EFF666E3E}">
          <x14:id>{8607B473-937A-DB4A-9CC3-72B90C0953E8}</x14:id>
        </ext>
      </extLst>
    </cfRule>
  </conditionalFormatting>
  <conditionalFormatting sqref="H34:M34">
    <cfRule type="dataBar" priority="17">
      <dataBar>
        <cfvo type="min"/>
        <cfvo type="max"/>
        <color rgb="FFFFB628"/>
      </dataBar>
      <extLst>
        <ext xmlns:x14="http://schemas.microsoft.com/office/spreadsheetml/2009/9/main" uri="{B025F937-C7B1-47D3-B67F-A62EFF666E3E}">
          <x14:id>{F4B49A6F-9418-7348-AC3F-037AF1541C8F}</x14:id>
        </ext>
      </extLst>
    </cfRule>
  </conditionalFormatting>
  <conditionalFormatting sqref="N34">
    <cfRule type="dataBar" priority="18">
      <dataBar>
        <cfvo type="min"/>
        <cfvo type="max"/>
        <color rgb="FF3FCDFF"/>
      </dataBar>
      <extLst>
        <ext xmlns:x14="http://schemas.microsoft.com/office/spreadsheetml/2009/9/main" uri="{B025F937-C7B1-47D3-B67F-A62EFF666E3E}">
          <x14:id>{526D7320-E1B2-5248-A17A-D42716B7A19D}</x14:id>
        </ext>
      </extLst>
    </cfRule>
  </conditionalFormatting>
  <conditionalFormatting sqref="H157:M159">
    <cfRule type="dataBar" priority="15">
      <dataBar>
        <cfvo type="min"/>
        <cfvo type="max"/>
        <color rgb="FFFFB628"/>
      </dataBar>
      <extLst>
        <ext xmlns:x14="http://schemas.microsoft.com/office/spreadsheetml/2009/9/main" uri="{B025F937-C7B1-47D3-B67F-A62EFF666E3E}">
          <x14:id>{83EA2566-2055-1344-8920-D352A43C2719}</x14:id>
        </ext>
      </extLst>
    </cfRule>
  </conditionalFormatting>
  <conditionalFormatting sqref="N157:O159">
    <cfRule type="dataBar" priority="16">
      <dataBar>
        <cfvo type="min"/>
        <cfvo type="max"/>
        <color rgb="FF3FCDFF"/>
      </dataBar>
      <extLst>
        <ext xmlns:x14="http://schemas.microsoft.com/office/spreadsheetml/2009/9/main" uri="{B025F937-C7B1-47D3-B67F-A62EFF666E3E}">
          <x14:id>{181772D7-B0E1-0543-8C98-62F20D051CC4}</x14:id>
        </ext>
      </extLst>
    </cfRule>
  </conditionalFormatting>
  <conditionalFormatting sqref="H146:M146">
    <cfRule type="dataBar" priority="13">
      <dataBar>
        <cfvo type="min"/>
        <cfvo type="max"/>
        <color rgb="FFFFB628"/>
      </dataBar>
      <extLst>
        <ext xmlns:x14="http://schemas.microsoft.com/office/spreadsheetml/2009/9/main" uri="{B025F937-C7B1-47D3-B67F-A62EFF666E3E}">
          <x14:id>{7BF8BDA9-975C-1946-A0D9-628E51C7094D}</x14:id>
        </ext>
      </extLst>
    </cfRule>
  </conditionalFormatting>
  <conditionalFormatting sqref="N146:O146">
    <cfRule type="dataBar" priority="14">
      <dataBar>
        <cfvo type="min"/>
        <cfvo type="max"/>
        <color rgb="FF3FCDFF"/>
      </dataBar>
      <extLst>
        <ext xmlns:x14="http://schemas.microsoft.com/office/spreadsheetml/2009/9/main" uri="{B025F937-C7B1-47D3-B67F-A62EFF666E3E}">
          <x14:id>{DBE2A7C6-BA9E-8F49-8C35-7FE24E86E05C}</x14:id>
        </ext>
      </extLst>
    </cfRule>
  </conditionalFormatting>
  <conditionalFormatting sqref="H140:M140">
    <cfRule type="dataBar" priority="11">
      <dataBar>
        <cfvo type="min"/>
        <cfvo type="max"/>
        <color rgb="FFFFB628"/>
      </dataBar>
      <extLst>
        <ext xmlns:x14="http://schemas.microsoft.com/office/spreadsheetml/2009/9/main" uri="{B025F937-C7B1-47D3-B67F-A62EFF666E3E}">
          <x14:id>{B64DBE22-5F6E-7A41-8822-88EBE4B91C85}</x14:id>
        </ext>
      </extLst>
    </cfRule>
  </conditionalFormatting>
  <conditionalFormatting sqref="N140:O140">
    <cfRule type="dataBar" priority="12">
      <dataBar>
        <cfvo type="min"/>
        <cfvo type="max"/>
        <color rgb="FF3FCDFF"/>
      </dataBar>
      <extLst>
        <ext xmlns:x14="http://schemas.microsoft.com/office/spreadsheetml/2009/9/main" uri="{B025F937-C7B1-47D3-B67F-A62EFF666E3E}">
          <x14:id>{C12D3D6F-978B-D74E-8372-E029F01C2E02}</x14:id>
        </ext>
      </extLst>
    </cfRule>
  </conditionalFormatting>
  <conditionalFormatting sqref="H171:M171">
    <cfRule type="dataBar" priority="9">
      <dataBar>
        <cfvo type="min"/>
        <cfvo type="max"/>
        <color rgb="FFFFB628"/>
      </dataBar>
      <extLst>
        <ext xmlns:x14="http://schemas.microsoft.com/office/spreadsheetml/2009/9/main" uri="{B025F937-C7B1-47D3-B67F-A62EFF666E3E}">
          <x14:id>{36D38408-DC72-A54B-9D25-2CF7EDA60931}</x14:id>
        </ext>
      </extLst>
    </cfRule>
  </conditionalFormatting>
  <conditionalFormatting sqref="N171:O171">
    <cfRule type="dataBar" priority="10">
      <dataBar>
        <cfvo type="min"/>
        <cfvo type="max"/>
        <color rgb="FF3FCDFF"/>
      </dataBar>
      <extLst>
        <ext xmlns:x14="http://schemas.microsoft.com/office/spreadsheetml/2009/9/main" uri="{B025F937-C7B1-47D3-B67F-A62EFF666E3E}">
          <x14:id>{B3EDB87A-F629-5A4A-BE65-EA47A60BA11A}</x14:id>
        </ext>
      </extLst>
    </cfRule>
  </conditionalFormatting>
  <conditionalFormatting sqref="H172:M172">
    <cfRule type="dataBar" priority="7">
      <dataBar>
        <cfvo type="min"/>
        <cfvo type="max"/>
        <color rgb="FFFFB628"/>
      </dataBar>
      <extLst>
        <ext xmlns:x14="http://schemas.microsoft.com/office/spreadsheetml/2009/9/main" uri="{B025F937-C7B1-47D3-B67F-A62EFF666E3E}">
          <x14:id>{80EF776A-CF07-704B-B607-90643BF39A75}</x14:id>
        </ext>
      </extLst>
    </cfRule>
  </conditionalFormatting>
  <conditionalFormatting sqref="N172:O172">
    <cfRule type="dataBar" priority="8">
      <dataBar>
        <cfvo type="min"/>
        <cfvo type="max"/>
        <color rgb="FF3FCDFF"/>
      </dataBar>
      <extLst>
        <ext xmlns:x14="http://schemas.microsoft.com/office/spreadsheetml/2009/9/main" uri="{B025F937-C7B1-47D3-B67F-A62EFF666E3E}">
          <x14:id>{BB8A27D2-5A04-D740-AE84-E75833B49D2C}</x14:id>
        </ext>
      </extLst>
    </cfRule>
  </conditionalFormatting>
  <conditionalFormatting sqref="H183:M183">
    <cfRule type="dataBar" priority="5">
      <dataBar>
        <cfvo type="min"/>
        <cfvo type="max"/>
        <color rgb="FFFFB628"/>
      </dataBar>
      <extLst>
        <ext xmlns:x14="http://schemas.microsoft.com/office/spreadsheetml/2009/9/main" uri="{B025F937-C7B1-47D3-B67F-A62EFF666E3E}">
          <x14:id>{419FAD6E-323A-1A44-8CA5-7F376508D830}</x14:id>
        </ext>
      </extLst>
    </cfRule>
  </conditionalFormatting>
  <conditionalFormatting sqref="N183:O183">
    <cfRule type="dataBar" priority="6">
      <dataBar>
        <cfvo type="min"/>
        <cfvo type="max"/>
        <color rgb="FF3FCDFF"/>
      </dataBar>
      <extLst>
        <ext xmlns:x14="http://schemas.microsoft.com/office/spreadsheetml/2009/9/main" uri="{B025F937-C7B1-47D3-B67F-A62EFF666E3E}">
          <x14:id>{818ADF9F-69D3-AA44-859D-BB323C2E6291}</x14:id>
        </ext>
      </extLst>
    </cfRule>
  </conditionalFormatting>
  <conditionalFormatting sqref="H235:M235">
    <cfRule type="dataBar" priority="3">
      <dataBar>
        <cfvo type="min"/>
        <cfvo type="max"/>
        <color rgb="FFFFB628"/>
      </dataBar>
      <extLst>
        <ext xmlns:x14="http://schemas.microsoft.com/office/spreadsheetml/2009/9/main" uri="{B025F937-C7B1-47D3-B67F-A62EFF666E3E}">
          <x14:id>{A0088D5B-FE2F-6345-B04A-DBE6F2B0F490}</x14:id>
        </ext>
      </extLst>
    </cfRule>
  </conditionalFormatting>
  <conditionalFormatting sqref="N235:O235">
    <cfRule type="dataBar" priority="4">
      <dataBar>
        <cfvo type="min"/>
        <cfvo type="max"/>
        <color rgb="FF3FCDFF"/>
      </dataBar>
      <extLst>
        <ext xmlns:x14="http://schemas.microsoft.com/office/spreadsheetml/2009/9/main" uri="{B025F937-C7B1-47D3-B67F-A62EFF666E3E}">
          <x14:id>{67FB9941-B45D-8F40-AEF2-E9D3F19E6DFB}</x14:id>
        </ext>
      </extLst>
    </cfRule>
  </conditionalFormatting>
  <conditionalFormatting sqref="H225:M225">
    <cfRule type="dataBar" priority="1">
      <dataBar>
        <cfvo type="min"/>
        <cfvo type="max"/>
        <color rgb="FFFFB628"/>
      </dataBar>
      <extLst>
        <ext xmlns:x14="http://schemas.microsoft.com/office/spreadsheetml/2009/9/main" uri="{B025F937-C7B1-47D3-B67F-A62EFF666E3E}">
          <x14:id>{2AA03058-21C3-7949-B7C4-A49D81F694DB}</x14:id>
        </ext>
      </extLst>
    </cfRule>
  </conditionalFormatting>
  <conditionalFormatting sqref="N225:O225">
    <cfRule type="dataBar" priority="2">
      <dataBar>
        <cfvo type="min"/>
        <cfvo type="max"/>
        <color rgb="FF3FCDFF"/>
      </dataBar>
      <extLst>
        <ext xmlns:x14="http://schemas.microsoft.com/office/spreadsheetml/2009/9/main" uri="{B025F937-C7B1-47D3-B67F-A62EFF666E3E}">
          <x14:id>{FE570449-4CA8-6B4B-94EA-489676A8A7BB}</x14:id>
        </ext>
      </extLst>
    </cfRule>
  </conditionalFormatting>
  <conditionalFormatting sqref="N169:O170 N2:O33 N189:O189 N191:O224 N35:O36 O34 O37:O38 N39:O139 N160:O167 N147:O156 N141:O145 N173:O182 N184:O187 N236:O470 N226:O234">
    <cfRule type="dataBar" priority="37">
      <dataBar>
        <cfvo type="min"/>
        <cfvo type="max"/>
        <color rgb="FF3FCDFF"/>
      </dataBar>
      <extLst>
        <ext xmlns:x14="http://schemas.microsoft.com/office/spreadsheetml/2009/9/main" uri="{B025F937-C7B1-47D3-B67F-A62EFF666E3E}">
          <x14:id>{2891BB68-FB0E-FB44-971E-2639112FE6C8}</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93AA659-ABFA-DB45-AB86-BC4CB253A595}">
            <x14:dataBar minLength="0" maxLength="100" gradient="0">
              <x14:cfvo type="autoMin"/>
              <x14:cfvo type="autoMax"/>
              <x14:negativeFillColor rgb="FFFF0000"/>
              <x14:axisColor rgb="FF000000"/>
            </x14:dataBar>
          </x14:cfRule>
          <xm:sqref>H329:M329</xm:sqref>
        </x14:conditionalFormatting>
        <x14:conditionalFormatting xmlns:xm="http://schemas.microsoft.com/office/excel/2006/main">
          <x14:cfRule type="dataBar" id="{2E2C0264-8473-934E-AFBF-E038769A6E6E}">
            <x14:dataBar minLength="0" maxLength="100" gradient="0">
              <x14:cfvo type="autoMin"/>
              <x14:cfvo type="autoMax"/>
              <x14:negativeFillColor rgb="FFFF0000"/>
              <x14:axisColor rgb="FF000000"/>
            </x14:dataBar>
          </x14:cfRule>
          <xm:sqref>H330:M470 H2:M33 H201:M209 H211:M219 H221:M224 H169:M170 H189:M189 H191:M199 H35:M36 H39:M74 H90:M139 H160:M167 H147:M156 H141:M145 H173:M182 H184:M187 H236:M328 H226:M234</xm:sqref>
        </x14:conditionalFormatting>
        <x14:conditionalFormatting xmlns:xm="http://schemas.microsoft.com/office/excel/2006/main">
          <x14:cfRule type="dataBar" id="{5E24EC46-0BC7-E04B-A7A9-4428E8E8C544}">
            <x14:dataBar minLength="0" maxLength="100" gradient="0">
              <x14:cfvo type="autoMin"/>
              <x14:cfvo type="autoMax"/>
              <x14:negativeFillColor rgb="FFFF0000"/>
              <x14:axisColor rgb="FF000000"/>
            </x14:dataBar>
          </x14:cfRule>
          <xm:sqref>H200:M200</xm:sqref>
        </x14:conditionalFormatting>
        <x14:conditionalFormatting xmlns:xm="http://schemas.microsoft.com/office/excel/2006/main">
          <x14:cfRule type="dataBar" id="{B3028466-0745-9F44-A2B8-FF49AF22399B}">
            <x14:dataBar minLength="0" maxLength="100" gradient="0">
              <x14:cfvo type="autoMin"/>
              <x14:cfvo type="autoMax"/>
              <x14:negativeFillColor rgb="FFFF0000"/>
              <x14:axisColor rgb="FF000000"/>
            </x14:dataBar>
          </x14:cfRule>
          <xm:sqref>H210:M210</xm:sqref>
        </x14:conditionalFormatting>
        <x14:conditionalFormatting xmlns:xm="http://schemas.microsoft.com/office/excel/2006/main">
          <x14:cfRule type="dataBar" id="{307239EB-F5E5-9D4B-8027-A205D1D174CB}">
            <x14:dataBar minLength="0" maxLength="100" gradient="0">
              <x14:cfvo type="autoMin"/>
              <x14:cfvo type="autoMax"/>
              <x14:negativeFillColor rgb="FFFF0000"/>
              <x14:axisColor rgb="FF000000"/>
            </x14:dataBar>
          </x14:cfRule>
          <xm:sqref>H220:M220</xm:sqref>
        </x14:conditionalFormatting>
        <x14:conditionalFormatting xmlns:xm="http://schemas.microsoft.com/office/excel/2006/main">
          <x14:cfRule type="dataBar" id="{724E6703-91DB-5A4C-92A8-DC242068EF6B}">
            <x14:dataBar minLength="0" maxLength="100" gradient="0">
              <x14:cfvo type="autoMin"/>
              <x14:cfvo type="autoMax"/>
              <x14:negativeFillColor rgb="FFFF0000"/>
              <x14:axisColor rgb="FF000000"/>
            </x14:dataBar>
          </x14:cfRule>
          <xm:sqref>M76:M89</xm:sqref>
        </x14:conditionalFormatting>
        <x14:conditionalFormatting xmlns:xm="http://schemas.microsoft.com/office/excel/2006/main">
          <x14:cfRule type="dataBar" id="{E0743C28-4E0C-974F-8A94-E21522D30C43}">
            <x14:dataBar minLength="0" maxLength="100" gradient="0">
              <x14:cfvo type="autoMin"/>
              <x14:cfvo type="autoMax"/>
              <x14:negativeFillColor rgb="FFFF0000"/>
              <x14:axisColor rgb="FF000000"/>
            </x14:dataBar>
          </x14:cfRule>
          <xm:sqref>H85:L85</xm:sqref>
        </x14:conditionalFormatting>
        <x14:conditionalFormatting xmlns:xm="http://schemas.microsoft.com/office/excel/2006/main">
          <x14:cfRule type="dataBar" id="{71A58694-E163-7C44-A105-8D85309CFBD9}">
            <x14:dataBar minLength="0" maxLength="100" gradient="0">
              <x14:cfvo type="autoMin"/>
              <x14:cfvo type="autoMax"/>
              <x14:negativeFillColor rgb="FFFF0000"/>
              <x14:axisColor rgb="FF000000"/>
            </x14:dataBar>
          </x14:cfRule>
          <xm:sqref>H86:L89 H76:L84</xm:sqref>
        </x14:conditionalFormatting>
        <x14:conditionalFormatting xmlns:xm="http://schemas.microsoft.com/office/excel/2006/main">
          <x14:cfRule type="dataBar" id="{878A0E82-72F7-E245-B8B1-3B0003656331}">
            <x14:dataBar minLength="0" maxLength="100" gradient="0">
              <x14:cfvo type="autoMin"/>
              <x14:cfvo type="autoMax"/>
              <x14:negativeFillColor rgb="FFFF0000"/>
              <x14:axisColor rgb="FF000000"/>
            </x14:dataBar>
          </x14:cfRule>
          <xm:sqref>M75</xm:sqref>
        </x14:conditionalFormatting>
        <x14:conditionalFormatting xmlns:xm="http://schemas.microsoft.com/office/excel/2006/main">
          <x14:cfRule type="dataBar" id="{1AA5ADE2-01B3-4545-9FE9-0CA2E9F2DCBD}">
            <x14:dataBar minLength="0" maxLength="100" gradient="0">
              <x14:cfvo type="autoMin"/>
              <x14:cfvo type="autoMax"/>
              <x14:negativeFillColor rgb="FFFF0000"/>
              <x14:axisColor rgb="FF000000"/>
            </x14:dataBar>
          </x14:cfRule>
          <xm:sqref>H75:L75</xm:sqref>
        </x14:conditionalFormatting>
        <x14:conditionalFormatting xmlns:xm="http://schemas.microsoft.com/office/excel/2006/main">
          <x14:cfRule type="dataBar" id="{DDC8CB4A-0694-8D49-AF3E-4586F14297DC}">
            <x14:dataBar minLength="0" maxLength="100" gradient="0">
              <x14:cfvo type="autoMin"/>
              <x14:cfvo type="autoMax"/>
              <x14:negativeFillColor rgb="FFFF0000"/>
              <x14:axisColor rgb="FF000000"/>
            </x14:dataBar>
          </x14:cfRule>
          <xm:sqref>H168:M168</xm:sqref>
        </x14:conditionalFormatting>
        <x14:conditionalFormatting xmlns:xm="http://schemas.microsoft.com/office/excel/2006/main">
          <x14:cfRule type="dataBar" id="{01C00039-2686-244D-B17F-B0667B9400D8}">
            <x14:dataBar minLength="0" maxLength="100" gradient="0">
              <x14:cfvo type="autoMin"/>
              <x14:cfvo type="autoMax"/>
              <x14:negativeFillColor rgb="FFFF0000"/>
              <x14:axisColor rgb="FF000000"/>
            </x14:dataBar>
          </x14:cfRule>
          <xm:sqref>N168:O168</xm:sqref>
        </x14:conditionalFormatting>
        <x14:conditionalFormatting xmlns:xm="http://schemas.microsoft.com/office/excel/2006/main">
          <x14:cfRule type="dataBar" id="{707AAE4A-CBC2-3E4D-8DB0-9696713E3DDF}">
            <x14:dataBar minLength="0" maxLength="100" gradient="0">
              <x14:cfvo type="autoMin"/>
              <x14:cfvo type="autoMax"/>
              <x14:negativeFillColor rgb="FFFF0000"/>
              <x14:axisColor rgb="FF000000"/>
            </x14:dataBar>
          </x14:cfRule>
          <xm:sqref>H188:M188</xm:sqref>
        </x14:conditionalFormatting>
        <x14:conditionalFormatting xmlns:xm="http://schemas.microsoft.com/office/excel/2006/main">
          <x14:cfRule type="dataBar" id="{1AD403AE-0EFE-6A41-B290-481F9AFA46D7}">
            <x14:dataBar minLength="0" maxLength="100" gradient="0">
              <x14:cfvo type="autoMin"/>
              <x14:cfvo type="autoMax"/>
              <x14:negativeFillColor rgb="FFFF0000"/>
              <x14:axisColor rgb="FF000000"/>
            </x14:dataBar>
          </x14:cfRule>
          <xm:sqref>N188:O188</xm:sqref>
        </x14:conditionalFormatting>
        <x14:conditionalFormatting xmlns:xm="http://schemas.microsoft.com/office/excel/2006/main">
          <x14:cfRule type="dataBar" id="{EC24FA50-FA95-204A-95B4-538B0D9F860A}">
            <x14:dataBar minLength="0" maxLength="100" gradient="0">
              <x14:cfvo type="autoMin"/>
              <x14:cfvo type="autoMax"/>
              <x14:negativeFillColor rgb="FFFF0000"/>
              <x14:axisColor rgb="FF000000"/>
            </x14:dataBar>
          </x14:cfRule>
          <xm:sqref>H190:M190</xm:sqref>
        </x14:conditionalFormatting>
        <x14:conditionalFormatting xmlns:xm="http://schemas.microsoft.com/office/excel/2006/main">
          <x14:cfRule type="dataBar" id="{A52158F7-7CE2-E94C-BB89-11F1DF92FDED}">
            <x14:dataBar minLength="0" maxLength="100" gradient="0">
              <x14:cfvo type="autoMin"/>
              <x14:cfvo type="autoMax"/>
              <x14:negativeFillColor rgb="FFFF0000"/>
              <x14:axisColor rgb="FF000000"/>
            </x14:dataBar>
          </x14:cfRule>
          <xm:sqref>N190:O190</xm:sqref>
        </x14:conditionalFormatting>
        <x14:conditionalFormatting xmlns:xm="http://schemas.microsoft.com/office/excel/2006/main">
          <x14:cfRule type="dataBar" id="{F7C1B39B-1859-9648-959B-D9CE5D2F53BB}">
            <x14:dataBar minLength="0" maxLength="100" gradient="0">
              <x14:cfvo type="autoMin"/>
              <x14:cfvo type="autoMax"/>
              <x14:negativeFillColor rgb="FFFF0000"/>
              <x14:axisColor rgb="FF000000"/>
            </x14:dataBar>
          </x14:cfRule>
          <xm:sqref>H37:M38</xm:sqref>
        </x14:conditionalFormatting>
        <x14:conditionalFormatting xmlns:xm="http://schemas.microsoft.com/office/excel/2006/main">
          <x14:cfRule type="dataBar" id="{8607B473-937A-DB4A-9CC3-72B90C0953E8}">
            <x14:dataBar minLength="0" maxLength="100" gradient="0">
              <x14:cfvo type="autoMin"/>
              <x14:cfvo type="autoMax"/>
              <x14:negativeFillColor rgb="FFFF0000"/>
              <x14:axisColor rgb="FF000000"/>
            </x14:dataBar>
          </x14:cfRule>
          <xm:sqref>N37:N38</xm:sqref>
        </x14:conditionalFormatting>
        <x14:conditionalFormatting xmlns:xm="http://schemas.microsoft.com/office/excel/2006/main">
          <x14:cfRule type="dataBar" id="{F4B49A6F-9418-7348-AC3F-037AF1541C8F}">
            <x14:dataBar minLength="0" maxLength="100" gradient="0">
              <x14:cfvo type="autoMin"/>
              <x14:cfvo type="autoMax"/>
              <x14:negativeFillColor rgb="FFFF0000"/>
              <x14:axisColor rgb="FF000000"/>
            </x14:dataBar>
          </x14:cfRule>
          <xm:sqref>H34:M34</xm:sqref>
        </x14:conditionalFormatting>
        <x14:conditionalFormatting xmlns:xm="http://schemas.microsoft.com/office/excel/2006/main">
          <x14:cfRule type="dataBar" id="{526D7320-E1B2-5248-A17A-D42716B7A19D}">
            <x14:dataBar minLength="0" maxLength="100" gradient="0">
              <x14:cfvo type="autoMin"/>
              <x14:cfvo type="autoMax"/>
              <x14:negativeFillColor rgb="FFFF0000"/>
              <x14:axisColor rgb="FF000000"/>
            </x14:dataBar>
          </x14:cfRule>
          <xm:sqref>N34</xm:sqref>
        </x14:conditionalFormatting>
        <x14:conditionalFormatting xmlns:xm="http://schemas.microsoft.com/office/excel/2006/main">
          <x14:cfRule type="dataBar" id="{83EA2566-2055-1344-8920-D352A43C2719}">
            <x14:dataBar minLength="0" maxLength="100" gradient="0">
              <x14:cfvo type="autoMin"/>
              <x14:cfvo type="autoMax"/>
              <x14:negativeFillColor rgb="FFFF0000"/>
              <x14:axisColor rgb="FF000000"/>
            </x14:dataBar>
          </x14:cfRule>
          <xm:sqref>H157:M159</xm:sqref>
        </x14:conditionalFormatting>
        <x14:conditionalFormatting xmlns:xm="http://schemas.microsoft.com/office/excel/2006/main">
          <x14:cfRule type="dataBar" id="{181772D7-B0E1-0543-8C98-62F20D051CC4}">
            <x14:dataBar minLength="0" maxLength="100" gradient="0">
              <x14:cfvo type="autoMin"/>
              <x14:cfvo type="autoMax"/>
              <x14:negativeFillColor rgb="FFFF0000"/>
              <x14:axisColor rgb="FF000000"/>
            </x14:dataBar>
          </x14:cfRule>
          <xm:sqref>N157:O159</xm:sqref>
        </x14:conditionalFormatting>
        <x14:conditionalFormatting xmlns:xm="http://schemas.microsoft.com/office/excel/2006/main">
          <x14:cfRule type="dataBar" id="{7BF8BDA9-975C-1946-A0D9-628E51C7094D}">
            <x14:dataBar minLength="0" maxLength="100" gradient="0">
              <x14:cfvo type="autoMin"/>
              <x14:cfvo type="autoMax"/>
              <x14:negativeFillColor rgb="FFFF0000"/>
              <x14:axisColor rgb="FF000000"/>
            </x14:dataBar>
          </x14:cfRule>
          <xm:sqref>H146:M146</xm:sqref>
        </x14:conditionalFormatting>
        <x14:conditionalFormatting xmlns:xm="http://schemas.microsoft.com/office/excel/2006/main">
          <x14:cfRule type="dataBar" id="{DBE2A7C6-BA9E-8F49-8C35-7FE24E86E05C}">
            <x14:dataBar minLength="0" maxLength="100" gradient="0">
              <x14:cfvo type="autoMin"/>
              <x14:cfvo type="autoMax"/>
              <x14:negativeFillColor rgb="FFFF0000"/>
              <x14:axisColor rgb="FF000000"/>
            </x14:dataBar>
          </x14:cfRule>
          <xm:sqref>N146:O146</xm:sqref>
        </x14:conditionalFormatting>
        <x14:conditionalFormatting xmlns:xm="http://schemas.microsoft.com/office/excel/2006/main">
          <x14:cfRule type="dataBar" id="{B64DBE22-5F6E-7A41-8822-88EBE4B91C85}">
            <x14:dataBar minLength="0" maxLength="100" gradient="0">
              <x14:cfvo type="autoMin"/>
              <x14:cfvo type="autoMax"/>
              <x14:negativeFillColor rgb="FFFF0000"/>
              <x14:axisColor rgb="FF000000"/>
            </x14:dataBar>
          </x14:cfRule>
          <xm:sqref>H140:M140</xm:sqref>
        </x14:conditionalFormatting>
        <x14:conditionalFormatting xmlns:xm="http://schemas.microsoft.com/office/excel/2006/main">
          <x14:cfRule type="dataBar" id="{C12D3D6F-978B-D74E-8372-E029F01C2E02}">
            <x14:dataBar minLength="0" maxLength="100" gradient="0">
              <x14:cfvo type="autoMin"/>
              <x14:cfvo type="autoMax"/>
              <x14:negativeFillColor rgb="FFFF0000"/>
              <x14:axisColor rgb="FF000000"/>
            </x14:dataBar>
          </x14:cfRule>
          <xm:sqref>N140:O140</xm:sqref>
        </x14:conditionalFormatting>
        <x14:conditionalFormatting xmlns:xm="http://schemas.microsoft.com/office/excel/2006/main">
          <x14:cfRule type="dataBar" id="{36D38408-DC72-A54B-9D25-2CF7EDA60931}">
            <x14:dataBar minLength="0" maxLength="100" gradient="0">
              <x14:cfvo type="autoMin"/>
              <x14:cfvo type="autoMax"/>
              <x14:negativeFillColor rgb="FFFF0000"/>
              <x14:axisColor rgb="FF000000"/>
            </x14:dataBar>
          </x14:cfRule>
          <xm:sqref>H171:M171</xm:sqref>
        </x14:conditionalFormatting>
        <x14:conditionalFormatting xmlns:xm="http://schemas.microsoft.com/office/excel/2006/main">
          <x14:cfRule type="dataBar" id="{B3EDB87A-F629-5A4A-BE65-EA47A60BA11A}">
            <x14:dataBar minLength="0" maxLength="100" gradient="0">
              <x14:cfvo type="autoMin"/>
              <x14:cfvo type="autoMax"/>
              <x14:negativeFillColor rgb="FFFF0000"/>
              <x14:axisColor rgb="FF000000"/>
            </x14:dataBar>
          </x14:cfRule>
          <xm:sqref>N171:O171</xm:sqref>
        </x14:conditionalFormatting>
        <x14:conditionalFormatting xmlns:xm="http://schemas.microsoft.com/office/excel/2006/main">
          <x14:cfRule type="dataBar" id="{80EF776A-CF07-704B-B607-90643BF39A75}">
            <x14:dataBar minLength="0" maxLength="100" gradient="0">
              <x14:cfvo type="autoMin"/>
              <x14:cfvo type="autoMax"/>
              <x14:negativeFillColor rgb="FFFF0000"/>
              <x14:axisColor rgb="FF000000"/>
            </x14:dataBar>
          </x14:cfRule>
          <xm:sqref>H172:M172</xm:sqref>
        </x14:conditionalFormatting>
        <x14:conditionalFormatting xmlns:xm="http://schemas.microsoft.com/office/excel/2006/main">
          <x14:cfRule type="dataBar" id="{BB8A27D2-5A04-D740-AE84-E75833B49D2C}">
            <x14:dataBar minLength="0" maxLength="100" gradient="0">
              <x14:cfvo type="autoMin"/>
              <x14:cfvo type="autoMax"/>
              <x14:negativeFillColor rgb="FFFF0000"/>
              <x14:axisColor rgb="FF000000"/>
            </x14:dataBar>
          </x14:cfRule>
          <xm:sqref>N172:O172</xm:sqref>
        </x14:conditionalFormatting>
        <x14:conditionalFormatting xmlns:xm="http://schemas.microsoft.com/office/excel/2006/main">
          <x14:cfRule type="dataBar" id="{419FAD6E-323A-1A44-8CA5-7F376508D830}">
            <x14:dataBar minLength="0" maxLength="100" gradient="0">
              <x14:cfvo type="autoMin"/>
              <x14:cfvo type="autoMax"/>
              <x14:negativeFillColor rgb="FFFF0000"/>
              <x14:axisColor rgb="FF000000"/>
            </x14:dataBar>
          </x14:cfRule>
          <xm:sqref>H183:M183</xm:sqref>
        </x14:conditionalFormatting>
        <x14:conditionalFormatting xmlns:xm="http://schemas.microsoft.com/office/excel/2006/main">
          <x14:cfRule type="dataBar" id="{818ADF9F-69D3-AA44-859D-BB323C2E6291}">
            <x14:dataBar minLength="0" maxLength="100" gradient="0">
              <x14:cfvo type="autoMin"/>
              <x14:cfvo type="autoMax"/>
              <x14:negativeFillColor rgb="FFFF0000"/>
              <x14:axisColor rgb="FF000000"/>
            </x14:dataBar>
          </x14:cfRule>
          <xm:sqref>N183:O183</xm:sqref>
        </x14:conditionalFormatting>
        <x14:conditionalFormatting xmlns:xm="http://schemas.microsoft.com/office/excel/2006/main">
          <x14:cfRule type="dataBar" id="{A0088D5B-FE2F-6345-B04A-DBE6F2B0F490}">
            <x14:dataBar minLength="0" maxLength="100" gradient="0">
              <x14:cfvo type="autoMin"/>
              <x14:cfvo type="autoMax"/>
              <x14:negativeFillColor rgb="FFFF0000"/>
              <x14:axisColor rgb="FF000000"/>
            </x14:dataBar>
          </x14:cfRule>
          <xm:sqref>H235:M235</xm:sqref>
        </x14:conditionalFormatting>
        <x14:conditionalFormatting xmlns:xm="http://schemas.microsoft.com/office/excel/2006/main">
          <x14:cfRule type="dataBar" id="{67FB9941-B45D-8F40-AEF2-E9D3F19E6DFB}">
            <x14:dataBar minLength="0" maxLength="100" gradient="0">
              <x14:cfvo type="autoMin"/>
              <x14:cfvo type="autoMax"/>
              <x14:negativeFillColor rgb="FFFF0000"/>
              <x14:axisColor rgb="FF000000"/>
            </x14:dataBar>
          </x14:cfRule>
          <xm:sqref>N235:O235</xm:sqref>
        </x14:conditionalFormatting>
        <x14:conditionalFormatting xmlns:xm="http://schemas.microsoft.com/office/excel/2006/main">
          <x14:cfRule type="dataBar" id="{2AA03058-21C3-7949-B7C4-A49D81F694DB}">
            <x14:dataBar minLength="0" maxLength="100" gradient="0">
              <x14:cfvo type="autoMin"/>
              <x14:cfvo type="autoMax"/>
              <x14:negativeFillColor rgb="FFFF0000"/>
              <x14:axisColor rgb="FF000000"/>
            </x14:dataBar>
          </x14:cfRule>
          <xm:sqref>H225:M225</xm:sqref>
        </x14:conditionalFormatting>
        <x14:conditionalFormatting xmlns:xm="http://schemas.microsoft.com/office/excel/2006/main">
          <x14:cfRule type="dataBar" id="{FE570449-4CA8-6B4B-94EA-489676A8A7BB}">
            <x14:dataBar minLength="0" maxLength="100" gradient="0">
              <x14:cfvo type="autoMin"/>
              <x14:cfvo type="autoMax"/>
              <x14:negativeFillColor rgb="FFFF0000"/>
              <x14:axisColor rgb="FF000000"/>
            </x14:dataBar>
          </x14:cfRule>
          <xm:sqref>N225:O225</xm:sqref>
        </x14:conditionalFormatting>
        <x14:conditionalFormatting xmlns:xm="http://schemas.microsoft.com/office/excel/2006/main">
          <x14:cfRule type="dataBar" id="{2891BB68-FB0E-FB44-971E-2639112FE6C8}">
            <x14:dataBar minLength="0" maxLength="100" gradient="0">
              <x14:cfvo type="autoMin"/>
              <x14:cfvo type="autoMax"/>
              <x14:negativeFillColor rgb="FFFF0000"/>
              <x14:axisColor rgb="FF000000"/>
            </x14:dataBar>
          </x14:cfRule>
          <xm:sqref>N169:O170 N2:O33 N189:O189 N191:O224 N35:O36 O34 O37:O38 N39:O139 N160:O167 N147:O156 N141:O145 N173:O182 N184:O187 N236:O470 N226:O234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K113"/>
  <sheetViews>
    <sheetView zoomScale="75" zoomScaleNormal="85" workbookViewId="0">
      <pane xSplit="1" ySplit="1" topLeftCell="B2" activePane="bottomRight" state="frozen"/>
      <selection pane="topRight" activeCell="C1" sqref="C1"/>
      <selection pane="bottomLeft" activeCell="A3" sqref="A3"/>
      <selection pane="bottomRight" activeCell="K51" sqref="K51"/>
    </sheetView>
  </sheetViews>
  <sheetFormatPr baseColWidth="10" defaultColWidth="9.1640625" defaultRowHeight="15" x14ac:dyDescent="0.2"/>
  <cols>
    <col min="1" max="1" width="16.33203125" style="18" customWidth="1"/>
    <col min="2" max="2" width="10.6640625" style="52" bestFit="1" customWidth="1"/>
    <col min="3" max="3" width="17.6640625" style="65" bestFit="1" customWidth="1"/>
    <col min="4" max="4" width="23.1640625" style="311" customWidth="1"/>
    <col min="5" max="9" width="6.5" style="65" customWidth="1"/>
    <col min="10" max="10" width="14.5" style="65" customWidth="1"/>
    <col min="11" max="11" width="78" style="121" bestFit="1" customWidth="1"/>
    <col min="12" max="16384" width="9.1640625" style="71"/>
  </cols>
  <sheetData>
    <row r="1" spans="1:11" s="440" customFormat="1" ht="30" customHeight="1" x14ac:dyDescent="0.2">
      <c r="A1" s="450" t="s">
        <v>59</v>
      </c>
      <c r="B1" s="451" t="s">
        <v>58</v>
      </c>
      <c r="C1" s="451" t="s">
        <v>85</v>
      </c>
      <c r="D1" s="452" t="s">
        <v>57</v>
      </c>
      <c r="E1" s="453" t="s">
        <v>64</v>
      </c>
      <c r="F1" s="453" t="s">
        <v>60</v>
      </c>
      <c r="G1" s="453" t="s">
        <v>61</v>
      </c>
      <c r="H1" s="453" t="s">
        <v>62</v>
      </c>
      <c r="I1" s="453" t="s">
        <v>63</v>
      </c>
      <c r="J1" s="454" t="s">
        <v>116</v>
      </c>
      <c r="K1" s="455" t="s">
        <v>75</v>
      </c>
    </row>
    <row r="2" spans="1:11" s="12" customFormat="1" ht="15" customHeight="1" x14ac:dyDescent="0.2">
      <c r="A2" s="132" t="s">
        <v>104</v>
      </c>
      <c r="B2" s="238" t="s">
        <v>809</v>
      </c>
      <c r="C2" s="460">
        <v>1.4800759013282732</v>
      </c>
      <c r="D2" s="308" t="s">
        <v>71</v>
      </c>
      <c r="E2" s="68">
        <v>1</v>
      </c>
      <c r="F2" s="68">
        <v>2</v>
      </c>
      <c r="G2" s="68">
        <v>1</v>
      </c>
      <c r="H2" s="68">
        <v>2</v>
      </c>
      <c r="I2" s="68">
        <v>3</v>
      </c>
      <c r="J2" s="457">
        <f>IF( OR( ISBLANK(E2),ISBLANK(F2), ISBLANK(G2), ISBLANK(H2), ISBLANK(I2) ), "", 1.5*SQRT(   EXP(2.21*(E2-1)) + EXP(2.21*(F2-1)) + EXP(2.21*(G2-1)) + EXP(2.21*(H2-1)) + EXP(2.21*I2)   )/100*2.45 )</f>
        <v>1.0248662490928169</v>
      </c>
      <c r="K2" s="458"/>
    </row>
    <row r="3" spans="1:11" s="12" customFormat="1" ht="15" customHeight="1" x14ac:dyDescent="0.2">
      <c r="A3" s="88" t="s">
        <v>104</v>
      </c>
      <c r="B3" s="235" t="s">
        <v>810</v>
      </c>
      <c r="C3" s="441">
        <v>0.54269449715370022</v>
      </c>
      <c r="D3" s="311" t="s">
        <v>71</v>
      </c>
      <c r="E3" s="65">
        <v>1</v>
      </c>
      <c r="F3" s="65">
        <v>2</v>
      </c>
      <c r="G3" s="65">
        <v>1</v>
      </c>
      <c r="H3" s="65">
        <v>2</v>
      </c>
      <c r="I3" s="65">
        <v>3</v>
      </c>
      <c r="J3" s="442">
        <f t="shared" ref="J3:J66" si="0">IF( OR( ISBLANK(E3),ISBLANK(F3), ISBLANK(G3), ISBLANK(H3), ISBLANK(I3) ), "", 1.5*SQRT(   EXP(2.21*(E3-1)) + EXP(2.21*(F3-1)) + EXP(2.21*(G3-1)) + EXP(2.21*(H3-1)) + EXP(2.21*I3)   )/100*2.45 )</f>
        <v>1.0248662490928169</v>
      </c>
      <c r="K3" s="445"/>
    </row>
    <row r="4" spans="1:11" s="12" customFormat="1" ht="15" customHeight="1" x14ac:dyDescent="0.2">
      <c r="A4" s="88" t="s">
        <v>104</v>
      </c>
      <c r="B4" s="234" t="s">
        <v>811</v>
      </c>
      <c r="C4" s="441">
        <v>0.54269449715370022</v>
      </c>
      <c r="D4" s="311" t="s">
        <v>71</v>
      </c>
      <c r="E4" s="65">
        <v>1</v>
      </c>
      <c r="F4" s="65">
        <v>2</v>
      </c>
      <c r="G4" s="65">
        <v>1</v>
      </c>
      <c r="H4" s="65">
        <v>2</v>
      </c>
      <c r="I4" s="65">
        <v>3</v>
      </c>
      <c r="J4" s="442">
        <f t="shared" si="0"/>
        <v>1.0248662490928169</v>
      </c>
      <c r="K4" s="445"/>
    </row>
    <row r="5" spans="1:11" s="12" customFormat="1" ht="15" customHeight="1" x14ac:dyDescent="0.2">
      <c r="A5" s="88" t="s">
        <v>104</v>
      </c>
      <c r="B5" s="233" t="s">
        <v>812</v>
      </c>
      <c r="C5" s="441">
        <v>0.74003795066413658</v>
      </c>
      <c r="D5" s="311" t="s">
        <v>71</v>
      </c>
      <c r="E5" s="65">
        <v>1</v>
      </c>
      <c r="F5" s="65">
        <v>2</v>
      </c>
      <c r="G5" s="65">
        <v>1</v>
      </c>
      <c r="H5" s="65">
        <v>2</v>
      </c>
      <c r="I5" s="65">
        <v>3</v>
      </c>
      <c r="J5" s="442">
        <f t="shared" si="0"/>
        <v>1.0248662490928169</v>
      </c>
      <c r="K5" s="445"/>
    </row>
    <row r="6" spans="1:11" s="12" customFormat="1" ht="15" customHeight="1" x14ac:dyDescent="0.2">
      <c r="A6" s="461" t="s">
        <v>104</v>
      </c>
      <c r="B6" s="333" t="s">
        <v>813</v>
      </c>
      <c r="C6" s="462">
        <v>0.14800759013282733</v>
      </c>
      <c r="D6" s="310" t="s">
        <v>71</v>
      </c>
      <c r="E6" s="70">
        <v>1</v>
      </c>
      <c r="F6" s="70">
        <v>2</v>
      </c>
      <c r="G6" s="70">
        <v>1</v>
      </c>
      <c r="H6" s="70">
        <v>2</v>
      </c>
      <c r="I6" s="70">
        <v>3</v>
      </c>
      <c r="J6" s="448">
        <f t="shared" si="0"/>
        <v>1.0248662490928169</v>
      </c>
      <c r="K6" s="449"/>
    </row>
    <row r="7" spans="1:11" s="12" customFormat="1" ht="15" customHeight="1" x14ac:dyDescent="0.2">
      <c r="A7" s="132" t="s">
        <v>2</v>
      </c>
      <c r="B7" s="238" t="s">
        <v>809</v>
      </c>
      <c r="C7" s="314">
        <v>32.726335000000006</v>
      </c>
      <c r="D7" s="306" t="s">
        <v>828</v>
      </c>
      <c r="E7" s="68">
        <v>1</v>
      </c>
      <c r="F7" s="68">
        <v>1</v>
      </c>
      <c r="G7" s="68">
        <v>1</v>
      </c>
      <c r="H7" s="68">
        <v>2</v>
      </c>
      <c r="I7" s="68">
        <v>3</v>
      </c>
      <c r="J7" s="457">
        <f t="shared" si="0"/>
        <v>1.0195048044558224</v>
      </c>
      <c r="K7" s="463"/>
    </row>
    <row r="8" spans="1:11" s="12" customFormat="1" ht="15" customHeight="1" x14ac:dyDescent="0.2">
      <c r="A8" s="88" t="s">
        <v>2</v>
      </c>
      <c r="B8" s="235" t="s">
        <v>810</v>
      </c>
      <c r="C8" s="349">
        <v>0</v>
      </c>
      <c r="D8" s="370" t="s">
        <v>99</v>
      </c>
      <c r="E8" s="65">
        <v>1</v>
      </c>
      <c r="F8" s="65">
        <v>1</v>
      </c>
      <c r="G8" s="65">
        <v>1</v>
      </c>
      <c r="H8" s="65">
        <v>2</v>
      </c>
      <c r="I8" s="65">
        <v>3</v>
      </c>
      <c r="J8" s="442">
        <f t="shared" si="0"/>
        <v>1.0195048044558224</v>
      </c>
      <c r="K8" s="446"/>
    </row>
    <row r="9" spans="1:11" s="12" customFormat="1" x14ac:dyDescent="0.2">
      <c r="A9" s="88" t="s">
        <v>2</v>
      </c>
      <c r="B9" s="234" t="s">
        <v>811</v>
      </c>
      <c r="C9" s="349">
        <v>52</v>
      </c>
      <c r="D9" s="370" t="s">
        <v>99</v>
      </c>
      <c r="E9" s="65">
        <v>1</v>
      </c>
      <c r="F9" s="65">
        <v>1</v>
      </c>
      <c r="G9" s="65">
        <v>1</v>
      </c>
      <c r="H9" s="65">
        <v>2</v>
      </c>
      <c r="I9" s="65">
        <v>3</v>
      </c>
      <c r="J9" s="442">
        <f t="shared" si="0"/>
        <v>1.0195048044558224</v>
      </c>
      <c r="K9" s="446"/>
    </row>
    <row r="10" spans="1:11" s="12" customFormat="1" x14ac:dyDescent="0.2">
      <c r="A10" s="88" t="s">
        <v>2</v>
      </c>
      <c r="B10" s="233" t="s">
        <v>812</v>
      </c>
      <c r="C10" s="349">
        <v>0</v>
      </c>
      <c r="D10" s="370" t="s">
        <v>99</v>
      </c>
      <c r="E10" s="65">
        <v>1</v>
      </c>
      <c r="F10" s="65">
        <v>1</v>
      </c>
      <c r="G10" s="65">
        <v>1</v>
      </c>
      <c r="H10" s="65">
        <v>2</v>
      </c>
      <c r="I10" s="65">
        <v>3</v>
      </c>
      <c r="J10" s="442">
        <f t="shared" si="0"/>
        <v>1.0195048044558224</v>
      </c>
      <c r="K10" s="446"/>
    </row>
    <row r="11" spans="1:11" s="12" customFormat="1" x14ac:dyDescent="0.2">
      <c r="A11" s="461" t="s">
        <v>2</v>
      </c>
      <c r="B11" s="333" t="s">
        <v>813</v>
      </c>
      <c r="C11" s="313">
        <v>5.4224550000000002</v>
      </c>
      <c r="D11" s="307" t="s">
        <v>829</v>
      </c>
      <c r="E11" s="70">
        <v>1</v>
      </c>
      <c r="F11" s="70">
        <v>1</v>
      </c>
      <c r="G11" s="70">
        <v>1</v>
      </c>
      <c r="H11" s="70">
        <v>2</v>
      </c>
      <c r="I11" s="70">
        <v>3</v>
      </c>
      <c r="J11" s="448">
        <f t="shared" si="0"/>
        <v>1.0195048044558224</v>
      </c>
      <c r="K11" s="464"/>
    </row>
    <row r="12" spans="1:11" s="12" customFormat="1" x14ac:dyDescent="0.2">
      <c r="A12" s="132" t="s">
        <v>3</v>
      </c>
      <c r="B12" s="238" t="s">
        <v>809</v>
      </c>
      <c r="C12" s="315">
        <v>-2.7263350000000002</v>
      </c>
      <c r="D12" s="308" t="s">
        <v>74</v>
      </c>
      <c r="E12" s="68">
        <v>1</v>
      </c>
      <c r="F12" s="68">
        <v>1</v>
      </c>
      <c r="G12" s="68">
        <v>1</v>
      </c>
      <c r="H12" s="68">
        <v>1</v>
      </c>
      <c r="I12" s="68">
        <v>2</v>
      </c>
      <c r="J12" s="457">
        <f t="shared" si="0"/>
        <v>0.34297081055722239</v>
      </c>
      <c r="K12" s="458"/>
    </row>
    <row r="13" spans="1:11" s="12" customFormat="1" x14ac:dyDescent="0.2">
      <c r="A13" s="88" t="s">
        <v>3</v>
      </c>
      <c r="B13" s="235" t="s">
        <v>810</v>
      </c>
      <c r="C13" s="127">
        <v>10.643051</v>
      </c>
      <c r="D13" s="311" t="s">
        <v>74</v>
      </c>
      <c r="E13" s="65">
        <v>1</v>
      </c>
      <c r="F13" s="65">
        <v>1</v>
      </c>
      <c r="G13" s="65">
        <v>1</v>
      </c>
      <c r="H13" s="65">
        <v>1</v>
      </c>
      <c r="I13" s="65">
        <v>2</v>
      </c>
      <c r="J13" s="442">
        <f t="shared" si="0"/>
        <v>0.34297081055722239</v>
      </c>
      <c r="K13" s="445"/>
    </row>
    <row r="14" spans="1:11" s="12" customFormat="1" x14ac:dyDescent="0.2">
      <c r="A14" s="88" t="s">
        <v>3</v>
      </c>
      <c r="B14" s="234" t="s">
        <v>811</v>
      </c>
      <c r="C14" s="127">
        <v>-21</v>
      </c>
      <c r="D14" s="311" t="s">
        <v>74</v>
      </c>
      <c r="E14" s="65">
        <v>1</v>
      </c>
      <c r="F14" s="65">
        <v>1</v>
      </c>
      <c r="G14" s="65">
        <v>1</v>
      </c>
      <c r="H14" s="65">
        <v>1</v>
      </c>
      <c r="I14" s="65">
        <v>2</v>
      </c>
      <c r="J14" s="442">
        <f t="shared" si="0"/>
        <v>0.34297081055722239</v>
      </c>
      <c r="K14" s="445"/>
    </row>
    <row r="15" spans="1:11" s="12" customFormat="1" x14ac:dyDescent="0.2">
      <c r="A15" s="88" t="s">
        <v>3</v>
      </c>
      <c r="B15" s="233" t="s">
        <v>812</v>
      </c>
      <c r="C15" s="127">
        <v>12.708995000000002</v>
      </c>
      <c r="D15" s="311" t="s">
        <v>74</v>
      </c>
      <c r="E15" s="65">
        <v>1</v>
      </c>
      <c r="F15" s="65">
        <v>1</v>
      </c>
      <c r="G15" s="65">
        <v>1</v>
      </c>
      <c r="H15" s="65">
        <v>1</v>
      </c>
      <c r="I15" s="65">
        <v>2</v>
      </c>
      <c r="J15" s="442">
        <f t="shared" si="0"/>
        <v>0.34297081055722239</v>
      </c>
      <c r="K15" s="445"/>
    </row>
    <row r="16" spans="1:11" s="12" customFormat="1" ht="15" customHeight="1" x14ac:dyDescent="0.2">
      <c r="A16" s="461" t="s">
        <v>3</v>
      </c>
      <c r="B16" s="333" t="s">
        <v>813</v>
      </c>
      <c r="C16" s="128">
        <v>-2.4224549999999998</v>
      </c>
      <c r="D16" s="310" t="s">
        <v>74</v>
      </c>
      <c r="E16" s="70">
        <v>1</v>
      </c>
      <c r="F16" s="70">
        <v>1</v>
      </c>
      <c r="G16" s="70">
        <v>1</v>
      </c>
      <c r="H16" s="70">
        <v>1</v>
      </c>
      <c r="I16" s="70">
        <v>2</v>
      </c>
      <c r="J16" s="448">
        <f t="shared" si="0"/>
        <v>0.34297081055722239</v>
      </c>
      <c r="K16" s="449"/>
    </row>
    <row r="17" spans="1:11" s="12" customFormat="1" x14ac:dyDescent="0.2">
      <c r="A17" s="132" t="s">
        <v>4</v>
      </c>
      <c r="B17" s="238" t="s">
        <v>809</v>
      </c>
      <c r="C17" s="315">
        <v>1.844908E-2</v>
      </c>
      <c r="D17" s="308" t="s">
        <v>74</v>
      </c>
      <c r="E17" s="68">
        <v>1</v>
      </c>
      <c r="F17" s="68">
        <v>1</v>
      </c>
      <c r="G17" s="68">
        <v>2</v>
      </c>
      <c r="H17" s="68">
        <v>1</v>
      </c>
      <c r="I17" s="68">
        <v>2</v>
      </c>
      <c r="J17" s="457">
        <f t="shared" si="0"/>
        <v>0.35859414261160716</v>
      </c>
      <c r="K17" s="458"/>
    </row>
    <row r="18" spans="1:11" s="12" customFormat="1" x14ac:dyDescent="0.2">
      <c r="A18" s="88" t="s">
        <v>4</v>
      </c>
      <c r="B18" s="235" t="s">
        <v>810</v>
      </c>
      <c r="C18" s="127">
        <v>0</v>
      </c>
      <c r="D18" s="311"/>
      <c r="E18" s="74" t="s">
        <v>78</v>
      </c>
      <c r="F18" s="74"/>
      <c r="G18" s="74"/>
      <c r="H18" s="74"/>
      <c r="I18" s="74"/>
      <c r="J18" s="442" t="str">
        <f t="shared" si="0"/>
        <v/>
      </c>
      <c r="K18" s="445"/>
    </row>
    <row r="19" spans="1:11" s="12" customFormat="1" x14ac:dyDescent="0.2">
      <c r="A19" s="88" t="s">
        <v>4</v>
      </c>
      <c r="B19" s="234" t="s">
        <v>811</v>
      </c>
      <c r="C19" s="127">
        <v>1.5322260000000001</v>
      </c>
      <c r="D19" s="311" t="s">
        <v>74</v>
      </c>
      <c r="E19" s="65">
        <v>1</v>
      </c>
      <c r="F19" s="65">
        <v>1</v>
      </c>
      <c r="G19" s="65">
        <v>2</v>
      </c>
      <c r="H19" s="65">
        <v>1</v>
      </c>
      <c r="I19" s="65">
        <v>2</v>
      </c>
      <c r="J19" s="442">
        <f t="shared" si="0"/>
        <v>0.35859414261160716</v>
      </c>
      <c r="K19" s="445"/>
    </row>
    <row r="20" spans="1:11" s="12" customFormat="1" x14ac:dyDescent="0.2">
      <c r="A20" s="88" t="s">
        <v>4</v>
      </c>
      <c r="B20" s="233" t="s">
        <v>812</v>
      </c>
      <c r="C20" s="127">
        <v>0</v>
      </c>
      <c r="D20" s="311"/>
      <c r="E20" s="74" t="s">
        <v>78</v>
      </c>
      <c r="F20" s="74"/>
      <c r="G20" s="74"/>
      <c r="H20" s="74"/>
      <c r="I20" s="74"/>
      <c r="J20" s="442" t="str">
        <f t="shared" si="0"/>
        <v/>
      </c>
      <c r="K20" s="445"/>
    </row>
    <row r="21" spans="1:11" s="12" customFormat="1" x14ac:dyDescent="0.2">
      <c r="A21" s="461" t="s">
        <v>4</v>
      </c>
      <c r="B21" s="333" t="s">
        <v>813</v>
      </c>
      <c r="C21" s="128">
        <v>0</v>
      </c>
      <c r="D21" s="310"/>
      <c r="E21" s="75" t="s">
        <v>78</v>
      </c>
      <c r="F21" s="75"/>
      <c r="G21" s="75"/>
      <c r="H21" s="75"/>
      <c r="I21" s="75"/>
      <c r="J21" s="448" t="str">
        <f t="shared" si="0"/>
        <v/>
      </c>
      <c r="K21" s="449"/>
    </row>
    <row r="22" spans="1:11" s="12" customFormat="1" x14ac:dyDescent="0.2">
      <c r="A22" s="36" t="s">
        <v>5</v>
      </c>
      <c r="B22" s="238" t="s">
        <v>809</v>
      </c>
      <c r="C22" s="315">
        <v>4.2085729999999995E-2</v>
      </c>
      <c r="D22" s="308" t="s">
        <v>74</v>
      </c>
      <c r="E22" s="68">
        <v>1</v>
      </c>
      <c r="F22" s="68">
        <v>1</v>
      </c>
      <c r="G22" s="68">
        <v>2</v>
      </c>
      <c r="H22" s="68">
        <v>1</v>
      </c>
      <c r="I22" s="68">
        <v>2</v>
      </c>
      <c r="J22" s="457">
        <f t="shared" si="0"/>
        <v>0.35859414261160716</v>
      </c>
      <c r="K22" s="458"/>
    </row>
    <row r="23" spans="1:11" s="12" customFormat="1" x14ac:dyDescent="0.2">
      <c r="A23" s="100" t="s">
        <v>5</v>
      </c>
      <c r="B23" s="235" t="s">
        <v>810</v>
      </c>
      <c r="C23" s="127">
        <v>0</v>
      </c>
      <c r="D23" s="311"/>
      <c r="E23" s="74" t="s">
        <v>78</v>
      </c>
      <c r="F23" s="74"/>
      <c r="G23" s="74"/>
      <c r="H23" s="74"/>
      <c r="I23" s="74"/>
      <c r="J23" s="442" t="str">
        <f t="shared" si="0"/>
        <v/>
      </c>
      <c r="K23" s="445"/>
    </row>
    <row r="24" spans="1:11" s="12" customFormat="1" x14ac:dyDescent="0.2">
      <c r="A24" s="100" t="s">
        <v>5</v>
      </c>
      <c r="B24" s="234" t="s">
        <v>811</v>
      </c>
      <c r="C24" s="127">
        <v>2.0438609999999997</v>
      </c>
      <c r="D24" s="311" t="s">
        <v>74</v>
      </c>
      <c r="E24" s="65">
        <v>1</v>
      </c>
      <c r="F24" s="65">
        <v>1</v>
      </c>
      <c r="G24" s="65">
        <v>2</v>
      </c>
      <c r="H24" s="65">
        <v>1</v>
      </c>
      <c r="I24" s="65">
        <v>2</v>
      </c>
      <c r="J24" s="442">
        <f t="shared" si="0"/>
        <v>0.35859414261160716</v>
      </c>
      <c r="K24" s="445"/>
    </row>
    <row r="25" spans="1:11" s="12" customFormat="1" x14ac:dyDescent="0.2">
      <c r="A25" s="100" t="s">
        <v>5</v>
      </c>
      <c r="B25" s="233" t="s">
        <v>812</v>
      </c>
      <c r="C25" s="127">
        <v>0</v>
      </c>
      <c r="D25" s="311"/>
      <c r="E25" s="74"/>
      <c r="F25" s="74"/>
      <c r="G25" s="74"/>
      <c r="H25" s="74"/>
      <c r="I25" s="74"/>
      <c r="J25" s="442" t="str">
        <f t="shared" si="0"/>
        <v/>
      </c>
      <c r="K25" s="445"/>
    </row>
    <row r="26" spans="1:11" s="12" customFormat="1" x14ac:dyDescent="0.2">
      <c r="A26" s="210" t="s">
        <v>5</v>
      </c>
      <c r="B26" s="333" t="s">
        <v>813</v>
      </c>
      <c r="C26" s="128">
        <v>0</v>
      </c>
      <c r="D26" s="310"/>
      <c r="E26" s="75"/>
      <c r="F26" s="75"/>
      <c r="G26" s="75"/>
      <c r="H26" s="75"/>
      <c r="I26" s="75"/>
      <c r="J26" s="448" t="str">
        <f t="shared" si="0"/>
        <v/>
      </c>
      <c r="K26" s="449"/>
    </row>
    <row r="27" spans="1:11" s="12" customFormat="1" x14ac:dyDescent="0.2">
      <c r="A27" s="36" t="s">
        <v>6</v>
      </c>
      <c r="B27" s="238" t="s">
        <v>809</v>
      </c>
      <c r="C27" s="315">
        <v>12.91863566</v>
      </c>
      <c r="D27" s="308" t="s">
        <v>74</v>
      </c>
      <c r="E27" s="68">
        <v>1</v>
      </c>
      <c r="F27" s="68">
        <v>1</v>
      </c>
      <c r="G27" s="68">
        <v>3</v>
      </c>
      <c r="H27" s="68">
        <v>1</v>
      </c>
      <c r="I27" s="68">
        <v>2</v>
      </c>
      <c r="J27" s="457">
        <f t="shared" si="0"/>
        <v>0.47802211380704585</v>
      </c>
      <c r="K27" s="458"/>
    </row>
    <row r="28" spans="1:11" s="12" customFormat="1" x14ac:dyDescent="0.2">
      <c r="A28" s="100" t="s">
        <v>6</v>
      </c>
      <c r="B28" s="235" t="s">
        <v>810</v>
      </c>
      <c r="C28" s="127">
        <v>2.220126</v>
      </c>
      <c r="D28" s="311" t="s">
        <v>74</v>
      </c>
      <c r="E28" s="65">
        <v>1</v>
      </c>
      <c r="F28" s="65">
        <v>1</v>
      </c>
      <c r="G28" s="65">
        <v>3</v>
      </c>
      <c r="H28" s="65">
        <v>1</v>
      </c>
      <c r="I28" s="65">
        <v>2</v>
      </c>
      <c r="J28" s="442">
        <f t="shared" si="0"/>
        <v>0.47802211380704585</v>
      </c>
      <c r="K28" s="445"/>
    </row>
    <row r="29" spans="1:11" s="12" customFormat="1" x14ac:dyDescent="0.2">
      <c r="A29" s="100" t="s">
        <v>6</v>
      </c>
      <c r="B29" s="234" t="s">
        <v>811</v>
      </c>
      <c r="C29" s="127">
        <v>-2.5399209999999997</v>
      </c>
      <c r="D29" s="311" t="s">
        <v>74</v>
      </c>
      <c r="E29" s="65">
        <v>1</v>
      </c>
      <c r="F29" s="65">
        <v>1</v>
      </c>
      <c r="G29" s="65">
        <v>3</v>
      </c>
      <c r="H29" s="65">
        <v>1</v>
      </c>
      <c r="I29" s="65">
        <v>2</v>
      </c>
      <c r="J29" s="442">
        <f t="shared" si="0"/>
        <v>0.47802211380704585</v>
      </c>
      <c r="K29" s="445"/>
    </row>
    <row r="30" spans="1:11" s="12" customFormat="1" x14ac:dyDescent="0.2">
      <c r="A30" s="100" t="s">
        <v>6</v>
      </c>
      <c r="B30" s="233" t="s">
        <v>812</v>
      </c>
      <c r="C30" s="127">
        <v>16.273467</v>
      </c>
      <c r="D30" s="311" t="s">
        <v>74</v>
      </c>
      <c r="E30" s="65">
        <v>1</v>
      </c>
      <c r="F30" s="65">
        <v>1</v>
      </c>
      <c r="G30" s="65">
        <v>3</v>
      </c>
      <c r="H30" s="65">
        <v>1</v>
      </c>
      <c r="I30" s="65">
        <v>2</v>
      </c>
      <c r="J30" s="442">
        <f t="shared" si="0"/>
        <v>0.47802211380704585</v>
      </c>
      <c r="K30" s="445"/>
    </row>
    <row r="31" spans="1:11" s="12" customFormat="1" x14ac:dyDescent="0.2">
      <c r="A31" s="210" t="s">
        <v>6</v>
      </c>
      <c r="B31" s="333" t="s">
        <v>813</v>
      </c>
      <c r="C31" s="128">
        <v>4.8763901499999998</v>
      </c>
      <c r="D31" s="310" t="s">
        <v>74</v>
      </c>
      <c r="E31" s="70">
        <v>1</v>
      </c>
      <c r="F31" s="70">
        <v>1</v>
      </c>
      <c r="G31" s="70">
        <v>3</v>
      </c>
      <c r="H31" s="70">
        <v>1</v>
      </c>
      <c r="I31" s="70">
        <v>2</v>
      </c>
      <c r="J31" s="448">
        <f t="shared" si="0"/>
        <v>0.47802211380704585</v>
      </c>
      <c r="K31" s="449"/>
    </row>
    <row r="32" spans="1:11" s="12" customFormat="1" x14ac:dyDescent="0.2">
      <c r="A32" s="3" t="s">
        <v>7</v>
      </c>
      <c r="B32" s="238" t="s">
        <v>809</v>
      </c>
      <c r="C32" s="459">
        <v>8.3090940000000002E-2</v>
      </c>
      <c r="D32" s="308" t="s">
        <v>74</v>
      </c>
      <c r="E32" s="68">
        <v>3</v>
      </c>
      <c r="F32" s="68">
        <v>1</v>
      </c>
      <c r="G32" s="68">
        <v>3</v>
      </c>
      <c r="H32" s="68">
        <v>1</v>
      </c>
      <c r="I32" s="68">
        <v>2</v>
      </c>
      <c r="J32" s="457">
        <f t="shared" si="0"/>
        <v>0.58256442191643876</v>
      </c>
      <c r="K32" s="458"/>
    </row>
    <row r="33" spans="1:11" s="12" customFormat="1" x14ac:dyDescent="0.2">
      <c r="A33" s="4" t="s">
        <v>7</v>
      </c>
      <c r="B33" s="240" t="s">
        <v>809</v>
      </c>
      <c r="C33" s="443">
        <v>0.24927281000000001</v>
      </c>
      <c r="D33" s="311" t="s">
        <v>74</v>
      </c>
      <c r="E33" s="65">
        <v>3</v>
      </c>
      <c r="F33" s="65">
        <v>1</v>
      </c>
      <c r="G33" s="65">
        <v>3</v>
      </c>
      <c r="H33" s="65">
        <v>1</v>
      </c>
      <c r="I33" s="65">
        <v>2</v>
      </c>
      <c r="J33" s="442">
        <f t="shared" si="0"/>
        <v>0.58256442191643876</v>
      </c>
      <c r="K33" s="445"/>
    </row>
    <row r="34" spans="1:11" s="12" customFormat="1" x14ac:dyDescent="0.2">
      <c r="A34" s="4" t="s">
        <v>7</v>
      </c>
      <c r="B34" s="235" t="s">
        <v>810</v>
      </c>
      <c r="C34" s="443">
        <v>4.5863130000000002E-2</v>
      </c>
      <c r="D34" s="311" t="s">
        <v>74</v>
      </c>
      <c r="E34" s="65">
        <v>3</v>
      </c>
      <c r="F34" s="65">
        <v>1</v>
      </c>
      <c r="G34" s="65">
        <v>3</v>
      </c>
      <c r="H34" s="65">
        <v>1</v>
      </c>
      <c r="I34" s="65">
        <v>2</v>
      </c>
      <c r="J34" s="442">
        <f t="shared" si="0"/>
        <v>0.58256442191643876</v>
      </c>
      <c r="K34" s="445"/>
    </row>
    <row r="35" spans="1:11" s="12" customFormat="1" x14ac:dyDescent="0.2">
      <c r="A35" s="4" t="s">
        <v>7</v>
      </c>
      <c r="B35" s="235" t="s">
        <v>810</v>
      </c>
      <c r="C35" s="443">
        <v>0.1375894</v>
      </c>
      <c r="D35" s="311" t="s">
        <v>74</v>
      </c>
      <c r="E35" s="65">
        <v>3</v>
      </c>
      <c r="F35" s="65">
        <v>1</v>
      </c>
      <c r="G35" s="65">
        <v>3</v>
      </c>
      <c r="H35" s="65">
        <v>1</v>
      </c>
      <c r="I35" s="65">
        <v>2</v>
      </c>
      <c r="J35" s="442">
        <f t="shared" si="0"/>
        <v>0.58256442191643876</v>
      </c>
      <c r="K35" s="445"/>
    </row>
    <row r="36" spans="1:11" s="12" customFormat="1" x14ac:dyDescent="0.2">
      <c r="A36" s="4" t="s">
        <v>7</v>
      </c>
      <c r="B36" s="234" t="s">
        <v>811</v>
      </c>
      <c r="C36" s="443">
        <v>0.1410815</v>
      </c>
      <c r="D36" s="311" t="s">
        <v>74</v>
      </c>
      <c r="E36" s="65">
        <v>3</v>
      </c>
      <c r="F36" s="65">
        <v>1</v>
      </c>
      <c r="G36" s="65">
        <v>3</v>
      </c>
      <c r="H36" s="65">
        <v>1</v>
      </c>
      <c r="I36" s="65">
        <v>2</v>
      </c>
      <c r="J36" s="442">
        <f t="shared" si="0"/>
        <v>0.58256442191643876</v>
      </c>
      <c r="K36" s="445"/>
    </row>
    <row r="37" spans="1:11" s="12" customFormat="1" x14ac:dyDescent="0.2">
      <c r="A37" s="4" t="s">
        <v>7</v>
      </c>
      <c r="B37" s="234" t="s">
        <v>811</v>
      </c>
      <c r="C37" s="443">
        <v>0.42324450000000002</v>
      </c>
      <c r="D37" s="311" t="s">
        <v>74</v>
      </c>
      <c r="E37" s="65">
        <v>3</v>
      </c>
      <c r="F37" s="65">
        <v>1</v>
      </c>
      <c r="G37" s="65">
        <v>3</v>
      </c>
      <c r="H37" s="65">
        <v>1</v>
      </c>
      <c r="I37" s="65">
        <v>2</v>
      </c>
      <c r="J37" s="442">
        <f t="shared" si="0"/>
        <v>0.58256442191643876</v>
      </c>
      <c r="K37" s="445"/>
    </row>
    <row r="38" spans="1:11" s="12" customFormat="1" x14ac:dyDescent="0.2">
      <c r="A38" s="4" t="s">
        <v>7</v>
      </c>
      <c r="B38" s="233" t="s">
        <v>812</v>
      </c>
      <c r="C38" s="443">
        <v>1.4314540000000001E-2</v>
      </c>
      <c r="D38" s="311" t="s">
        <v>74</v>
      </c>
      <c r="E38" s="65">
        <v>3</v>
      </c>
      <c r="F38" s="65">
        <v>1</v>
      </c>
      <c r="G38" s="65">
        <v>3</v>
      </c>
      <c r="H38" s="65">
        <v>1</v>
      </c>
      <c r="I38" s="65">
        <v>2</v>
      </c>
      <c r="J38" s="442">
        <f t="shared" si="0"/>
        <v>0.58256442191643876</v>
      </c>
      <c r="K38" s="445"/>
    </row>
    <row r="39" spans="1:11" s="12" customFormat="1" x14ac:dyDescent="0.2">
      <c r="A39" s="4" t="s">
        <v>7</v>
      </c>
      <c r="B39" s="233" t="s">
        <v>812</v>
      </c>
      <c r="C39" s="443">
        <v>4.2943630000000003E-2</v>
      </c>
      <c r="D39" s="311" t="s">
        <v>74</v>
      </c>
      <c r="E39" s="65">
        <v>3</v>
      </c>
      <c r="F39" s="65">
        <v>1</v>
      </c>
      <c r="G39" s="65">
        <v>3</v>
      </c>
      <c r="H39" s="65">
        <v>1</v>
      </c>
      <c r="I39" s="65">
        <v>2</v>
      </c>
      <c r="J39" s="442">
        <f t="shared" si="0"/>
        <v>0.58256442191643876</v>
      </c>
      <c r="K39" s="445"/>
    </row>
    <row r="40" spans="1:11" s="12" customFormat="1" x14ac:dyDescent="0.2">
      <c r="A40" s="4" t="s">
        <v>7</v>
      </c>
      <c r="B40" s="232" t="s">
        <v>813</v>
      </c>
      <c r="C40" s="9">
        <v>0</v>
      </c>
      <c r="D40" s="311"/>
      <c r="E40" s="74"/>
      <c r="F40" s="74"/>
      <c r="G40" s="74"/>
      <c r="H40" s="74"/>
      <c r="I40" s="74"/>
      <c r="J40" s="442" t="str">
        <f t="shared" ref="J40:J41" si="1">IF( OR( ISBLANK(E40),ISBLANK(F40), ISBLANK(G40), ISBLANK(H40), ISBLANK(I40) ), "", 1.5*SQRT(   EXP(2.21*(E40-1)) + EXP(2.21*(F40-1)) + EXP(2.21*(G40-1)) + EXP(2.21*(H40-1)) + EXP(2.21*I40)   )/100*2.45 )</f>
        <v/>
      </c>
      <c r="K40" s="445"/>
    </row>
    <row r="41" spans="1:11" s="12" customFormat="1" x14ac:dyDescent="0.2">
      <c r="A41" s="447" t="s">
        <v>7</v>
      </c>
      <c r="B41" s="333" t="s">
        <v>813</v>
      </c>
      <c r="C41" s="87">
        <v>0</v>
      </c>
      <c r="D41" s="310"/>
      <c r="E41" s="75"/>
      <c r="F41" s="75"/>
      <c r="G41" s="75"/>
      <c r="H41" s="75"/>
      <c r="I41" s="75"/>
      <c r="J41" s="448" t="str">
        <f t="shared" si="1"/>
        <v/>
      </c>
      <c r="K41" s="449"/>
    </row>
    <row r="42" spans="1:11" s="12" customFormat="1" x14ac:dyDescent="0.2">
      <c r="A42" s="3" t="s">
        <v>8</v>
      </c>
      <c r="B42" s="238" t="s">
        <v>809</v>
      </c>
      <c r="C42" s="39">
        <v>0</v>
      </c>
      <c r="D42" s="308"/>
      <c r="E42" s="61"/>
      <c r="F42" s="61"/>
      <c r="G42" s="61"/>
      <c r="H42" s="61"/>
      <c r="I42" s="61"/>
      <c r="J42" s="457" t="str">
        <f t="shared" si="0"/>
        <v/>
      </c>
      <c r="K42" s="458"/>
    </row>
    <row r="43" spans="1:11" s="12" customFormat="1" x14ac:dyDescent="0.2">
      <c r="A43" s="4" t="s">
        <v>8</v>
      </c>
      <c r="B43" s="235" t="s">
        <v>810</v>
      </c>
      <c r="C43" s="9">
        <v>0</v>
      </c>
      <c r="D43" s="311"/>
      <c r="E43" s="74"/>
      <c r="F43" s="74"/>
      <c r="G43" s="74"/>
      <c r="H43" s="74"/>
      <c r="I43" s="74"/>
      <c r="J43" s="442" t="str">
        <f t="shared" si="0"/>
        <v/>
      </c>
      <c r="K43" s="445"/>
    </row>
    <row r="44" spans="1:11" s="12" customFormat="1" x14ac:dyDescent="0.2">
      <c r="A44" s="4" t="s">
        <v>8</v>
      </c>
      <c r="B44" s="234" t="s">
        <v>811</v>
      </c>
      <c r="C44" s="9">
        <v>0</v>
      </c>
      <c r="D44" s="311"/>
      <c r="E44" s="74"/>
      <c r="F44" s="74"/>
      <c r="G44" s="74"/>
      <c r="H44" s="74"/>
      <c r="I44" s="74"/>
      <c r="J44" s="442" t="str">
        <f t="shared" si="0"/>
        <v/>
      </c>
      <c r="K44" s="445"/>
    </row>
    <row r="45" spans="1:11" s="12" customFormat="1" x14ac:dyDescent="0.2">
      <c r="A45" s="4" t="s">
        <v>8</v>
      </c>
      <c r="B45" s="233" t="s">
        <v>812</v>
      </c>
      <c r="C45" s="9">
        <v>0</v>
      </c>
      <c r="D45" s="311"/>
      <c r="E45" s="74"/>
      <c r="F45" s="74"/>
      <c r="G45" s="74"/>
      <c r="H45" s="74"/>
      <c r="I45" s="74"/>
      <c r="J45" s="442" t="str">
        <f t="shared" si="0"/>
        <v/>
      </c>
      <c r="K45" s="445"/>
    </row>
    <row r="46" spans="1:11" s="12" customFormat="1" x14ac:dyDescent="0.2">
      <c r="A46" s="447" t="s">
        <v>8</v>
      </c>
      <c r="B46" s="333" t="s">
        <v>813</v>
      </c>
      <c r="C46" s="87">
        <v>0</v>
      </c>
      <c r="D46" s="310"/>
      <c r="E46" s="75"/>
      <c r="F46" s="75"/>
      <c r="G46" s="75"/>
      <c r="H46" s="75"/>
      <c r="I46" s="75"/>
      <c r="J46" s="448" t="str">
        <f t="shared" ref="J46" si="2">IF( OR( ISBLANK(E46),ISBLANK(F46), ISBLANK(G46), ISBLANK(H46), ISBLANK(I46) ), "", 1.5*SQRT(   EXP(2.21*(E46-1)) + EXP(2.21*(F46-1)) + EXP(2.21*(G46-1)) + EXP(2.21*(H46-1)) + EXP(2.21*I46)   )/100*2.45 )</f>
        <v/>
      </c>
      <c r="K46" s="449"/>
    </row>
    <row r="47" spans="1:11" s="12" customFormat="1" x14ac:dyDescent="0.2">
      <c r="A47" s="4" t="s">
        <v>9</v>
      </c>
      <c r="B47" s="240" t="s">
        <v>809</v>
      </c>
      <c r="C47" s="441">
        <v>0.79845378151260926</v>
      </c>
      <c r="D47" s="311" t="s">
        <v>74</v>
      </c>
      <c r="E47" s="65">
        <v>1</v>
      </c>
      <c r="F47" s="65">
        <v>1</v>
      </c>
      <c r="G47" s="65">
        <v>2</v>
      </c>
      <c r="H47" s="65">
        <v>1</v>
      </c>
      <c r="I47" s="65">
        <v>2</v>
      </c>
      <c r="J47" s="442">
        <f t="shared" si="0"/>
        <v>0.35859414261160716</v>
      </c>
      <c r="K47" s="445"/>
    </row>
    <row r="48" spans="1:11" s="12" customFormat="1" x14ac:dyDescent="0.2">
      <c r="A48" s="4" t="s">
        <v>9</v>
      </c>
      <c r="B48" s="235" t="s">
        <v>810</v>
      </c>
      <c r="C48" s="441">
        <v>2.9270516717325292</v>
      </c>
      <c r="D48" s="311" t="s">
        <v>74</v>
      </c>
      <c r="E48" s="65">
        <v>1</v>
      </c>
      <c r="F48" s="65">
        <v>1</v>
      </c>
      <c r="G48" s="65">
        <v>2</v>
      </c>
      <c r="H48" s="65">
        <v>1</v>
      </c>
      <c r="I48" s="65">
        <v>2</v>
      </c>
      <c r="J48" s="442">
        <f t="shared" si="0"/>
        <v>0.35859414261160716</v>
      </c>
      <c r="K48" s="445"/>
    </row>
    <row r="49" spans="1:11" s="12" customFormat="1" x14ac:dyDescent="0.2">
      <c r="A49" s="4" t="s">
        <v>9</v>
      </c>
      <c r="B49" s="234" t="s">
        <v>811</v>
      </c>
      <c r="C49" s="441">
        <v>3.8740389772930284</v>
      </c>
      <c r="D49" s="311" t="s">
        <v>74</v>
      </c>
      <c r="E49" s="65">
        <v>1</v>
      </c>
      <c r="F49" s="65">
        <v>1</v>
      </c>
      <c r="G49" s="65">
        <v>2</v>
      </c>
      <c r="H49" s="65">
        <v>1</v>
      </c>
      <c r="I49" s="65">
        <v>2</v>
      </c>
      <c r="J49" s="442">
        <f t="shared" si="0"/>
        <v>0.35859414261160716</v>
      </c>
      <c r="K49" s="445"/>
    </row>
    <row r="50" spans="1:11" s="12" customFormat="1" x14ac:dyDescent="0.2">
      <c r="A50" s="4" t="s">
        <v>9</v>
      </c>
      <c r="B50" s="233" t="s">
        <v>812</v>
      </c>
      <c r="C50" s="441">
        <v>13.487394957983208</v>
      </c>
      <c r="D50" s="311" t="s">
        <v>74</v>
      </c>
      <c r="E50" s="65">
        <v>1</v>
      </c>
      <c r="F50" s="65">
        <v>1</v>
      </c>
      <c r="G50" s="65">
        <v>2</v>
      </c>
      <c r="H50" s="65">
        <v>1</v>
      </c>
      <c r="I50" s="65">
        <v>2</v>
      </c>
      <c r="J50" s="442">
        <f t="shared" si="0"/>
        <v>0.35859414261160716</v>
      </c>
      <c r="K50" s="445"/>
    </row>
    <row r="51" spans="1:11" s="12" customFormat="1" x14ac:dyDescent="0.2">
      <c r="A51" s="4" t="s">
        <v>9</v>
      </c>
      <c r="B51" s="232" t="s">
        <v>813</v>
      </c>
      <c r="C51" s="441">
        <v>0.44766672626497694</v>
      </c>
      <c r="D51" s="311" t="s">
        <v>74</v>
      </c>
      <c r="E51" s="65">
        <v>1</v>
      </c>
      <c r="F51" s="65">
        <v>1</v>
      </c>
      <c r="G51" s="65">
        <v>2</v>
      </c>
      <c r="H51" s="65">
        <v>1</v>
      </c>
      <c r="I51" s="65">
        <v>2</v>
      </c>
      <c r="J51" s="442">
        <f t="shared" si="0"/>
        <v>0.35859414261160716</v>
      </c>
      <c r="K51" s="445"/>
    </row>
    <row r="52" spans="1:11" s="12" customFormat="1" x14ac:dyDescent="0.2">
      <c r="A52" s="3" t="s">
        <v>10</v>
      </c>
      <c r="B52" s="238" t="s">
        <v>809</v>
      </c>
      <c r="C52" s="459">
        <v>2.1037511800000002</v>
      </c>
      <c r="D52" s="308" t="s">
        <v>74</v>
      </c>
      <c r="E52" s="68">
        <v>1</v>
      </c>
      <c r="F52" s="68">
        <v>3</v>
      </c>
      <c r="G52" s="68">
        <v>2</v>
      </c>
      <c r="H52" s="68">
        <v>1</v>
      </c>
      <c r="I52" s="68">
        <v>2</v>
      </c>
      <c r="J52" s="457">
        <f t="shared" si="0"/>
        <v>0.48935255543384243</v>
      </c>
      <c r="K52" s="458"/>
    </row>
    <row r="53" spans="1:11" s="12" customFormat="1" x14ac:dyDescent="0.2">
      <c r="A53" s="4" t="s">
        <v>10</v>
      </c>
      <c r="B53" s="235" t="s">
        <v>810</v>
      </c>
      <c r="C53" s="443">
        <v>2.240335</v>
      </c>
      <c r="D53" s="311" t="s">
        <v>74</v>
      </c>
      <c r="E53" s="65">
        <v>1</v>
      </c>
      <c r="F53" s="65">
        <v>3</v>
      </c>
      <c r="G53" s="65">
        <v>2</v>
      </c>
      <c r="H53" s="65">
        <v>1</v>
      </c>
      <c r="I53" s="65">
        <v>2</v>
      </c>
      <c r="J53" s="442">
        <f t="shared" si="0"/>
        <v>0.48935255543384243</v>
      </c>
      <c r="K53" s="445"/>
    </row>
    <row r="54" spans="1:11" s="12" customFormat="1" x14ac:dyDescent="0.2">
      <c r="A54" s="4" t="s">
        <v>10</v>
      </c>
      <c r="B54" s="234" t="s">
        <v>811</v>
      </c>
      <c r="C54" s="443">
        <v>1.6775009999999999</v>
      </c>
      <c r="D54" s="311" t="s">
        <v>74</v>
      </c>
      <c r="E54" s="65">
        <v>1</v>
      </c>
      <c r="F54" s="65">
        <v>3</v>
      </c>
      <c r="G54" s="65">
        <v>2</v>
      </c>
      <c r="H54" s="65">
        <v>1</v>
      </c>
      <c r="I54" s="65">
        <v>2</v>
      </c>
      <c r="J54" s="442">
        <f t="shared" si="0"/>
        <v>0.48935255543384243</v>
      </c>
      <c r="K54" s="445"/>
    </row>
    <row r="55" spans="1:11" s="12" customFormat="1" x14ac:dyDescent="0.2">
      <c r="A55" s="4" t="s">
        <v>10</v>
      </c>
      <c r="B55" s="233" t="s">
        <v>812</v>
      </c>
      <c r="C55" s="443">
        <v>5.6008360000000001</v>
      </c>
      <c r="D55" s="311" t="s">
        <v>74</v>
      </c>
      <c r="E55" s="65">
        <v>1</v>
      </c>
      <c r="F55" s="65">
        <v>3</v>
      </c>
      <c r="G55" s="65">
        <v>2</v>
      </c>
      <c r="H55" s="65">
        <v>1</v>
      </c>
      <c r="I55" s="65">
        <v>2</v>
      </c>
      <c r="J55" s="442">
        <f t="shared" si="0"/>
        <v>0.48935255543384243</v>
      </c>
      <c r="K55" s="445"/>
    </row>
    <row r="56" spans="1:11" s="12" customFormat="1" x14ac:dyDescent="0.2">
      <c r="A56" s="447" t="s">
        <v>10</v>
      </c>
      <c r="B56" s="333" t="s">
        <v>813</v>
      </c>
      <c r="C56" s="465">
        <v>3.4466690000000001E-2</v>
      </c>
      <c r="D56" s="310" t="s">
        <v>74</v>
      </c>
      <c r="E56" s="70">
        <v>1</v>
      </c>
      <c r="F56" s="70">
        <v>3</v>
      </c>
      <c r="G56" s="70">
        <v>2</v>
      </c>
      <c r="H56" s="70">
        <v>1</v>
      </c>
      <c r="I56" s="70">
        <v>2</v>
      </c>
      <c r="J56" s="448">
        <f t="shared" si="0"/>
        <v>0.48935255543384243</v>
      </c>
      <c r="K56" s="449"/>
    </row>
    <row r="57" spans="1:11" s="12" customFormat="1" x14ac:dyDescent="0.2">
      <c r="A57" s="4" t="s">
        <v>11</v>
      </c>
      <c r="B57" s="240" t="s">
        <v>809</v>
      </c>
      <c r="C57" s="9">
        <v>0</v>
      </c>
      <c r="D57" s="311"/>
      <c r="E57" s="74"/>
      <c r="F57" s="74"/>
      <c r="G57" s="74"/>
      <c r="H57" s="74"/>
      <c r="I57" s="74"/>
      <c r="J57" s="442" t="str">
        <f t="shared" ref="J57:J60" si="3">IF( OR( ISBLANK(E57),ISBLANK(F57), ISBLANK(G57), ISBLANK(H57), ISBLANK(I57) ), "", 1.5*SQRT(   EXP(2.21*(E57-1)) + EXP(2.21*(F57-1)) + EXP(2.21*(G57-1)) + EXP(2.21*(H57-1)) + EXP(2.21*I57)   )/100*2.45 )</f>
        <v/>
      </c>
      <c r="K57" s="445"/>
    </row>
    <row r="58" spans="1:11" s="12" customFormat="1" x14ac:dyDescent="0.2">
      <c r="A58" s="4" t="s">
        <v>11</v>
      </c>
      <c r="B58" s="235" t="s">
        <v>810</v>
      </c>
      <c r="C58" s="9">
        <v>0</v>
      </c>
      <c r="D58" s="311"/>
      <c r="E58" s="74"/>
      <c r="F58" s="74"/>
      <c r="G58" s="74"/>
      <c r="H58" s="74"/>
      <c r="I58" s="74"/>
      <c r="J58" s="442" t="str">
        <f t="shared" si="3"/>
        <v/>
      </c>
      <c r="K58" s="445"/>
    </row>
    <row r="59" spans="1:11" s="12" customFormat="1" x14ac:dyDescent="0.2">
      <c r="A59" s="4" t="s">
        <v>11</v>
      </c>
      <c r="B59" s="234" t="s">
        <v>811</v>
      </c>
      <c r="C59" s="9">
        <v>0</v>
      </c>
      <c r="D59" s="311"/>
      <c r="E59" s="74"/>
      <c r="F59" s="74"/>
      <c r="G59" s="74"/>
      <c r="H59" s="74"/>
      <c r="I59" s="74"/>
      <c r="J59" s="442" t="str">
        <f t="shared" si="3"/>
        <v/>
      </c>
      <c r="K59" s="445"/>
    </row>
    <row r="60" spans="1:11" s="12" customFormat="1" x14ac:dyDescent="0.2">
      <c r="A60" s="4" t="s">
        <v>11</v>
      </c>
      <c r="B60" s="233" t="s">
        <v>812</v>
      </c>
      <c r="C60" s="9">
        <v>0</v>
      </c>
      <c r="D60" s="311"/>
      <c r="E60" s="74"/>
      <c r="F60" s="74"/>
      <c r="G60" s="74"/>
      <c r="H60" s="74"/>
      <c r="I60" s="74"/>
      <c r="J60" s="442" t="str">
        <f t="shared" si="3"/>
        <v/>
      </c>
      <c r="K60" s="445"/>
    </row>
    <row r="61" spans="1:11" s="12" customFormat="1" x14ac:dyDescent="0.2">
      <c r="A61" s="4" t="s">
        <v>11</v>
      </c>
      <c r="B61" s="232" t="s">
        <v>813</v>
      </c>
      <c r="C61" s="9">
        <v>0</v>
      </c>
      <c r="D61" s="311"/>
      <c r="E61" s="74"/>
      <c r="F61" s="74"/>
      <c r="G61" s="74"/>
      <c r="H61" s="74"/>
      <c r="I61" s="74"/>
      <c r="J61" s="442" t="str">
        <f t="shared" si="0"/>
        <v/>
      </c>
      <c r="K61" s="445"/>
    </row>
    <row r="62" spans="1:11" s="12" customFormat="1" x14ac:dyDescent="0.2">
      <c r="A62" s="3" t="s">
        <v>86</v>
      </c>
      <c r="B62" s="238" t="s">
        <v>809</v>
      </c>
      <c r="C62" s="459">
        <v>2.26996464</v>
      </c>
      <c r="D62" s="308" t="s">
        <v>84</v>
      </c>
      <c r="E62" s="68">
        <v>1</v>
      </c>
      <c r="F62" s="68">
        <v>1</v>
      </c>
      <c r="G62" s="68">
        <v>3</v>
      </c>
      <c r="H62" s="68">
        <v>1</v>
      </c>
      <c r="I62" s="68">
        <v>2</v>
      </c>
      <c r="J62" s="457">
        <f t="shared" si="0"/>
        <v>0.47802211380704585</v>
      </c>
      <c r="K62" s="458"/>
    </row>
    <row r="63" spans="1:11" s="12" customFormat="1" x14ac:dyDescent="0.2">
      <c r="A63" s="4" t="s">
        <v>86</v>
      </c>
      <c r="B63" s="235" t="s">
        <v>810</v>
      </c>
      <c r="C63" s="443">
        <v>0</v>
      </c>
      <c r="D63" s="311"/>
      <c r="E63" s="74"/>
      <c r="F63" s="74"/>
      <c r="G63" s="74"/>
      <c r="H63" s="74"/>
      <c r="I63" s="74"/>
      <c r="J63" s="442" t="str">
        <f t="shared" si="0"/>
        <v/>
      </c>
      <c r="K63" s="445"/>
    </row>
    <row r="64" spans="1:11" s="12" customFormat="1" x14ac:dyDescent="0.2">
      <c r="A64" s="4" t="s">
        <v>86</v>
      </c>
      <c r="B64" s="234" t="s">
        <v>811</v>
      </c>
      <c r="C64" s="443">
        <v>7.7492010000000002</v>
      </c>
      <c r="D64" s="311" t="s">
        <v>84</v>
      </c>
      <c r="E64" s="65">
        <v>1</v>
      </c>
      <c r="F64" s="65">
        <v>1</v>
      </c>
      <c r="G64" s="65">
        <v>3</v>
      </c>
      <c r="H64" s="65">
        <v>1</v>
      </c>
      <c r="I64" s="65">
        <v>2</v>
      </c>
      <c r="J64" s="442">
        <f t="shared" si="0"/>
        <v>0.47802211380704585</v>
      </c>
      <c r="K64" s="445"/>
    </row>
    <row r="65" spans="1:11" s="12" customFormat="1" x14ac:dyDescent="0.2">
      <c r="A65" s="4" t="s">
        <v>86</v>
      </c>
      <c r="B65" s="233" t="s">
        <v>812</v>
      </c>
      <c r="C65" s="443">
        <v>0</v>
      </c>
      <c r="D65" s="311"/>
      <c r="E65" s="74"/>
      <c r="F65" s="74"/>
      <c r="G65" s="74"/>
      <c r="H65" s="74"/>
      <c r="I65" s="74"/>
      <c r="J65" s="442" t="str">
        <f t="shared" si="0"/>
        <v/>
      </c>
      <c r="K65" s="445"/>
    </row>
    <row r="66" spans="1:11" s="12" customFormat="1" x14ac:dyDescent="0.2">
      <c r="A66" s="447" t="s">
        <v>86</v>
      </c>
      <c r="B66" s="333" t="s">
        <v>813</v>
      </c>
      <c r="C66" s="465">
        <v>0</v>
      </c>
      <c r="D66" s="310"/>
      <c r="E66" s="75"/>
      <c r="F66" s="75"/>
      <c r="G66" s="75"/>
      <c r="H66" s="75"/>
      <c r="I66" s="75"/>
      <c r="J66" s="448" t="str">
        <f t="shared" si="0"/>
        <v/>
      </c>
      <c r="K66" s="449"/>
    </row>
    <row r="67" spans="1:11" s="12" customFormat="1" x14ac:dyDescent="0.2">
      <c r="A67" s="4" t="s">
        <v>39</v>
      </c>
      <c r="B67" s="240" t="s">
        <v>809</v>
      </c>
      <c r="C67" s="443">
        <v>0.29109868</v>
      </c>
      <c r="D67" s="311" t="s">
        <v>84</v>
      </c>
      <c r="E67" s="65">
        <v>1</v>
      </c>
      <c r="F67" s="65">
        <v>1</v>
      </c>
      <c r="G67" s="65">
        <v>3</v>
      </c>
      <c r="H67" s="65">
        <v>1</v>
      </c>
      <c r="I67" s="65">
        <v>2</v>
      </c>
      <c r="J67" s="442">
        <f t="shared" ref="J67:J81" si="4">IF( OR( ISBLANK(E67),ISBLANK(F67), ISBLANK(G67), ISBLANK(H67), ISBLANK(I67) ), "", 1.5*SQRT(   EXP(2.21*(E67-1)) + EXP(2.21*(F67-1)) + EXP(2.21*(G67-1)) + EXP(2.21*(H67-1)) + EXP(2.21*I67)   )/100*2.45 )</f>
        <v>0.47802211380704585</v>
      </c>
      <c r="K67" s="445"/>
    </row>
    <row r="68" spans="1:11" s="12" customFormat="1" x14ac:dyDescent="0.2">
      <c r="A68" s="4" t="s">
        <v>39</v>
      </c>
      <c r="B68" s="235" t="s">
        <v>810</v>
      </c>
      <c r="C68" s="443">
        <v>0</v>
      </c>
      <c r="D68" s="311"/>
      <c r="E68" s="74"/>
      <c r="F68" s="74"/>
      <c r="G68" s="74"/>
      <c r="H68" s="74"/>
      <c r="I68" s="74"/>
      <c r="J68" s="442" t="str">
        <f t="shared" si="4"/>
        <v/>
      </c>
      <c r="K68" s="445"/>
    </row>
    <row r="69" spans="1:11" s="12" customFormat="1" x14ac:dyDescent="0.2">
      <c r="A69" s="4" t="s">
        <v>39</v>
      </c>
      <c r="B69" s="234" t="s">
        <v>811</v>
      </c>
      <c r="C69" s="443">
        <v>13.301036</v>
      </c>
      <c r="D69" s="311" t="s">
        <v>84</v>
      </c>
      <c r="E69" s="65">
        <v>1</v>
      </c>
      <c r="F69" s="65">
        <v>1</v>
      </c>
      <c r="G69" s="65">
        <v>3</v>
      </c>
      <c r="H69" s="65">
        <v>1</v>
      </c>
      <c r="I69" s="65">
        <v>2</v>
      </c>
      <c r="J69" s="442">
        <f t="shared" si="4"/>
        <v>0.47802211380704585</v>
      </c>
      <c r="K69" s="445"/>
    </row>
    <row r="70" spans="1:11" s="12" customFormat="1" x14ac:dyDescent="0.2">
      <c r="A70" s="4" t="s">
        <v>39</v>
      </c>
      <c r="B70" s="233" t="s">
        <v>812</v>
      </c>
      <c r="C70" s="443">
        <v>0</v>
      </c>
      <c r="D70" s="311"/>
      <c r="E70" s="74"/>
      <c r="F70" s="74"/>
      <c r="G70" s="74"/>
      <c r="H70" s="74"/>
      <c r="I70" s="74"/>
      <c r="J70" s="442" t="str">
        <f t="shared" si="4"/>
        <v/>
      </c>
      <c r="K70" s="445"/>
    </row>
    <row r="71" spans="1:11" s="12" customFormat="1" x14ac:dyDescent="0.2">
      <c r="A71" s="4" t="s">
        <v>39</v>
      </c>
      <c r="B71" s="232" t="s">
        <v>813</v>
      </c>
      <c r="C71" s="443">
        <v>0</v>
      </c>
      <c r="D71" s="311"/>
      <c r="E71" s="74"/>
      <c r="F71" s="74"/>
      <c r="G71" s="74"/>
      <c r="H71" s="74"/>
      <c r="I71" s="74"/>
      <c r="J71" s="442" t="str">
        <f t="shared" si="4"/>
        <v/>
      </c>
      <c r="K71" s="445"/>
    </row>
    <row r="72" spans="1:11" s="12" customFormat="1" x14ac:dyDescent="0.2">
      <c r="A72" s="3" t="s">
        <v>40</v>
      </c>
      <c r="B72" s="238" t="s">
        <v>809</v>
      </c>
      <c r="C72" s="459">
        <v>0.84422622000000003</v>
      </c>
      <c r="D72" s="308" t="s">
        <v>84</v>
      </c>
      <c r="E72" s="68">
        <v>1</v>
      </c>
      <c r="F72" s="68">
        <v>1</v>
      </c>
      <c r="G72" s="68">
        <v>3</v>
      </c>
      <c r="H72" s="68">
        <v>1</v>
      </c>
      <c r="I72" s="68">
        <v>2</v>
      </c>
      <c r="J72" s="457">
        <f t="shared" si="4"/>
        <v>0.47802211380704585</v>
      </c>
      <c r="K72" s="458"/>
    </row>
    <row r="73" spans="1:11" s="12" customFormat="1" x14ac:dyDescent="0.2">
      <c r="A73" s="4" t="s">
        <v>40</v>
      </c>
      <c r="B73" s="235" t="s">
        <v>810</v>
      </c>
      <c r="C73" s="443">
        <v>0</v>
      </c>
      <c r="D73" s="311"/>
      <c r="E73" s="74"/>
      <c r="F73" s="74"/>
      <c r="G73" s="74"/>
      <c r="H73" s="74"/>
      <c r="I73" s="74"/>
      <c r="J73" s="442" t="str">
        <f t="shared" si="4"/>
        <v/>
      </c>
      <c r="K73" s="445"/>
    </row>
    <row r="74" spans="1:11" s="12" customFormat="1" x14ac:dyDescent="0.2">
      <c r="A74" s="4" t="s">
        <v>40</v>
      </c>
      <c r="B74" s="234" t="s">
        <v>811</v>
      </c>
      <c r="C74" s="443">
        <v>8.4422620000000013</v>
      </c>
      <c r="D74" s="311" t="s">
        <v>84</v>
      </c>
      <c r="E74" s="65">
        <v>1</v>
      </c>
      <c r="F74" s="65">
        <v>1</v>
      </c>
      <c r="G74" s="65">
        <v>3</v>
      </c>
      <c r="H74" s="65">
        <v>1</v>
      </c>
      <c r="I74" s="65">
        <v>2</v>
      </c>
      <c r="J74" s="442">
        <f t="shared" si="4"/>
        <v>0.47802211380704585</v>
      </c>
      <c r="K74" s="445"/>
    </row>
    <row r="75" spans="1:11" s="12" customFormat="1" x14ac:dyDescent="0.2">
      <c r="A75" s="4" t="s">
        <v>40</v>
      </c>
      <c r="B75" s="233" t="s">
        <v>812</v>
      </c>
      <c r="C75" s="9">
        <v>0</v>
      </c>
      <c r="D75" s="311"/>
      <c r="E75" s="74"/>
      <c r="F75" s="74"/>
      <c r="G75" s="74"/>
      <c r="H75" s="74"/>
      <c r="I75" s="74"/>
      <c r="J75" s="442" t="str">
        <f t="shared" si="4"/>
        <v/>
      </c>
      <c r="K75" s="445"/>
    </row>
    <row r="76" spans="1:11" s="12" customFormat="1" x14ac:dyDescent="0.2">
      <c r="A76" s="447" t="s">
        <v>40</v>
      </c>
      <c r="B76" s="333" t="s">
        <v>813</v>
      </c>
      <c r="C76" s="87">
        <v>0</v>
      </c>
      <c r="D76" s="310"/>
      <c r="E76" s="75"/>
      <c r="F76" s="75"/>
      <c r="G76" s="75"/>
      <c r="H76" s="75"/>
      <c r="I76" s="75"/>
      <c r="J76" s="448" t="str">
        <f t="shared" si="4"/>
        <v/>
      </c>
      <c r="K76" s="449"/>
    </row>
    <row r="77" spans="1:11" s="12" customFormat="1" x14ac:dyDescent="0.2">
      <c r="A77" s="3" t="s">
        <v>12</v>
      </c>
      <c r="B77" s="238" t="s">
        <v>809</v>
      </c>
      <c r="C77" s="456">
        <v>0</v>
      </c>
      <c r="D77" s="308" t="s">
        <v>71</v>
      </c>
      <c r="E77" s="61"/>
      <c r="F77" s="61"/>
      <c r="G77" s="61"/>
      <c r="H77" s="61"/>
      <c r="I77" s="61"/>
      <c r="J77" s="457" t="str">
        <f>IF( OR( ISBLANK(E77),ISBLANK(F77), ISBLANK(G77), ISBLANK(H77), ISBLANK(I77) ), "", 1.5*SQRT(   EXP(2.21*(E77-1)) + EXP(2.21*(F77-1)) + EXP(2.21*(G77-1)) + EXP(2.21*(H77-1)) + EXP(2.21*I77)   )/100*2.45 )</f>
        <v/>
      </c>
      <c r="K77" s="458"/>
    </row>
    <row r="78" spans="1:11" s="12" customFormat="1" x14ac:dyDescent="0.2">
      <c r="A78" s="4" t="s">
        <v>12</v>
      </c>
      <c r="B78" s="235" t="s">
        <v>810</v>
      </c>
      <c r="C78" s="444">
        <v>0</v>
      </c>
      <c r="D78" s="311" t="s">
        <v>71</v>
      </c>
      <c r="E78" s="74"/>
      <c r="F78" s="74"/>
      <c r="G78" s="74"/>
      <c r="H78" s="74"/>
      <c r="I78" s="74"/>
      <c r="J78" s="442" t="str">
        <f>IF( OR( ISBLANK(E78),ISBLANK(F78), ISBLANK(G78), ISBLANK(H78), ISBLANK(I78) ), "", 1.5*SQRT(   EXP(2.21*(E78-1)) + EXP(2.21*(F78-1)) + EXP(2.21*(G78-1)) + EXP(2.21*(H78-1)) + EXP(2.21*I78)   )/100*2.45 )</f>
        <v/>
      </c>
      <c r="K78" s="445"/>
    </row>
    <row r="79" spans="1:11" s="12" customFormat="1" x14ac:dyDescent="0.2">
      <c r="A79" s="4" t="s">
        <v>12</v>
      </c>
      <c r="B79" s="234" t="s">
        <v>811</v>
      </c>
      <c r="C79" s="444">
        <v>0</v>
      </c>
      <c r="D79" s="311" t="s">
        <v>71</v>
      </c>
      <c r="E79" s="74"/>
      <c r="F79" s="74"/>
      <c r="G79" s="74"/>
      <c r="H79" s="74"/>
      <c r="I79" s="74"/>
      <c r="J79" s="442" t="str">
        <f>IF( OR( ISBLANK(E79),ISBLANK(F79), ISBLANK(G79), ISBLANK(H79), ISBLANK(I79) ), "", 1.5*SQRT(   EXP(2.21*(E79-1)) + EXP(2.21*(F79-1)) + EXP(2.21*(G79-1)) + EXP(2.21*(H79-1)) + EXP(2.21*I79)   )/100*2.45 )</f>
        <v/>
      </c>
      <c r="K79" s="445"/>
    </row>
    <row r="80" spans="1:11" s="12" customFormat="1" x14ac:dyDescent="0.2">
      <c r="A80" s="4" t="s">
        <v>12</v>
      </c>
      <c r="B80" s="233" t="s">
        <v>812</v>
      </c>
      <c r="C80" s="444">
        <v>0</v>
      </c>
      <c r="D80" s="311" t="s">
        <v>71</v>
      </c>
      <c r="E80" s="74"/>
      <c r="F80" s="74"/>
      <c r="G80" s="74"/>
      <c r="H80" s="74"/>
      <c r="I80" s="74"/>
      <c r="J80" s="442" t="str">
        <f>IF( OR( ISBLANK(E80),ISBLANK(F80), ISBLANK(G80), ISBLANK(H80), ISBLANK(I80) ), "", 1.5*SQRT(   EXP(2.21*(E80-1)) + EXP(2.21*(F80-1)) + EXP(2.21*(G80-1)) + EXP(2.21*(H80-1)) + EXP(2.21*I80)   )/100*2.45 )</f>
        <v/>
      </c>
      <c r="K80" s="445"/>
    </row>
    <row r="81" spans="1:11" s="12" customFormat="1" x14ac:dyDescent="0.2">
      <c r="A81" s="447" t="s">
        <v>12</v>
      </c>
      <c r="B81" s="333" t="s">
        <v>813</v>
      </c>
      <c r="C81" s="87">
        <v>0</v>
      </c>
      <c r="D81" s="310" t="s">
        <v>71</v>
      </c>
      <c r="E81" s="75"/>
      <c r="F81" s="75"/>
      <c r="G81" s="75"/>
      <c r="H81" s="75"/>
      <c r="I81" s="75"/>
      <c r="J81" s="448" t="str">
        <f t="shared" si="4"/>
        <v/>
      </c>
      <c r="K81" s="449"/>
    </row>
    <row r="82" spans="1:11" s="12" customFormat="1" x14ac:dyDescent="0.2"/>
    <row r="83" spans="1:11" s="12" customFormat="1" x14ac:dyDescent="0.2"/>
    <row r="84" spans="1:11" s="12" customFormat="1" x14ac:dyDescent="0.2"/>
    <row r="85" spans="1:11" s="12" customFormat="1" x14ac:dyDescent="0.2"/>
    <row r="86" spans="1:11" s="12" customFormat="1" x14ac:dyDescent="0.2"/>
    <row r="87" spans="1:11" s="12" customFormat="1" x14ac:dyDescent="0.2"/>
    <row r="88" spans="1:11" s="12" customFormat="1" x14ac:dyDescent="0.2"/>
    <row r="89" spans="1:11" s="12" customFormat="1" x14ac:dyDescent="0.2"/>
    <row r="90" spans="1:11" s="12" customFormat="1" x14ac:dyDescent="0.2"/>
    <row r="91" spans="1:11" s="12" customFormat="1" x14ac:dyDescent="0.2"/>
    <row r="92" spans="1:11" s="12" customFormat="1" x14ac:dyDescent="0.2"/>
    <row r="93" spans="1:11" s="12" customFormat="1" x14ac:dyDescent="0.2"/>
    <row r="94" spans="1:11" s="12" customFormat="1" x14ac:dyDescent="0.2"/>
    <row r="95" spans="1:11" s="12" customFormat="1" x14ac:dyDescent="0.2"/>
    <row r="96" spans="1:11" s="12" customFormat="1" x14ac:dyDescent="0.2"/>
    <row r="97" s="12" customFormat="1" x14ac:dyDescent="0.2"/>
    <row r="98" s="12" customFormat="1" x14ac:dyDescent="0.2"/>
    <row r="99" s="12" customFormat="1" x14ac:dyDescent="0.2"/>
    <row r="100" s="12" customFormat="1" x14ac:dyDescent="0.2"/>
    <row r="101" s="12" customFormat="1" x14ac:dyDescent="0.2"/>
    <row r="102" s="12" customFormat="1" x14ac:dyDescent="0.2"/>
    <row r="103" s="12" customFormat="1" x14ac:dyDescent="0.2"/>
    <row r="104" s="12" customFormat="1" x14ac:dyDescent="0.2"/>
    <row r="105" s="12" customFormat="1" x14ac:dyDescent="0.2"/>
    <row r="106" s="12" customFormat="1" x14ac:dyDescent="0.2"/>
    <row r="107" s="12" customFormat="1" x14ac:dyDescent="0.2"/>
    <row r="108" s="12" customFormat="1" x14ac:dyDescent="0.2"/>
    <row r="109" s="12" customFormat="1" x14ac:dyDescent="0.2"/>
    <row r="110" s="12" customFormat="1" x14ac:dyDescent="0.2"/>
    <row r="111" s="12" customFormat="1" x14ac:dyDescent="0.2"/>
    <row r="112" s="12" customFormat="1" x14ac:dyDescent="0.2"/>
    <row r="113" s="12" customFormat="1" x14ac:dyDescent="0.2"/>
  </sheetData>
  <conditionalFormatting sqref="E25:I26">
    <cfRule type="dataBar" priority="45">
      <dataBar>
        <cfvo type="min"/>
        <cfvo type="max"/>
        <color rgb="FFFFB628"/>
      </dataBar>
      <extLst>
        <ext xmlns:x14="http://schemas.microsoft.com/office/spreadsheetml/2009/9/main" uri="{B025F937-C7B1-47D3-B67F-A62EFF666E3E}">
          <x14:id>{B24CF74E-6F26-5242-A2A5-1F561C3C9622}</x14:id>
        </ext>
      </extLst>
    </cfRule>
  </conditionalFormatting>
  <conditionalFormatting sqref="E12:I16">
    <cfRule type="dataBar" priority="44">
      <dataBar>
        <cfvo type="min"/>
        <cfvo type="max"/>
        <color rgb="FFFFB628"/>
      </dataBar>
      <extLst>
        <ext xmlns:x14="http://schemas.microsoft.com/office/spreadsheetml/2009/9/main" uri="{B025F937-C7B1-47D3-B67F-A62EFF666E3E}">
          <x14:id>{30FBF2E4-F802-844C-AE37-410BE2F4F564}</x14:id>
        </ext>
      </extLst>
    </cfRule>
  </conditionalFormatting>
  <conditionalFormatting sqref="J17:J21 J27:J31 J52:J56 J62:J66 J72:J74">
    <cfRule type="dataBar" priority="43">
      <dataBar>
        <cfvo type="min"/>
        <cfvo type="max"/>
        <color rgb="FF3FCDFF"/>
      </dataBar>
      <extLst>
        <ext xmlns:x14="http://schemas.microsoft.com/office/spreadsheetml/2009/9/main" uri="{B025F937-C7B1-47D3-B67F-A62EFF666E3E}">
          <x14:id>{D18D9A04-A1BE-6142-B957-744A3CC01818}</x14:id>
        </ext>
      </extLst>
    </cfRule>
  </conditionalFormatting>
  <conditionalFormatting sqref="J12:J16 J22:J26 J47:J51 J67:J71 J77:J80 J32:J39">
    <cfRule type="dataBar" priority="42">
      <dataBar>
        <cfvo type="min"/>
        <cfvo type="max"/>
        <color rgb="FF3FCDFF"/>
      </dataBar>
      <extLst>
        <ext xmlns:x14="http://schemas.microsoft.com/office/spreadsheetml/2009/9/main" uri="{B025F937-C7B1-47D3-B67F-A62EFF666E3E}">
          <x14:id>{9E2AA709-00B1-4749-850F-CFA60301381B}</x14:id>
        </ext>
      </extLst>
    </cfRule>
  </conditionalFormatting>
  <conditionalFormatting sqref="E27:I31">
    <cfRule type="dataBar" priority="41">
      <dataBar>
        <cfvo type="min"/>
        <cfvo type="max"/>
        <color rgb="FFFFB628"/>
      </dataBar>
      <extLst>
        <ext xmlns:x14="http://schemas.microsoft.com/office/spreadsheetml/2009/9/main" uri="{B025F937-C7B1-47D3-B67F-A62EFF666E3E}">
          <x14:id>{A484998A-E219-8A46-8928-10F3DC0B752F}</x14:id>
        </ext>
      </extLst>
    </cfRule>
  </conditionalFormatting>
  <conditionalFormatting sqref="E32:I39">
    <cfRule type="dataBar" priority="40">
      <dataBar>
        <cfvo type="min"/>
        <cfvo type="max"/>
        <color rgb="FFFFB628"/>
      </dataBar>
      <extLst>
        <ext xmlns:x14="http://schemas.microsoft.com/office/spreadsheetml/2009/9/main" uri="{B025F937-C7B1-47D3-B67F-A62EFF666E3E}">
          <x14:id>{90C0916C-189B-F944-8416-C29E86BE5F07}</x14:id>
        </ext>
      </extLst>
    </cfRule>
  </conditionalFormatting>
  <conditionalFormatting sqref="E47:I49 E51:I51">
    <cfRule type="dataBar" priority="38">
      <dataBar>
        <cfvo type="min"/>
        <cfvo type="max"/>
        <color rgb="FFFFB628"/>
      </dataBar>
      <extLst>
        <ext xmlns:x14="http://schemas.microsoft.com/office/spreadsheetml/2009/9/main" uri="{B025F937-C7B1-47D3-B67F-A62EFF666E3E}">
          <x14:id>{DC9D2FCE-BDC1-1342-BB5E-3CC4DE16EF9F}</x14:id>
        </ext>
      </extLst>
    </cfRule>
  </conditionalFormatting>
  <conditionalFormatting sqref="E52:I56">
    <cfRule type="dataBar" priority="37">
      <dataBar>
        <cfvo type="min"/>
        <cfvo type="max"/>
        <color rgb="FFFFB628"/>
      </dataBar>
      <extLst>
        <ext xmlns:x14="http://schemas.microsoft.com/office/spreadsheetml/2009/9/main" uri="{B025F937-C7B1-47D3-B67F-A62EFF666E3E}">
          <x14:id>{ADEE8D47-A2AE-F44E-B540-CED1F9BB618B}</x14:id>
        </ext>
      </extLst>
    </cfRule>
  </conditionalFormatting>
  <conditionalFormatting sqref="E68:I68 E70:I71">
    <cfRule type="dataBar" priority="35">
      <dataBar>
        <cfvo type="min"/>
        <cfvo type="max"/>
        <color rgb="FFFFB628"/>
      </dataBar>
      <extLst>
        <ext xmlns:x14="http://schemas.microsoft.com/office/spreadsheetml/2009/9/main" uri="{B025F937-C7B1-47D3-B67F-A62EFF666E3E}">
          <x14:id>{C07B6119-7FA3-374B-973D-6A04F44FACCD}</x14:id>
        </ext>
      </extLst>
    </cfRule>
  </conditionalFormatting>
  <conditionalFormatting sqref="E73:I73">
    <cfRule type="dataBar" priority="34">
      <dataBar>
        <cfvo type="min"/>
        <cfvo type="max"/>
        <color rgb="FFFFB628"/>
      </dataBar>
      <extLst>
        <ext xmlns:x14="http://schemas.microsoft.com/office/spreadsheetml/2009/9/main" uri="{B025F937-C7B1-47D3-B67F-A62EFF666E3E}">
          <x14:id>{B38F4E1A-E78C-2147-A38A-1344BBB2E44F}</x14:id>
        </ext>
      </extLst>
    </cfRule>
  </conditionalFormatting>
  <conditionalFormatting sqref="E17:I17 E19:I19">
    <cfRule type="dataBar" priority="46">
      <dataBar>
        <cfvo type="min"/>
        <cfvo type="max"/>
        <color rgb="FFFFB628"/>
      </dataBar>
      <extLst>
        <ext xmlns:x14="http://schemas.microsoft.com/office/spreadsheetml/2009/9/main" uri="{B025F937-C7B1-47D3-B67F-A62EFF666E3E}">
          <x14:id>{BA9DCC45-E244-3046-BD0B-92E949AF20CD}</x14:id>
        </ext>
      </extLst>
    </cfRule>
  </conditionalFormatting>
  <conditionalFormatting sqref="E18:I18">
    <cfRule type="dataBar" priority="32">
      <dataBar>
        <cfvo type="min"/>
        <cfvo type="max"/>
        <color rgb="FFFFB628"/>
      </dataBar>
      <extLst>
        <ext xmlns:x14="http://schemas.microsoft.com/office/spreadsheetml/2009/9/main" uri="{B025F937-C7B1-47D3-B67F-A62EFF666E3E}">
          <x14:id>{2E4B98B7-0906-2E45-BC9C-EBCA08267DDB}</x14:id>
        </ext>
      </extLst>
    </cfRule>
  </conditionalFormatting>
  <conditionalFormatting sqref="E20:I20">
    <cfRule type="dataBar" priority="31">
      <dataBar>
        <cfvo type="min"/>
        <cfvo type="max"/>
        <color rgb="FFFFB628"/>
      </dataBar>
      <extLst>
        <ext xmlns:x14="http://schemas.microsoft.com/office/spreadsheetml/2009/9/main" uri="{B025F937-C7B1-47D3-B67F-A62EFF666E3E}">
          <x14:id>{FFFBC081-CC31-7240-812E-A42F3A202956}</x14:id>
        </ext>
      </extLst>
    </cfRule>
  </conditionalFormatting>
  <conditionalFormatting sqref="E21:I21">
    <cfRule type="dataBar" priority="30">
      <dataBar>
        <cfvo type="min"/>
        <cfvo type="max"/>
        <color rgb="FFFFB628"/>
      </dataBar>
      <extLst>
        <ext xmlns:x14="http://schemas.microsoft.com/office/spreadsheetml/2009/9/main" uri="{B025F937-C7B1-47D3-B67F-A62EFF666E3E}">
          <x14:id>{5DE8D4C3-0B9F-6847-9BFF-64A09FD4DA12}</x14:id>
        </ext>
      </extLst>
    </cfRule>
  </conditionalFormatting>
  <conditionalFormatting sqref="E24:I24">
    <cfRule type="dataBar" priority="29">
      <dataBar>
        <cfvo type="min"/>
        <cfvo type="max"/>
        <color rgb="FFFFB628"/>
      </dataBar>
      <extLst>
        <ext xmlns:x14="http://schemas.microsoft.com/office/spreadsheetml/2009/9/main" uri="{B025F937-C7B1-47D3-B67F-A62EFF666E3E}">
          <x14:id>{56B0F172-4D51-7D47-AE7E-F2A6B8B45D6D}</x14:id>
        </ext>
      </extLst>
    </cfRule>
  </conditionalFormatting>
  <conditionalFormatting sqref="E22:I22">
    <cfRule type="dataBar" priority="28">
      <dataBar>
        <cfvo type="min"/>
        <cfvo type="max"/>
        <color rgb="FFFFB628"/>
      </dataBar>
      <extLst>
        <ext xmlns:x14="http://schemas.microsoft.com/office/spreadsheetml/2009/9/main" uri="{B025F937-C7B1-47D3-B67F-A62EFF666E3E}">
          <x14:id>{4B34D0A5-B81D-6A4B-B77C-D86B001C3B21}</x14:id>
        </ext>
      </extLst>
    </cfRule>
  </conditionalFormatting>
  <conditionalFormatting sqref="E23:I23">
    <cfRule type="dataBar" priority="27">
      <dataBar>
        <cfvo type="min"/>
        <cfvo type="max"/>
        <color rgb="FFFFB628"/>
      </dataBar>
      <extLst>
        <ext xmlns:x14="http://schemas.microsoft.com/office/spreadsheetml/2009/9/main" uri="{B025F937-C7B1-47D3-B67F-A62EFF666E3E}">
          <x14:id>{12DA7FDC-1D3F-1B4C-A839-947595AA9D85}</x14:id>
        </ext>
      </extLst>
    </cfRule>
  </conditionalFormatting>
  <conditionalFormatting sqref="E65:I66">
    <cfRule type="dataBar" priority="47">
      <dataBar>
        <cfvo type="min"/>
        <cfvo type="max"/>
        <color rgb="FFFFB628"/>
      </dataBar>
      <extLst>
        <ext xmlns:x14="http://schemas.microsoft.com/office/spreadsheetml/2009/9/main" uri="{B025F937-C7B1-47D3-B67F-A62EFF666E3E}">
          <x14:id>{5FFF8B93-6A95-E347-81C2-AD868C2B7A0D}</x14:id>
        </ext>
      </extLst>
    </cfRule>
  </conditionalFormatting>
  <conditionalFormatting sqref="E74:I74">
    <cfRule type="dataBar" priority="26">
      <dataBar>
        <cfvo type="min"/>
        <cfvo type="max"/>
        <color rgb="FFFFB628"/>
      </dataBar>
      <extLst>
        <ext xmlns:x14="http://schemas.microsoft.com/office/spreadsheetml/2009/9/main" uri="{B025F937-C7B1-47D3-B67F-A62EFF666E3E}">
          <x14:id>{09A6DA40-35F7-5749-9185-E8CA817012E7}</x14:id>
        </ext>
      </extLst>
    </cfRule>
  </conditionalFormatting>
  <conditionalFormatting sqref="E72:I72">
    <cfRule type="dataBar" priority="25">
      <dataBar>
        <cfvo type="min"/>
        <cfvo type="max"/>
        <color rgb="FFFFB628"/>
      </dataBar>
      <extLst>
        <ext xmlns:x14="http://schemas.microsoft.com/office/spreadsheetml/2009/9/main" uri="{B025F937-C7B1-47D3-B67F-A62EFF666E3E}">
          <x14:id>{EE44A7D1-65DB-E74A-98AE-8D971EDFF738}</x14:id>
        </ext>
      </extLst>
    </cfRule>
  </conditionalFormatting>
  <conditionalFormatting sqref="E69:I69">
    <cfRule type="dataBar" priority="24">
      <dataBar>
        <cfvo type="min"/>
        <cfvo type="max"/>
        <color rgb="FFFFB628"/>
      </dataBar>
      <extLst>
        <ext xmlns:x14="http://schemas.microsoft.com/office/spreadsheetml/2009/9/main" uri="{B025F937-C7B1-47D3-B67F-A62EFF666E3E}">
          <x14:id>{17BE12D6-DA0C-9143-975D-E9A12BD8E981}</x14:id>
        </ext>
      </extLst>
    </cfRule>
  </conditionalFormatting>
  <conditionalFormatting sqref="E67:I67">
    <cfRule type="dataBar" priority="23">
      <dataBar>
        <cfvo type="min"/>
        <cfvo type="max"/>
        <color rgb="FFFFB628"/>
      </dataBar>
      <extLst>
        <ext xmlns:x14="http://schemas.microsoft.com/office/spreadsheetml/2009/9/main" uri="{B025F937-C7B1-47D3-B67F-A62EFF666E3E}">
          <x14:id>{28A70009-9D68-B449-99BD-71D02997F35B}</x14:id>
        </ext>
      </extLst>
    </cfRule>
  </conditionalFormatting>
  <conditionalFormatting sqref="E64:I64">
    <cfRule type="dataBar" priority="22">
      <dataBar>
        <cfvo type="min"/>
        <cfvo type="max"/>
        <color rgb="FFFFB628"/>
      </dataBar>
      <extLst>
        <ext xmlns:x14="http://schemas.microsoft.com/office/spreadsheetml/2009/9/main" uri="{B025F937-C7B1-47D3-B67F-A62EFF666E3E}">
          <x14:id>{9A431EC1-D86F-3045-9692-1E824F7FF9B3}</x14:id>
        </ext>
      </extLst>
    </cfRule>
  </conditionalFormatting>
  <conditionalFormatting sqref="E62:I62">
    <cfRule type="dataBar" priority="21">
      <dataBar>
        <cfvo type="min"/>
        <cfvo type="max"/>
        <color rgb="FFFFB628"/>
      </dataBar>
      <extLst>
        <ext xmlns:x14="http://schemas.microsoft.com/office/spreadsheetml/2009/9/main" uri="{B025F937-C7B1-47D3-B67F-A62EFF666E3E}">
          <x14:id>{1391AAD2-3046-394C-8BD1-1B5DFA4B7A03}</x14:id>
        </ext>
      </extLst>
    </cfRule>
  </conditionalFormatting>
  <conditionalFormatting sqref="E63:I63">
    <cfRule type="dataBar" priority="20">
      <dataBar>
        <cfvo type="min"/>
        <cfvo type="max"/>
        <color rgb="FFFFB628"/>
      </dataBar>
      <extLst>
        <ext xmlns:x14="http://schemas.microsoft.com/office/spreadsheetml/2009/9/main" uri="{B025F937-C7B1-47D3-B67F-A62EFF666E3E}">
          <x14:id>{27515076-A4BF-EA40-87B4-FE1C635FD34C}</x14:id>
        </ext>
      </extLst>
    </cfRule>
  </conditionalFormatting>
  <conditionalFormatting sqref="E50:I50">
    <cfRule type="dataBar" priority="19">
      <dataBar>
        <cfvo type="min"/>
        <cfvo type="max"/>
        <color rgb="FFFFB628"/>
      </dataBar>
      <extLst>
        <ext xmlns:x14="http://schemas.microsoft.com/office/spreadsheetml/2009/9/main" uri="{B025F937-C7B1-47D3-B67F-A62EFF666E3E}">
          <x14:id>{1F7382EE-907A-8E4F-9EEE-672D0F5CC52E}</x14:id>
        </ext>
      </extLst>
    </cfRule>
  </conditionalFormatting>
  <conditionalFormatting sqref="E7:I11">
    <cfRule type="dataBar" priority="18">
      <dataBar>
        <cfvo type="min"/>
        <cfvo type="max"/>
        <color rgb="FFFFB628"/>
      </dataBar>
      <extLst>
        <ext xmlns:x14="http://schemas.microsoft.com/office/spreadsheetml/2009/9/main" uri="{B025F937-C7B1-47D3-B67F-A62EFF666E3E}">
          <x14:id>{F89A6D3A-EDA0-B040-A1E4-51526640BA64}</x14:id>
        </ext>
      </extLst>
    </cfRule>
  </conditionalFormatting>
  <conditionalFormatting sqref="J7:J11">
    <cfRule type="dataBar" priority="17">
      <dataBar>
        <cfvo type="min"/>
        <cfvo type="max"/>
        <color rgb="FF3FCDFF"/>
      </dataBar>
      <extLst>
        <ext xmlns:x14="http://schemas.microsoft.com/office/spreadsheetml/2009/9/main" uri="{B025F937-C7B1-47D3-B67F-A62EFF666E3E}">
          <x14:id>{77A0F21A-3CDD-0643-A3FB-4EDDA1F2C369}</x14:id>
        </ext>
      </extLst>
    </cfRule>
  </conditionalFormatting>
  <conditionalFormatting sqref="E2:I6">
    <cfRule type="dataBar" priority="15">
      <dataBar>
        <cfvo type="min"/>
        <cfvo type="max"/>
        <color rgb="FFFFB628"/>
      </dataBar>
      <extLst>
        <ext xmlns:x14="http://schemas.microsoft.com/office/spreadsheetml/2009/9/main" uri="{B025F937-C7B1-47D3-B67F-A62EFF666E3E}">
          <x14:id>{2C6BA4DD-38E7-2C42-A8C6-EFC866C328E6}</x14:id>
        </ext>
      </extLst>
    </cfRule>
  </conditionalFormatting>
  <conditionalFormatting sqref="J2:J6">
    <cfRule type="dataBar" priority="14">
      <dataBar>
        <cfvo type="min"/>
        <cfvo type="max"/>
        <color rgb="FF3FCDFF"/>
      </dataBar>
      <extLst>
        <ext xmlns:x14="http://schemas.microsoft.com/office/spreadsheetml/2009/9/main" uri="{B025F937-C7B1-47D3-B67F-A62EFF666E3E}">
          <x14:id>{3B527D41-D7C8-7F41-AA8F-FD5A85EC1650}</x14:id>
        </ext>
      </extLst>
    </cfRule>
  </conditionalFormatting>
  <conditionalFormatting sqref="E77:I79">
    <cfRule type="dataBar" priority="13">
      <dataBar>
        <cfvo type="min"/>
        <cfvo type="max"/>
        <color rgb="FFFFB628"/>
      </dataBar>
      <extLst>
        <ext xmlns:x14="http://schemas.microsoft.com/office/spreadsheetml/2009/9/main" uri="{B025F937-C7B1-47D3-B67F-A62EFF666E3E}">
          <x14:id>{D3E9ABC7-05AC-D047-AC4F-4A751D00BE0C}</x14:id>
        </ext>
      </extLst>
    </cfRule>
  </conditionalFormatting>
  <conditionalFormatting sqref="E80:I80">
    <cfRule type="dataBar" priority="12">
      <dataBar>
        <cfvo type="min"/>
        <cfvo type="max"/>
        <color rgb="FFFFB628"/>
      </dataBar>
      <extLst>
        <ext xmlns:x14="http://schemas.microsoft.com/office/spreadsheetml/2009/9/main" uri="{B025F937-C7B1-47D3-B67F-A62EFF666E3E}">
          <x14:id>{5DCA682C-CD4F-8949-AEA4-9BE46138DE27}</x14:id>
        </ext>
      </extLst>
    </cfRule>
  </conditionalFormatting>
  <conditionalFormatting sqref="E76:I76">
    <cfRule type="dataBar" priority="9">
      <dataBar>
        <cfvo type="min"/>
        <cfvo type="max"/>
        <color rgb="FFFFB628"/>
      </dataBar>
      <extLst>
        <ext xmlns:x14="http://schemas.microsoft.com/office/spreadsheetml/2009/9/main" uri="{B025F937-C7B1-47D3-B67F-A62EFF666E3E}">
          <x14:id>{67607F71-7131-E145-9177-E31BB6B56700}</x14:id>
        </ext>
      </extLst>
    </cfRule>
  </conditionalFormatting>
  <conditionalFormatting sqref="J76">
    <cfRule type="dataBar" priority="10">
      <dataBar>
        <cfvo type="min"/>
        <cfvo type="max"/>
        <color rgb="FF3FCDFF"/>
      </dataBar>
      <extLst>
        <ext xmlns:x14="http://schemas.microsoft.com/office/spreadsheetml/2009/9/main" uri="{B025F937-C7B1-47D3-B67F-A62EFF666E3E}">
          <x14:id>{EBE03F76-4E58-E34F-97D5-26ADA5FAEABC}</x14:id>
        </ext>
      </extLst>
    </cfRule>
  </conditionalFormatting>
  <conditionalFormatting sqref="E75:I75">
    <cfRule type="dataBar" priority="7">
      <dataBar>
        <cfvo type="min"/>
        <cfvo type="max"/>
        <color rgb="FFFFB628"/>
      </dataBar>
      <extLst>
        <ext xmlns:x14="http://schemas.microsoft.com/office/spreadsheetml/2009/9/main" uri="{B025F937-C7B1-47D3-B67F-A62EFF666E3E}">
          <x14:id>{2E767A17-D0E8-5049-9869-476F917B2C1A}</x14:id>
        </ext>
      </extLst>
    </cfRule>
  </conditionalFormatting>
  <conditionalFormatting sqref="J75">
    <cfRule type="dataBar" priority="8">
      <dataBar>
        <cfvo type="min"/>
        <cfvo type="max"/>
        <color rgb="FF3FCDFF"/>
      </dataBar>
      <extLst>
        <ext xmlns:x14="http://schemas.microsoft.com/office/spreadsheetml/2009/9/main" uri="{B025F937-C7B1-47D3-B67F-A62EFF666E3E}">
          <x14:id>{B5E6A47D-281F-DC4A-A734-D3BF96CB6121}</x14:id>
        </ext>
      </extLst>
    </cfRule>
  </conditionalFormatting>
  <conditionalFormatting sqref="E81:I81">
    <cfRule type="dataBar" priority="5">
      <dataBar>
        <cfvo type="min"/>
        <cfvo type="max"/>
        <color rgb="FFFFB628"/>
      </dataBar>
      <extLst>
        <ext xmlns:x14="http://schemas.microsoft.com/office/spreadsheetml/2009/9/main" uri="{B025F937-C7B1-47D3-B67F-A62EFF666E3E}">
          <x14:id>{E72474E4-5482-3743-921A-DE9B0B964444}</x14:id>
        </ext>
      </extLst>
    </cfRule>
  </conditionalFormatting>
  <conditionalFormatting sqref="J81">
    <cfRule type="dataBar" priority="6">
      <dataBar>
        <cfvo type="min"/>
        <cfvo type="max"/>
        <color rgb="FF3FCDFF"/>
      </dataBar>
      <extLst>
        <ext xmlns:x14="http://schemas.microsoft.com/office/spreadsheetml/2009/9/main" uri="{B025F937-C7B1-47D3-B67F-A62EFF666E3E}">
          <x14:id>{9A1CDE57-7405-CE42-873E-D2AE6C8E3C76}</x14:id>
        </ext>
      </extLst>
    </cfRule>
  </conditionalFormatting>
  <conditionalFormatting sqref="E57:I61">
    <cfRule type="dataBar" priority="3">
      <dataBar>
        <cfvo type="min"/>
        <cfvo type="max"/>
        <color rgb="FFFFB628"/>
      </dataBar>
      <extLst>
        <ext xmlns:x14="http://schemas.microsoft.com/office/spreadsheetml/2009/9/main" uri="{B025F937-C7B1-47D3-B67F-A62EFF666E3E}">
          <x14:id>{C99FB8D1-2B3D-344A-989D-640FA190F627}</x14:id>
        </ext>
      </extLst>
    </cfRule>
  </conditionalFormatting>
  <conditionalFormatting sqref="J57:J61">
    <cfRule type="dataBar" priority="4">
      <dataBar>
        <cfvo type="min"/>
        <cfvo type="max"/>
        <color rgb="FF3FCDFF"/>
      </dataBar>
      <extLst>
        <ext xmlns:x14="http://schemas.microsoft.com/office/spreadsheetml/2009/9/main" uri="{B025F937-C7B1-47D3-B67F-A62EFF666E3E}">
          <x14:id>{2BDFBA47-9C4A-EE4C-B6AA-3F624B038EB7}</x14:id>
        </ext>
      </extLst>
    </cfRule>
  </conditionalFormatting>
  <conditionalFormatting sqref="E40:I46">
    <cfRule type="dataBar" priority="1">
      <dataBar>
        <cfvo type="min"/>
        <cfvo type="max"/>
        <color rgb="FFFFB628"/>
      </dataBar>
      <extLst>
        <ext xmlns:x14="http://schemas.microsoft.com/office/spreadsheetml/2009/9/main" uri="{B025F937-C7B1-47D3-B67F-A62EFF666E3E}">
          <x14:id>{E6C25105-B356-F049-8E4B-CB29CCD53C0E}</x14:id>
        </ext>
      </extLst>
    </cfRule>
  </conditionalFormatting>
  <conditionalFormatting sqref="J40:J46">
    <cfRule type="dataBar" priority="2">
      <dataBar>
        <cfvo type="min"/>
        <cfvo type="max"/>
        <color rgb="FF3FCDFF"/>
      </dataBar>
      <extLst>
        <ext xmlns:x14="http://schemas.microsoft.com/office/spreadsheetml/2009/9/main" uri="{B025F937-C7B1-47D3-B67F-A62EFF666E3E}">
          <x14:id>{AF2BD672-6F62-8547-86BF-1EDA22B0EAB9}</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B24CF74E-6F26-5242-A2A5-1F561C3C9622}">
            <x14:dataBar minLength="0" maxLength="100" gradient="0">
              <x14:cfvo type="autoMin"/>
              <x14:cfvo type="autoMax"/>
              <x14:negativeFillColor rgb="FFFF0000"/>
              <x14:axisColor rgb="FF000000"/>
            </x14:dataBar>
          </x14:cfRule>
          <xm:sqref>E25:I26</xm:sqref>
        </x14:conditionalFormatting>
        <x14:conditionalFormatting xmlns:xm="http://schemas.microsoft.com/office/excel/2006/main">
          <x14:cfRule type="dataBar" id="{30FBF2E4-F802-844C-AE37-410BE2F4F564}">
            <x14:dataBar minLength="0" maxLength="100" gradient="0">
              <x14:cfvo type="autoMin"/>
              <x14:cfvo type="autoMax"/>
              <x14:negativeFillColor rgb="FFFF0000"/>
              <x14:axisColor rgb="FF000000"/>
            </x14:dataBar>
          </x14:cfRule>
          <xm:sqref>E12:I16</xm:sqref>
        </x14:conditionalFormatting>
        <x14:conditionalFormatting xmlns:xm="http://schemas.microsoft.com/office/excel/2006/main">
          <x14:cfRule type="dataBar" id="{D18D9A04-A1BE-6142-B957-744A3CC01818}">
            <x14:dataBar minLength="0" maxLength="100" gradient="0">
              <x14:cfvo type="autoMin"/>
              <x14:cfvo type="autoMax"/>
              <x14:negativeFillColor rgb="FFFF0000"/>
              <x14:axisColor rgb="FF000000"/>
            </x14:dataBar>
          </x14:cfRule>
          <xm:sqref>J17:J21 J27:J31 J52:J56 J62:J66 J72:J74</xm:sqref>
        </x14:conditionalFormatting>
        <x14:conditionalFormatting xmlns:xm="http://schemas.microsoft.com/office/excel/2006/main">
          <x14:cfRule type="dataBar" id="{9E2AA709-00B1-4749-850F-CFA60301381B}">
            <x14:dataBar minLength="0" maxLength="100" gradient="0">
              <x14:cfvo type="autoMin"/>
              <x14:cfvo type="autoMax"/>
              <x14:negativeFillColor rgb="FFFF0000"/>
              <x14:axisColor rgb="FF000000"/>
            </x14:dataBar>
          </x14:cfRule>
          <xm:sqref>J12:J16 J22:J26 J47:J51 J67:J71 J77:J80 J32:J39</xm:sqref>
        </x14:conditionalFormatting>
        <x14:conditionalFormatting xmlns:xm="http://schemas.microsoft.com/office/excel/2006/main">
          <x14:cfRule type="dataBar" id="{A484998A-E219-8A46-8928-10F3DC0B752F}">
            <x14:dataBar minLength="0" maxLength="100" gradient="0">
              <x14:cfvo type="autoMin"/>
              <x14:cfvo type="autoMax"/>
              <x14:negativeFillColor rgb="FFFF0000"/>
              <x14:axisColor rgb="FF000000"/>
            </x14:dataBar>
          </x14:cfRule>
          <xm:sqref>E27:I31</xm:sqref>
        </x14:conditionalFormatting>
        <x14:conditionalFormatting xmlns:xm="http://schemas.microsoft.com/office/excel/2006/main">
          <x14:cfRule type="dataBar" id="{90C0916C-189B-F944-8416-C29E86BE5F07}">
            <x14:dataBar minLength="0" maxLength="100" gradient="0">
              <x14:cfvo type="autoMin"/>
              <x14:cfvo type="autoMax"/>
              <x14:negativeFillColor rgb="FFFF0000"/>
              <x14:axisColor rgb="FF000000"/>
            </x14:dataBar>
          </x14:cfRule>
          <xm:sqref>E32:I39</xm:sqref>
        </x14:conditionalFormatting>
        <x14:conditionalFormatting xmlns:xm="http://schemas.microsoft.com/office/excel/2006/main">
          <x14:cfRule type="dataBar" id="{DC9D2FCE-BDC1-1342-BB5E-3CC4DE16EF9F}">
            <x14:dataBar minLength="0" maxLength="100" gradient="0">
              <x14:cfvo type="autoMin"/>
              <x14:cfvo type="autoMax"/>
              <x14:negativeFillColor rgb="FFFF0000"/>
              <x14:axisColor rgb="FF000000"/>
            </x14:dataBar>
          </x14:cfRule>
          <xm:sqref>E47:I49 E51:I51</xm:sqref>
        </x14:conditionalFormatting>
        <x14:conditionalFormatting xmlns:xm="http://schemas.microsoft.com/office/excel/2006/main">
          <x14:cfRule type="dataBar" id="{ADEE8D47-A2AE-F44E-B540-CED1F9BB618B}">
            <x14:dataBar minLength="0" maxLength="100" gradient="0">
              <x14:cfvo type="autoMin"/>
              <x14:cfvo type="autoMax"/>
              <x14:negativeFillColor rgb="FFFF0000"/>
              <x14:axisColor rgb="FF000000"/>
            </x14:dataBar>
          </x14:cfRule>
          <xm:sqref>E52:I56</xm:sqref>
        </x14:conditionalFormatting>
        <x14:conditionalFormatting xmlns:xm="http://schemas.microsoft.com/office/excel/2006/main">
          <x14:cfRule type="dataBar" id="{C07B6119-7FA3-374B-973D-6A04F44FACCD}">
            <x14:dataBar minLength="0" maxLength="100" gradient="0">
              <x14:cfvo type="autoMin"/>
              <x14:cfvo type="autoMax"/>
              <x14:negativeFillColor rgb="FFFF0000"/>
              <x14:axisColor rgb="FF000000"/>
            </x14:dataBar>
          </x14:cfRule>
          <xm:sqref>E68:I68 E70:I71</xm:sqref>
        </x14:conditionalFormatting>
        <x14:conditionalFormatting xmlns:xm="http://schemas.microsoft.com/office/excel/2006/main">
          <x14:cfRule type="dataBar" id="{B38F4E1A-E78C-2147-A38A-1344BBB2E44F}">
            <x14:dataBar minLength="0" maxLength="100" gradient="0">
              <x14:cfvo type="autoMin"/>
              <x14:cfvo type="autoMax"/>
              <x14:negativeFillColor rgb="FFFF0000"/>
              <x14:axisColor rgb="FF000000"/>
            </x14:dataBar>
          </x14:cfRule>
          <xm:sqref>E73:I73</xm:sqref>
        </x14:conditionalFormatting>
        <x14:conditionalFormatting xmlns:xm="http://schemas.microsoft.com/office/excel/2006/main">
          <x14:cfRule type="dataBar" id="{BA9DCC45-E244-3046-BD0B-92E949AF20CD}">
            <x14:dataBar minLength="0" maxLength="100" gradient="0">
              <x14:cfvo type="autoMin"/>
              <x14:cfvo type="autoMax"/>
              <x14:negativeFillColor rgb="FFFF0000"/>
              <x14:axisColor rgb="FF000000"/>
            </x14:dataBar>
          </x14:cfRule>
          <xm:sqref>E17:I17 E19:I19</xm:sqref>
        </x14:conditionalFormatting>
        <x14:conditionalFormatting xmlns:xm="http://schemas.microsoft.com/office/excel/2006/main">
          <x14:cfRule type="dataBar" id="{2E4B98B7-0906-2E45-BC9C-EBCA08267DDB}">
            <x14:dataBar minLength="0" maxLength="100" gradient="0">
              <x14:cfvo type="autoMin"/>
              <x14:cfvo type="autoMax"/>
              <x14:negativeFillColor rgb="FFFF0000"/>
              <x14:axisColor rgb="FF000000"/>
            </x14:dataBar>
          </x14:cfRule>
          <xm:sqref>E18:I18</xm:sqref>
        </x14:conditionalFormatting>
        <x14:conditionalFormatting xmlns:xm="http://schemas.microsoft.com/office/excel/2006/main">
          <x14:cfRule type="dataBar" id="{FFFBC081-CC31-7240-812E-A42F3A202956}">
            <x14:dataBar minLength="0" maxLength="100" gradient="0">
              <x14:cfvo type="autoMin"/>
              <x14:cfvo type="autoMax"/>
              <x14:negativeFillColor rgb="FFFF0000"/>
              <x14:axisColor rgb="FF000000"/>
            </x14:dataBar>
          </x14:cfRule>
          <xm:sqref>E20:I20</xm:sqref>
        </x14:conditionalFormatting>
        <x14:conditionalFormatting xmlns:xm="http://schemas.microsoft.com/office/excel/2006/main">
          <x14:cfRule type="dataBar" id="{5DE8D4C3-0B9F-6847-9BFF-64A09FD4DA12}">
            <x14:dataBar minLength="0" maxLength="100" gradient="0">
              <x14:cfvo type="autoMin"/>
              <x14:cfvo type="autoMax"/>
              <x14:negativeFillColor rgb="FFFF0000"/>
              <x14:axisColor rgb="FF000000"/>
            </x14:dataBar>
          </x14:cfRule>
          <xm:sqref>E21:I21</xm:sqref>
        </x14:conditionalFormatting>
        <x14:conditionalFormatting xmlns:xm="http://schemas.microsoft.com/office/excel/2006/main">
          <x14:cfRule type="dataBar" id="{56B0F172-4D51-7D47-AE7E-F2A6B8B45D6D}">
            <x14:dataBar minLength="0" maxLength="100" gradient="0">
              <x14:cfvo type="autoMin"/>
              <x14:cfvo type="autoMax"/>
              <x14:negativeFillColor rgb="FFFF0000"/>
              <x14:axisColor rgb="FF000000"/>
            </x14:dataBar>
          </x14:cfRule>
          <xm:sqref>E24:I24</xm:sqref>
        </x14:conditionalFormatting>
        <x14:conditionalFormatting xmlns:xm="http://schemas.microsoft.com/office/excel/2006/main">
          <x14:cfRule type="dataBar" id="{4B34D0A5-B81D-6A4B-B77C-D86B001C3B21}">
            <x14:dataBar minLength="0" maxLength="100" gradient="0">
              <x14:cfvo type="autoMin"/>
              <x14:cfvo type="autoMax"/>
              <x14:negativeFillColor rgb="FFFF0000"/>
              <x14:axisColor rgb="FF000000"/>
            </x14:dataBar>
          </x14:cfRule>
          <xm:sqref>E22:I22</xm:sqref>
        </x14:conditionalFormatting>
        <x14:conditionalFormatting xmlns:xm="http://schemas.microsoft.com/office/excel/2006/main">
          <x14:cfRule type="dataBar" id="{12DA7FDC-1D3F-1B4C-A839-947595AA9D85}">
            <x14:dataBar minLength="0" maxLength="100" gradient="0">
              <x14:cfvo type="autoMin"/>
              <x14:cfvo type="autoMax"/>
              <x14:negativeFillColor rgb="FFFF0000"/>
              <x14:axisColor rgb="FF000000"/>
            </x14:dataBar>
          </x14:cfRule>
          <xm:sqref>E23:I23</xm:sqref>
        </x14:conditionalFormatting>
        <x14:conditionalFormatting xmlns:xm="http://schemas.microsoft.com/office/excel/2006/main">
          <x14:cfRule type="dataBar" id="{5FFF8B93-6A95-E347-81C2-AD868C2B7A0D}">
            <x14:dataBar minLength="0" maxLength="100" gradient="0">
              <x14:cfvo type="autoMin"/>
              <x14:cfvo type="autoMax"/>
              <x14:negativeFillColor rgb="FFFF0000"/>
              <x14:axisColor rgb="FF000000"/>
            </x14:dataBar>
          </x14:cfRule>
          <xm:sqref>E65:I66</xm:sqref>
        </x14:conditionalFormatting>
        <x14:conditionalFormatting xmlns:xm="http://schemas.microsoft.com/office/excel/2006/main">
          <x14:cfRule type="dataBar" id="{09A6DA40-35F7-5749-9185-E8CA817012E7}">
            <x14:dataBar minLength="0" maxLength="100" gradient="0">
              <x14:cfvo type="autoMin"/>
              <x14:cfvo type="autoMax"/>
              <x14:negativeFillColor rgb="FFFF0000"/>
              <x14:axisColor rgb="FF000000"/>
            </x14:dataBar>
          </x14:cfRule>
          <xm:sqref>E74:I74</xm:sqref>
        </x14:conditionalFormatting>
        <x14:conditionalFormatting xmlns:xm="http://schemas.microsoft.com/office/excel/2006/main">
          <x14:cfRule type="dataBar" id="{EE44A7D1-65DB-E74A-98AE-8D971EDFF738}">
            <x14:dataBar minLength="0" maxLength="100" gradient="0">
              <x14:cfvo type="autoMin"/>
              <x14:cfvo type="autoMax"/>
              <x14:negativeFillColor rgb="FFFF0000"/>
              <x14:axisColor rgb="FF000000"/>
            </x14:dataBar>
          </x14:cfRule>
          <xm:sqref>E72:I72</xm:sqref>
        </x14:conditionalFormatting>
        <x14:conditionalFormatting xmlns:xm="http://schemas.microsoft.com/office/excel/2006/main">
          <x14:cfRule type="dataBar" id="{17BE12D6-DA0C-9143-975D-E9A12BD8E981}">
            <x14:dataBar minLength="0" maxLength="100" gradient="0">
              <x14:cfvo type="autoMin"/>
              <x14:cfvo type="autoMax"/>
              <x14:negativeFillColor rgb="FFFF0000"/>
              <x14:axisColor rgb="FF000000"/>
            </x14:dataBar>
          </x14:cfRule>
          <xm:sqref>E69:I69</xm:sqref>
        </x14:conditionalFormatting>
        <x14:conditionalFormatting xmlns:xm="http://schemas.microsoft.com/office/excel/2006/main">
          <x14:cfRule type="dataBar" id="{28A70009-9D68-B449-99BD-71D02997F35B}">
            <x14:dataBar minLength="0" maxLength="100" gradient="0">
              <x14:cfvo type="autoMin"/>
              <x14:cfvo type="autoMax"/>
              <x14:negativeFillColor rgb="FFFF0000"/>
              <x14:axisColor rgb="FF000000"/>
            </x14:dataBar>
          </x14:cfRule>
          <xm:sqref>E67:I67</xm:sqref>
        </x14:conditionalFormatting>
        <x14:conditionalFormatting xmlns:xm="http://schemas.microsoft.com/office/excel/2006/main">
          <x14:cfRule type="dataBar" id="{9A431EC1-D86F-3045-9692-1E824F7FF9B3}">
            <x14:dataBar minLength="0" maxLength="100" gradient="0">
              <x14:cfvo type="autoMin"/>
              <x14:cfvo type="autoMax"/>
              <x14:negativeFillColor rgb="FFFF0000"/>
              <x14:axisColor rgb="FF000000"/>
            </x14:dataBar>
          </x14:cfRule>
          <xm:sqref>E64:I64</xm:sqref>
        </x14:conditionalFormatting>
        <x14:conditionalFormatting xmlns:xm="http://schemas.microsoft.com/office/excel/2006/main">
          <x14:cfRule type="dataBar" id="{1391AAD2-3046-394C-8BD1-1B5DFA4B7A03}">
            <x14:dataBar minLength="0" maxLength="100" gradient="0">
              <x14:cfvo type="autoMin"/>
              <x14:cfvo type="autoMax"/>
              <x14:negativeFillColor rgb="FFFF0000"/>
              <x14:axisColor rgb="FF000000"/>
            </x14:dataBar>
          </x14:cfRule>
          <xm:sqref>E62:I62</xm:sqref>
        </x14:conditionalFormatting>
        <x14:conditionalFormatting xmlns:xm="http://schemas.microsoft.com/office/excel/2006/main">
          <x14:cfRule type="dataBar" id="{27515076-A4BF-EA40-87B4-FE1C635FD34C}">
            <x14:dataBar minLength="0" maxLength="100" gradient="0">
              <x14:cfvo type="autoMin"/>
              <x14:cfvo type="autoMax"/>
              <x14:negativeFillColor rgb="FFFF0000"/>
              <x14:axisColor rgb="FF000000"/>
            </x14:dataBar>
          </x14:cfRule>
          <xm:sqref>E63:I63</xm:sqref>
        </x14:conditionalFormatting>
        <x14:conditionalFormatting xmlns:xm="http://schemas.microsoft.com/office/excel/2006/main">
          <x14:cfRule type="dataBar" id="{1F7382EE-907A-8E4F-9EEE-672D0F5CC52E}">
            <x14:dataBar minLength="0" maxLength="100" gradient="0">
              <x14:cfvo type="autoMin"/>
              <x14:cfvo type="autoMax"/>
              <x14:negativeFillColor rgb="FFFF0000"/>
              <x14:axisColor rgb="FF000000"/>
            </x14:dataBar>
          </x14:cfRule>
          <xm:sqref>E50:I50</xm:sqref>
        </x14:conditionalFormatting>
        <x14:conditionalFormatting xmlns:xm="http://schemas.microsoft.com/office/excel/2006/main">
          <x14:cfRule type="dataBar" id="{F89A6D3A-EDA0-B040-A1E4-51526640BA64}">
            <x14:dataBar minLength="0" maxLength="100" gradient="0">
              <x14:cfvo type="autoMin"/>
              <x14:cfvo type="autoMax"/>
              <x14:negativeFillColor rgb="FFFF0000"/>
              <x14:axisColor rgb="FF000000"/>
            </x14:dataBar>
          </x14:cfRule>
          <xm:sqref>E7:I11</xm:sqref>
        </x14:conditionalFormatting>
        <x14:conditionalFormatting xmlns:xm="http://schemas.microsoft.com/office/excel/2006/main">
          <x14:cfRule type="dataBar" id="{77A0F21A-3CDD-0643-A3FB-4EDDA1F2C369}">
            <x14:dataBar minLength="0" maxLength="100" gradient="0">
              <x14:cfvo type="autoMin"/>
              <x14:cfvo type="autoMax"/>
              <x14:negativeFillColor rgb="FFFF0000"/>
              <x14:axisColor rgb="FF000000"/>
            </x14:dataBar>
          </x14:cfRule>
          <xm:sqref>J7:J11</xm:sqref>
        </x14:conditionalFormatting>
        <x14:conditionalFormatting xmlns:xm="http://schemas.microsoft.com/office/excel/2006/main">
          <x14:cfRule type="dataBar" id="{2C6BA4DD-38E7-2C42-A8C6-EFC866C328E6}">
            <x14:dataBar minLength="0" maxLength="100" gradient="0">
              <x14:cfvo type="autoMin"/>
              <x14:cfvo type="autoMax"/>
              <x14:negativeFillColor rgb="FFFF0000"/>
              <x14:axisColor rgb="FF000000"/>
            </x14:dataBar>
          </x14:cfRule>
          <xm:sqref>E2:I6</xm:sqref>
        </x14:conditionalFormatting>
        <x14:conditionalFormatting xmlns:xm="http://schemas.microsoft.com/office/excel/2006/main">
          <x14:cfRule type="dataBar" id="{3B527D41-D7C8-7F41-AA8F-FD5A85EC1650}">
            <x14:dataBar minLength="0" maxLength="100" gradient="0">
              <x14:cfvo type="autoMin"/>
              <x14:cfvo type="autoMax"/>
              <x14:negativeFillColor rgb="FFFF0000"/>
              <x14:axisColor rgb="FF000000"/>
            </x14:dataBar>
          </x14:cfRule>
          <xm:sqref>J2:J6</xm:sqref>
        </x14:conditionalFormatting>
        <x14:conditionalFormatting xmlns:xm="http://schemas.microsoft.com/office/excel/2006/main">
          <x14:cfRule type="dataBar" id="{D3E9ABC7-05AC-D047-AC4F-4A751D00BE0C}">
            <x14:dataBar minLength="0" maxLength="100" gradient="0">
              <x14:cfvo type="autoMin"/>
              <x14:cfvo type="autoMax"/>
              <x14:negativeFillColor rgb="FFFF0000"/>
              <x14:axisColor rgb="FF000000"/>
            </x14:dataBar>
          </x14:cfRule>
          <xm:sqref>E77:I79</xm:sqref>
        </x14:conditionalFormatting>
        <x14:conditionalFormatting xmlns:xm="http://schemas.microsoft.com/office/excel/2006/main">
          <x14:cfRule type="dataBar" id="{5DCA682C-CD4F-8949-AEA4-9BE46138DE27}">
            <x14:dataBar minLength="0" maxLength="100" gradient="0">
              <x14:cfvo type="autoMin"/>
              <x14:cfvo type="autoMax"/>
              <x14:negativeFillColor rgb="FFFF0000"/>
              <x14:axisColor rgb="FF000000"/>
            </x14:dataBar>
          </x14:cfRule>
          <xm:sqref>E80:I80</xm:sqref>
        </x14:conditionalFormatting>
        <x14:conditionalFormatting xmlns:xm="http://schemas.microsoft.com/office/excel/2006/main">
          <x14:cfRule type="dataBar" id="{67607F71-7131-E145-9177-E31BB6B56700}">
            <x14:dataBar minLength="0" maxLength="100" gradient="0">
              <x14:cfvo type="autoMin"/>
              <x14:cfvo type="autoMax"/>
              <x14:negativeFillColor rgb="FFFF0000"/>
              <x14:axisColor rgb="FF000000"/>
            </x14:dataBar>
          </x14:cfRule>
          <xm:sqref>E76:I76</xm:sqref>
        </x14:conditionalFormatting>
        <x14:conditionalFormatting xmlns:xm="http://schemas.microsoft.com/office/excel/2006/main">
          <x14:cfRule type="dataBar" id="{EBE03F76-4E58-E34F-97D5-26ADA5FAEABC}">
            <x14:dataBar minLength="0" maxLength="100" gradient="0">
              <x14:cfvo type="autoMin"/>
              <x14:cfvo type="autoMax"/>
              <x14:negativeFillColor rgb="FFFF0000"/>
              <x14:axisColor rgb="FF000000"/>
            </x14:dataBar>
          </x14:cfRule>
          <xm:sqref>J76</xm:sqref>
        </x14:conditionalFormatting>
        <x14:conditionalFormatting xmlns:xm="http://schemas.microsoft.com/office/excel/2006/main">
          <x14:cfRule type="dataBar" id="{2E767A17-D0E8-5049-9869-476F917B2C1A}">
            <x14:dataBar minLength="0" maxLength="100" gradient="0">
              <x14:cfvo type="autoMin"/>
              <x14:cfvo type="autoMax"/>
              <x14:negativeFillColor rgb="FFFF0000"/>
              <x14:axisColor rgb="FF000000"/>
            </x14:dataBar>
          </x14:cfRule>
          <xm:sqref>E75:I75</xm:sqref>
        </x14:conditionalFormatting>
        <x14:conditionalFormatting xmlns:xm="http://schemas.microsoft.com/office/excel/2006/main">
          <x14:cfRule type="dataBar" id="{B5E6A47D-281F-DC4A-A734-D3BF96CB6121}">
            <x14:dataBar minLength="0" maxLength="100" gradient="0">
              <x14:cfvo type="autoMin"/>
              <x14:cfvo type="autoMax"/>
              <x14:negativeFillColor rgb="FFFF0000"/>
              <x14:axisColor rgb="FF000000"/>
            </x14:dataBar>
          </x14:cfRule>
          <xm:sqref>J75</xm:sqref>
        </x14:conditionalFormatting>
        <x14:conditionalFormatting xmlns:xm="http://schemas.microsoft.com/office/excel/2006/main">
          <x14:cfRule type="dataBar" id="{E72474E4-5482-3743-921A-DE9B0B964444}">
            <x14:dataBar minLength="0" maxLength="100" gradient="0">
              <x14:cfvo type="autoMin"/>
              <x14:cfvo type="autoMax"/>
              <x14:negativeFillColor rgb="FFFF0000"/>
              <x14:axisColor rgb="FF000000"/>
            </x14:dataBar>
          </x14:cfRule>
          <xm:sqref>E81:I81</xm:sqref>
        </x14:conditionalFormatting>
        <x14:conditionalFormatting xmlns:xm="http://schemas.microsoft.com/office/excel/2006/main">
          <x14:cfRule type="dataBar" id="{9A1CDE57-7405-CE42-873E-D2AE6C8E3C76}">
            <x14:dataBar minLength="0" maxLength="100" gradient="0">
              <x14:cfvo type="autoMin"/>
              <x14:cfvo type="autoMax"/>
              <x14:negativeFillColor rgb="FFFF0000"/>
              <x14:axisColor rgb="FF000000"/>
            </x14:dataBar>
          </x14:cfRule>
          <xm:sqref>J81</xm:sqref>
        </x14:conditionalFormatting>
        <x14:conditionalFormatting xmlns:xm="http://schemas.microsoft.com/office/excel/2006/main">
          <x14:cfRule type="dataBar" id="{C99FB8D1-2B3D-344A-989D-640FA190F627}">
            <x14:dataBar minLength="0" maxLength="100" gradient="0">
              <x14:cfvo type="autoMin"/>
              <x14:cfvo type="autoMax"/>
              <x14:negativeFillColor rgb="FFFF0000"/>
              <x14:axisColor rgb="FF000000"/>
            </x14:dataBar>
          </x14:cfRule>
          <xm:sqref>E57:I61</xm:sqref>
        </x14:conditionalFormatting>
        <x14:conditionalFormatting xmlns:xm="http://schemas.microsoft.com/office/excel/2006/main">
          <x14:cfRule type="dataBar" id="{2BDFBA47-9C4A-EE4C-B6AA-3F624B038EB7}">
            <x14:dataBar minLength="0" maxLength="100" gradient="0">
              <x14:cfvo type="autoMin"/>
              <x14:cfvo type="autoMax"/>
              <x14:negativeFillColor rgb="FFFF0000"/>
              <x14:axisColor rgb="FF000000"/>
            </x14:dataBar>
          </x14:cfRule>
          <xm:sqref>J57:J61</xm:sqref>
        </x14:conditionalFormatting>
        <x14:conditionalFormatting xmlns:xm="http://schemas.microsoft.com/office/excel/2006/main">
          <x14:cfRule type="dataBar" id="{E6C25105-B356-F049-8E4B-CB29CCD53C0E}">
            <x14:dataBar minLength="0" maxLength="100" gradient="0">
              <x14:cfvo type="autoMin"/>
              <x14:cfvo type="autoMax"/>
              <x14:negativeFillColor rgb="FFFF0000"/>
              <x14:axisColor rgb="FF000000"/>
            </x14:dataBar>
          </x14:cfRule>
          <xm:sqref>E40:I46</xm:sqref>
        </x14:conditionalFormatting>
        <x14:conditionalFormatting xmlns:xm="http://schemas.microsoft.com/office/excel/2006/main">
          <x14:cfRule type="dataBar" id="{AF2BD672-6F62-8547-86BF-1EDA22B0EAB9}">
            <x14:dataBar minLength="0" maxLength="100" gradient="0">
              <x14:cfvo type="autoMin"/>
              <x14:cfvo type="autoMax"/>
              <x14:negativeFillColor rgb="FFFF0000"/>
              <x14:axisColor rgb="FF000000"/>
            </x14:dataBar>
          </x14:cfRule>
          <xm:sqref>J40:J46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M355"/>
  <sheetViews>
    <sheetView zoomScale="75" zoomScaleNormal="70" workbookViewId="0">
      <pane xSplit="2" ySplit="1" topLeftCell="C2" activePane="bottomRight" state="frozen"/>
      <selection pane="topRight" activeCell="C1" sqref="C1"/>
      <selection pane="bottomLeft" activeCell="A3" sqref="A3"/>
      <selection pane="bottomRight" activeCell="D21" sqref="D21"/>
    </sheetView>
  </sheetViews>
  <sheetFormatPr baseColWidth="10" defaultColWidth="9.1640625" defaultRowHeight="15" x14ac:dyDescent="0.2"/>
  <cols>
    <col min="1" max="1" width="19.33203125" style="18" customWidth="1"/>
    <col min="2" max="2" width="17.1640625" style="18" customWidth="1"/>
    <col min="3" max="3" width="8.5" style="65" customWidth="1"/>
    <col min="4" max="4" width="12.1640625" style="80" customWidth="1"/>
    <col min="5" max="5" width="48.5" style="27" customWidth="1"/>
    <col min="6" max="6" width="2.33203125" style="65" customWidth="1"/>
    <col min="7" max="9" width="6.33203125" style="65" customWidth="1"/>
    <col min="10" max="10" width="7.33203125" style="65" customWidth="1"/>
    <col min="11" max="11" width="7.1640625" style="80" customWidth="1"/>
    <col min="12" max="16384" width="9.1640625" style="71"/>
  </cols>
  <sheetData>
    <row r="1" spans="1:12" s="214" customFormat="1" ht="30" customHeight="1" thickBot="1" x14ac:dyDescent="0.25">
      <c r="A1" s="89" t="s">
        <v>0</v>
      </c>
      <c r="B1" s="90" t="s">
        <v>1</v>
      </c>
      <c r="C1" s="434" t="s">
        <v>58</v>
      </c>
      <c r="D1" s="434" t="s">
        <v>66</v>
      </c>
      <c r="E1" s="435" t="s">
        <v>57</v>
      </c>
      <c r="F1" s="411" t="s">
        <v>78</v>
      </c>
      <c r="G1" s="91" t="s">
        <v>64</v>
      </c>
      <c r="H1" s="91" t="s">
        <v>60</v>
      </c>
      <c r="I1" s="91" t="s">
        <v>61</v>
      </c>
      <c r="J1" s="91" t="s">
        <v>62</v>
      </c>
      <c r="K1" s="92" t="s">
        <v>63</v>
      </c>
      <c r="L1" s="93" t="s">
        <v>116</v>
      </c>
    </row>
    <row r="2" spans="1:12" x14ac:dyDescent="0.2">
      <c r="A2" s="348" t="s">
        <v>104</v>
      </c>
      <c r="B2" s="19" t="s">
        <v>3</v>
      </c>
      <c r="C2" s="418" t="s">
        <v>65</v>
      </c>
      <c r="D2" s="401" t="s">
        <v>814</v>
      </c>
      <c r="E2" s="419"/>
      <c r="F2" s="412"/>
      <c r="G2" s="74"/>
      <c r="H2" s="74"/>
      <c r="I2" s="74"/>
      <c r="J2" s="74"/>
      <c r="K2" s="85"/>
      <c r="L2" s="60" t="str">
        <f>IF( OR( ISBLANK(G2),ISBLANK(H2), ISBLANK(I2), ISBLANK(J2), ISBLANK(K2) ), "", 1.5*SQRT(   EXP(2.21*(G2-1)) + EXP(2.21*(H2-1)) + EXP(2.21*(I2-1)) + EXP(2.21*(J2-1)) + EXP(2.21*K2)   )/100*2.45 )</f>
        <v/>
      </c>
    </row>
    <row r="3" spans="1:12" x14ac:dyDescent="0.2">
      <c r="A3" s="348" t="s">
        <v>104</v>
      </c>
      <c r="B3" s="47" t="s">
        <v>295</v>
      </c>
      <c r="C3" s="418" t="s">
        <v>65</v>
      </c>
      <c r="D3" s="402">
        <f>D5</f>
        <v>5.9113300492610842E-3</v>
      </c>
      <c r="E3" s="419" t="s">
        <v>102</v>
      </c>
      <c r="F3" s="412" t="s">
        <v>78</v>
      </c>
      <c r="G3" s="65">
        <v>2</v>
      </c>
      <c r="H3" s="65">
        <v>2</v>
      </c>
      <c r="I3" s="65">
        <v>3</v>
      </c>
      <c r="J3" s="65">
        <v>2</v>
      </c>
      <c r="K3" s="66">
        <v>2</v>
      </c>
      <c r="L3" s="60">
        <f t="shared" ref="L3:L66" si="0">IF( OR( ISBLANK(G3),ISBLANK(H3), ISBLANK(I3), ISBLANK(J3), ISBLANK(K3) ), "", 1.5*SQRT(   EXP(2.21*(G3-1)) + EXP(2.21*(H3-1)) + EXP(2.21*(I3-1)) + EXP(2.21*(J3-1)) + EXP(2.21*K3)   )/100*2.45 )</f>
        <v>0.51126068492676302</v>
      </c>
    </row>
    <row r="4" spans="1:12" x14ac:dyDescent="0.2">
      <c r="A4" s="350" t="s">
        <v>2</v>
      </c>
      <c r="B4" s="404" t="s">
        <v>3</v>
      </c>
      <c r="C4" s="418" t="s">
        <v>65</v>
      </c>
      <c r="D4" s="401" t="s">
        <v>814</v>
      </c>
      <c r="E4" s="419"/>
      <c r="F4" s="413" t="s">
        <v>78</v>
      </c>
      <c r="G4" s="61"/>
      <c r="H4" s="61"/>
      <c r="I4" s="61"/>
      <c r="J4" s="61"/>
      <c r="K4" s="30"/>
      <c r="L4" s="60" t="str">
        <f t="shared" si="0"/>
        <v/>
      </c>
    </row>
    <row r="5" spans="1:12" x14ac:dyDescent="0.2">
      <c r="A5" s="351" t="s">
        <v>2</v>
      </c>
      <c r="B5" s="22" t="s">
        <v>295</v>
      </c>
      <c r="C5" s="418" t="s">
        <v>65</v>
      </c>
      <c r="D5" s="402">
        <f>60/10150</f>
        <v>5.9113300492610842E-3</v>
      </c>
      <c r="E5" s="419" t="s">
        <v>102</v>
      </c>
      <c r="F5" s="414" t="s">
        <v>78</v>
      </c>
      <c r="G5" s="70">
        <v>2</v>
      </c>
      <c r="H5" s="70">
        <v>2</v>
      </c>
      <c r="I5" s="70">
        <v>3</v>
      </c>
      <c r="J5" s="70">
        <v>1</v>
      </c>
      <c r="K5" s="84">
        <v>2</v>
      </c>
      <c r="L5" s="60">
        <f t="shared" si="0"/>
        <v>0.50042652380814845</v>
      </c>
    </row>
    <row r="6" spans="1:12" x14ac:dyDescent="0.2">
      <c r="A6" s="348" t="s">
        <v>3</v>
      </c>
      <c r="B6" s="19" t="s">
        <v>4</v>
      </c>
      <c r="C6" s="318" t="s">
        <v>809</v>
      </c>
      <c r="D6" s="402">
        <v>8.9999999999999993E-3</v>
      </c>
      <c r="E6" s="419" t="s">
        <v>815</v>
      </c>
      <c r="F6" s="27" t="s">
        <v>78</v>
      </c>
      <c r="G6" s="340">
        <v>2</v>
      </c>
      <c r="H6" s="104">
        <v>2</v>
      </c>
      <c r="I6" s="104">
        <v>1</v>
      </c>
      <c r="J6" s="104">
        <v>1</v>
      </c>
      <c r="K6" s="341">
        <v>1</v>
      </c>
      <c r="L6" s="60">
        <f t="shared" si="0"/>
        <v>0.19908580854301616</v>
      </c>
    </row>
    <row r="7" spans="1:12" x14ac:dyDescent="0.2">
      <c r="A7" s="348" t="s">
        <v>3</v>
      </c>
      <c r="B7" s="19" t="s">
        <v>4</v>
      </c>
      <c r="C7" s="322" t="s">
        <v>810</v>
      </c>
      <c r="D7" s="403">
        <v>0</v>
      </c>
      <c r="E7" s="419"/>
      <c r="F7" s="412" t="s">
        <v>78</v>
      </c>
      <c r="G7" s="74"/>
      <c r="H7" s="74"/>
      <c r="I7" s="74"/>
      <c r="J7" s="74"/>
      <c r="K7" s="85"/>
      <c r="L7" s="60" t="str">
        <f t="shared" si="0"/>
        <v/>
      </c>
    </row>
    <row r="8" spans="1:12" x14ac:dyDescent="0.2">
      <c r="A8" s="348" t="s">
        <v>3</v>
      </c>
      <c r="B8" s="19" t="s">
        <v>4</v>
      </c>
      <c r="C8" s="323" t="s">
        <v>811</v>
      </c>
      <c r="D8" s="402">
        <v>0.62</v>
      </c>
      <c r="E8" s="419" t="s">
        <v>816</v>
      </c>
      <c r="F8" s="412" t="s">
        <v>78</v>
      </c>
      <c r="G8" s="57">
        <v>2</v>
      </c>
      <c r="H8" s="57">
        <v>2</v>
      </c>
      <c r="I8" s="57">
        <v>1</v>
      </c>
      <c r="J8" s="57">
        <v>1</v>
      </c>
      <c r="K8" s="11">
        <v>1</v>
      </c>
      <c r="L8" s="60">
        <f t="shared" si="0"/>
        <v>0.19908580854301616</v>
      </c>
    </row>
    <row r="9" spans="1:12" x14ac:dyDescent="0.2">
      <c r="A9" s="348" t="s">
        <v>3</v>
      </c>
      <c r="B9" s="19" t="s">
        <v>4</v>
      </c>
      <c r="C9" s="324" t="s">
        <v>812</v>
      </c>
      <c r="D9" s="403">
        <v>0</v>
      </c>
      <c r="E9" s="419"/>
      <c r="F9" s="412" t="s">
        <v>78</v>
      </c>
      <c r="G9" s="74"/>
      <c r="H9" s="74"/>
      <c r="I9" s="74"/>
      <c r="J9" s="74"/>
      <c r="K9" s="85"/>
      <c r="L9" s="60" t="str">
        <f t="shared" si="0"/>
        <v/>
      </c>
    </row>
    <row r="10" spans="1:12" x14ac:dyDescent="0.2">
      <c r="A10" s="348" t="s">
        <v>3</v>
      </c>
      <c r="B10" s="19" t="s">
        <v>4</v>
      </c>
      <c r="C10" s="325" t="s">
        <v>813</v>
      </c>
      <c r="D10" s="403">
        <v>0</v>
      </c>
      <c r="E10" s="419"/>
      <c r="F10" s="412" t="s">
        <v>78</v>
      </c>
      <c r="G10" s="74"/>
      <c r="H10" s="74"/>
      <c r="I10" s="74"/>
      <c r="J10" s="74"/>
      <c r="K10" s="85"/>
      <c r="L10" s="60" t="str">
        <f t="shared" si="0"/>
        <v/>
      </c>
    </row>
    <row r="11" spans="1:12" x14ac:dyDescent="0.2">
      <c r="A11" s="351" t="s">
        <v>3</v>
      </c>
      <c r="B11" s="35" t="s">
        <v>6</v>
      </c>
      <c r="C11" s="418" t="s">
        <v>65</v>
      </c>
      <c r="D11" s="401" t="s">
        <v>814</v>
      </c>
      <c r="E11" s="419"/>
      <c r="F11" s="414" t="s">
        <v>78</v>
      </c>
      <c r="G11" s="75"/>
      <c r="H11" s="75"/>
      <c r="I11" s="75"/>
      <c r="J11" s="75"/>
      <c r="K11" s="29"/>
      <c r="L11" s="60" t="str">
        <f t="shared" si="0"/>
        <v/>
      </c>
    </row>
    <row r="12" spans="1:12" x14ac:dyDescent="0.2">
      <c r="A12" s="348" t="s">
        <v>4</v>
      </c>
      <c r="B12" s="405" t="s">
        <v>5</v>
      </c>
      <c r="C12" s="418" t="s">
        <v>65</v>
      </c>
      <c r="D12" s="401" t="s">
        <v>814</v>
      </c>
      <c r="E12" s="419"/>
      <c r="F12" s="412" t="s">
        <v>78</v>
      </c>
      <c r="G12" s="74"/>
      <c r="H12" s="74"/>
      <c r="I12" s="74"/>
      <c r="J12" s="74"/>
      <c r="K12" s="85"/>
      <c r="L12" s="60" t="str">
        <f t="shared" si="0"/>
        <v/>
      </c>
    </row>
    <row r="13" spans="1:12" x14ac:dyDescent="0.2">
      <c r="A13" s="351" t="s">
        <v>4</v>
      </c>
      <c r="B13" s="22" t="s">
        <v>294</v>
      </c>
      <c r="C13" s="418" t="s">
        <v>65</v>
      </c>
      <c r="D13" s="402">
        <v>0.03</v>
      </c>
      <c r="E13" s="419" t="s">
        <v>81</v>
      </c>
      <c r="F13" s="414" t="s">
        <v>78</v>
      </c>
      <c r="G13" s="70">
        <v>2</v>
      </c>
      <c r="H13" s="70">
        <v>2</v>
      </c>
      <c r="I13" s="70">
        <v>3</v>
      </c>
      <c r="J13" s="70">
        <v>3</v>
      </c>
      <c r="K13" s="84">
        <v>2</v>
      </c>
      <c r="L13" s="60">
        <f t="shared" si="0"/>
        <v>0.60108474454521421</v>
      </c>
    </row>
    <row r="14" spans="1:12" x14ac:dyDescent="0.2">
      <c r="A14" s="352" t="s">
        <v>6</v>
      </c>
      <c r="B14" s="24" t="s">
        <v>7</v>
      </c>
      <c r="C14" s="318" t="s">
        <v>809</v>
      </c>
      <c r="D14" s="420">
        <v>6.2329999999999998E-3</v>
      </c>
      <c r="E14" s="419" t="s">
        <v>70</v>
      </c>
      <c r="F14" s="413" t="s">
        <v>78</v>
      </c>
      <c r="G14" s="68">
        <v>2</v>
      </c>
      <c r="H14" s="68">
        <v>1</v>
      </c>
      <c r="I14" s="68">
        <v>1</v>
      </c>
      <c r="J14" s="68">
        <v>1</v>
      </c>
      <c r="K14" s="83">
        <v>2</v>
      </c>
      <c r="L14" s="60">
        <f t="shared" si="0"/>
        <v>0.35859414261160716</v>
      </c>
    </row>
    <row r="15" spans="1:12" x14ac:dyDescent="0.2">
      <c r="A15" s="353" t="s">
        <v>6</v>
      </c>
      <c r="B15" s="41" t="s">
        <v>7</v>
      </c>
      <c r="C15" s="322" t="s">
        <v>810</v>
      </c>
      <c r="D15" s="420">
        <v>1.6041E-2</v>
      </c>
      <c r="E15" s="419" t="s">
        <v>70</v>
      </c>
      <c r="F15" s="412" t="s">
        <v>78</v>
      </c>
      <c r="G15" s="68">
        <v>2</v>
      </c>
      <c r="H15" s="68">
        <v>1</v>
      </c>
      <c r="I15" s="68">
        <v>1</v>
      </c>
      <c r="J15" s="68">
        <v>1</v>
      </c>
      <c r="K15" s="83">
        <v>2</v>
      </c>
      <c r="L15" s="60">
        <f t="shared" si="0"/>
        <v>0.35859414261160716</v>
      </c>
    </row>
    <row r="16" spans="1:12" x14ac:dyDescent="0.2">
      <c r="A16" s="353" t="s">
        <v>6</v>
      </c>
      <c r="B16" s="41" t="s">
        <v>7</v>
      </c>
      <c r="C16" s="323" t="s">
        <v>811</v>
      </c>
      <c r="D16" s="420">
        <v>4.2174000000000003E-2</v>
      </c>
      <c r="E16" s="419" t="s">
        <v>70</v>
      </c>
      <c r="F16" s="412" t="s">
        <v>78</v>
      </c>
      <c r="G16" s="68">
        <v>2</v>
      </c>
      <c r="H16" s="68">
        <v>1</v>
      </c>
      <c r="I16" s="68">
        <v>1</v>
      </c>
      <c r="J16" s="68">
        <v>1</v>
      </c>
      <c r="K16" s="83">
        <v>2</v>
      </c>
      <c r="L16" s="60">
        <f t="shared" si="0"/>
        <v>0.35859414261160716</v>
      </c>
    </row>
    <row r="17" spans="1:12" x14ac:dyDescent="0.2">
      <c r="A17" s="353" t="s">
        <v>6</v>
      </c>
      <c r="B17" s="41" t="s">
        <v>7</v>
      </c>
      <c r="C17" s="324" t="s">
        <v>812</v>
      </c>
      <c r="D17" s="420">
        <v>1.882E-3</v>
      </c>
      <c r="E17" s="419" t="s">
        <v>70</v>
      </c>
      <c r="F17" s="412" t="s">
        <v>78</v>
      </c>
      <c r="G17" s="68">
        <v>2</v>
      </c>
      <c r="H17" s="68">
        <v>1</v>
      </c>
      <c r="I17" s="68">
        <v>1</v>
      </c>
      <c r="J17" s="68">
        <v>1</v>
      </c>
      <c r="K17" s="83">
        <v>2</v>
      </c>
      <c r="L17" s="60">
        <f t="shared" si="0"/>
        <v>0.35859414261160716</v>
      </c>
    </row>
    <row r="18" spans="1:12" x14ac:dyDescent="0.2">
      <c r="A18" s="353" t="s">
        <v>6</v>
      </c>
      <c r="B18" s="41" t="s">
        <v>7</v>
      </c>
      <c r="C18" s="325" t="s">
        <v>813</v>
      </c>
      <c r="D18" s="421">
        <v>0</v>
      </c>
      <c r="E18" s="419"/>
      <c r="F18" s="412"/>
      <c r="G18" s="68"/>
      <c r="H18" s="68"/>
      <c r="I18" s="68"/>
      <c r="J18" s="68"/>
      <c r="K18" s="83"/>
      <c r="L18" s="60" t="str">
        <f t="shared" si="0"/>
        <v/>
      </c>
    </row>
    <row r="19" spans="1:12" x14ac:dyDescent="0.2">
      <c r="A19" s="353" t="s">
        <v>6</v>
      </c>
      <c r="B19" s="41" t="s">
        <v>8</v>
      </c>
      <c r="C19" s="318" t="s">
        <v>809</v>
      </c>
      <c r="D19" s="420">
        <v>0.44777</v>
      </c>
      <c r="E19" s="419" t="s">
        <v>70</v>
      </c>
      <c r="F19" s="412" t="s">
        <v>78</v>
      </c>
      <c r="G19" s="68">
        <v>2</v>
      </c>
      <c r="H19" s="68">
        <v>1</v>
      </c>
      <c r="I19" s="68">
        <v>1</v>
      </c>
      <c r="J19" s="68">
        <v>1</v>
      </c>
      <c r="K19" s="83">
        <v>2</v>
      </c>
      <c r="L19" s="60">
        <f t="shared" si="0"/>
        <v>0.35859414261160716</v>
      </c>
    </row>
    <row r="20" spans="1:12" x14ac:dyDescent="0.2">
      <c r="A20" s="353" t="s">
        <v>6</v>
      </c>
      <c r="B20" s="41" t="s">
        <v>8</v>
      </c>
      <c r="C20" s="322" t="s">
        <v>810</v>
      </c>
      <c r="D20" s="420">
        <v>1.6496E-2</v>
      </c>
      <c r="E20" s="419" t="s">
        <v>70</v>
      </c>
      <c r="F20" s="412" t="s">
        <v>78</v>
      </c>
      <c r="G20" s="68">
        <v>2</v>
      </c>
      <c r="H20" s="68">
        <v>1</v>
      </c>
      <c r="I20" s="68">
        <v>1</v>
      </c>
      <c r="J20" s="68">
        <v>1</v>
      </c>
      <c r="K20" s="83">
        <v>2</v>
      </c>
      <c r="L20" s="60">
        <f t="shared" si="0"/>
        <v>0.35859414261160716</v>
      </c>
    </row>
    <row r="21" spans="1:12" x14ac:dyDescent="0.2">
      <c r="A21" s="353" t="s">
        <v>6</v>
      </c>
      <c r="B21" s="41" t="s">
        <v>8</v>
      </c>
      <c r="C21" s="323" t="s">
        <v>811</v>
      </c>
      <c r="D21" s="420">
        <v>0.11976100000000001</v>
      </c>
      <c r="E21" s="419" t="s">
        <v>70</v>
      </c>
      <c r="F21" s="412" t="s">
        <v>78</v>
      </c>
      <c r="G21" s="68">
        <v>2</v>
      </c>
      <c r="H21" s="68">
        <v>1</v>
      </c>
      <c r="I21" s="68">
        <v>1</v>
      </c>
      <c r="J21" s="68">
        <v>1</v>
      </c>
      <c r="K21" s="83">
        <v>2</v>
      </c>
      <c r="L21" s="60">
        <f t="shared" si="0"/>
        <v>0.35859414261160716</v>
      </c>
    </row>
    <row r="22" spans="1:12" x14ac:dyDescent="0.2">
      <c r="A22" s="353" t="s">
        <v>6</v>
      </c>
      <c r="B22" s="41" t="s">
        <v>8</v>
      </c>
      <c r="C22" s="324" t="s">
        <v>812</v>
      </c>
      <c r="D22" s="420">
        <v>0.18732799999999999</v>
      </c>
      <c r="E22" s="419" t="s">
        <v>70</v>
      </c>
      <c r="F22" s="412" t="s">
        <v>78</v>
      </c>
      <c r="G22" s="68">
        <v>2</v>
      </c>
      <c r="H22" s="68">
        <v>1</v>
      </c>
      <c r="I22" s="68">
        <v>1</v>
      </c>
      <c r="J22" s="68">
        <v>1</v>
      </c>
      <c r="K22" s="83">
        <v>2</v>
      </c>
      <c r="L22" s="60">
        <f t="shared" si="0"/>
        <v>0.35859414261160716</v>
      </c>
    </row>
    <row r="23" spans="1:12" x14ac:dyDescent="0.2">
      <c r="A23" s="353" t="s">
        <v>6</v>
      </c>
      <c r="B23" s="41" t="s">
        <v>8</v>
      </c>
      <c r="C23" s="325" t="s">
        <v>813</v>
      </c>
      <c r="D23" s="420">
        <v>0.66840599999999994</v>
      </c>
      <c r="E23" s="419" t="s">
        <v>70</v>
      </c>
      <c r="F23" s="412" t="s">
        <v>78</v>
      </c>
      <c r="G23" s="68">
        <v>2</v>
      </c>
      <c r="H23" s="68">
        <v>1</v>
      </c>
      <c r="I23" s="68">
        <v>1</v>
      </c>
      <c r="J23" s="68">
        <v>1</v>
      </c>
      <c r="K23" s="83">
        <v>2</v>
      </c>
      <c r="L23" s="60">
        <f t="shared" si="0"/>
        <v>0.35859414261160716</v>
      </c>
    </row>
    <row r="24" spans="1:12" x14ac:dyDescent="0.2">
      <c r="A24" s="353" t="s">
        <v>6</v>
      </c>
      <c r="B24" s="41" t="s">
        <v>9</v>
      </c>
      <c r="C24" s="318" t="s">
        <v>809</v>
      </c>
      <c r="D24" s="420">
        <v>0.399677</v>
      </c>
      <c r="E24" s="419" t="s">
        <v>70</v>
      </c>
      <c r="F24" s="412" t="s">
        <v>78</v>
      </c>
      <c r="G24" s="68">
        <v>2</v>
      </c>
      <c r="H24" s="68">
        <v>1</v>
      </c>
      <c r="I24" s="68">
        <v>1</v>
      </c>
      <c r="J24" s="68">
        <v>1</v>
      </c>
      <c r="K24" s="83">
        <v>2</v>
      </c>
      <c r="L24" s="60">
        <f t="shared" si="0"/>
        <v>0.35859414261160716</v>
      </c>
    </row>
    <row r="25" spans="1:12" x14ac:dyDescent="0.2">
      <c r="A25" s="353" t="s">
        <v>6</v>
      </c>
      <c r="B25" s="41" t="s">
        <v>9</v>
      </c>
      <c r="C25" s="322" t="s">
        <v>810</v>
      </c>
      <c r="D25" s="420">
        <v>0.50712100000000004</v>
      </c>
      <c r="E25" s="419" t="s">
        <v>70</v>
      </c>
      <c r="F25" s="412" t="s">
        <v>78</v>
      </c>
      <c r="G25" s="68">
        <v>2</v>
      </c>
      <c r="H25" s="68">
        <v>1</v>
      </c>
      <c r="I25" s="68">
        <v>1</v>
      </c>
      <c r="J25" s="68">
        <v>1</v>
      </c>
      <c r="K25" s="83">
        <v>2</v>
      </c>
      <c r="L25" s="60">
        <f t="shared" si="0"/>
        <v>0.35859414261160716</v>
      </c>
    </row>
    <row r="26" spans="1:12" x14ac:dyDescent="0.2">
      <c r="A26" s="353" t="s">
        <v>6</v>
      </c>
      <c r="B26" s="41" t="s">
        <v>9</v>
      </c>
      <c r="C26" s="323" t="s">
        <v>811</v>
      </c>
      <c r="D26" s="420">
        <v>0.57328599999999996</v>
      </c>
      <c r="E26" s="419" t="s">
        <v>70</v>
      </c>
      <c r="F26" s="412" t="s">
        <v>78</v>
      </c>
      <c r="G26" s="68">
        <v>2</v>
      </c>
      <c r="H26" s="68">
        <v>1</v>
      </c>
      <c r="I26" s="68">
        <v>1</v>
      </c>
      <c r="J26" s="68">
        <v>1</v>
      </c>
      <c r="K26" s="83">
        <v>2</v>
      </c>
      <c r="L26" s="60">
        <f t="shared" si="0"/>
        <v>0.35859414261160716</v>
      </c>
    </row>
    <row r="27" spans="1:12" x14ac:dyDescent="0.2">
      <c r="A27" s="353" t="s">
        <v>6</v>
      </c>
      <c r="B27" s="41" t="s">
        <v>9</v>
      </c>
      <c r="C27" s="324" t="s">
        <v>812</v>
      </c>
      <c r="D27" s="420">
        <v>0.49498599999999998</v>
      </c>
      <c r="E27" s="419" t="s">
        <v>70</v>
      </c>
      <c r="F27" s="412" t="s">
        <v>78</v>
      </c>
      <c r="G27" s="68">
        <v>2</v>
      </c>
      <c r="H27" s="68">
        <v>1</v>
      </c>
      <c r="I27" s="68">
        <v>1</v>
      </c>
      <c r="J27" s="68">
        <v>1</v>
      </c>
      <c r="K27" s="83">
        <v>2</v>
      </c>
      <c r="L27" s="60">
        <f t="shared" si="0"/>
        <v>0.35859414261160716</v>
      </c>
    </row>
    <row r="28" spans="1:12" x14ac:dyDescent="0.2">
      <c r="A28" s="353" t="s">
        <v>6</v>
      </c>
      <c r="B28" s="41" t="s">
        <v>9</v>
      </c>
      <c r="C28" s="325" t="s">
        <v>813</v>
      </c>
      <c r="D28" s="420">
        <v>0.30660799999999999</v>
      </c>
      <c r="E28" s="419" t="s">
        <v>70</v>
      </c>
      <c r="F28" s="412" t="s">
        <v>78</v>
      </c>
      <c r="G28" s="68">
        <v>2</v>
      </c>
      <c r="H28" s="68">
        <v>1</v>
      </c>
      <c r="I28" s="68">
        <v>1</v>
      </c>
      <c r="J28" s="68">
        <v>1</v>
      </c>
      <c r="K28" s="83">
        <v>2</v>
      </c>
      <c r="L28" s="60">
        <f t="shared" si="0"/>
        <v>0.35859414261160716</v>
      </c>
    </row>
    <row r="29" spans="1:12" x14ac:dyDescent="0.2">
      <c r="A29" s="353" t="s">
        <v>6</v>
      </c>
      <c r="B29" s="41" t="s">
        <v>10</v>
      </c>
      <c r="C29" s="318" t="s">
        <v>809</v>
      </c>
      <c r="D29" s="420">
        <v>8.1662999999999999E-2</v>
      </c>
      <c r="E29" s="419" t="s">
        <v>70</v>
      </c>
      <c r="F29" s="412" t="s">
        <v>78</v>
      </c>
      <c r="G29" s="68">
        <v>2</v>
      </c>
      <c r="H29" s="68">
        <v>1</v>
      </c>
      <c r="I29" s="68">
        <v>1</v>
      </c>
      <c r="J29" s="68">
        <v>1</v>
      </c>
      <c r="K29" s="83">
        <v>2</v>
      </c>
      <c r="L29" s="60">
        <f t="shared" si="0"/>
        <v>0.35859414261160716</v>
      </c>
    </row>
    <row r="30" spans="1:12" x14ac:dyDescent="0.2">
      <c r="A30" s="353" t="s">
        <v>6</v>
      </c>
      <c r="B30" s="41" t="s">
        <v>10</v>
      </c>
      <c r="C30" s="322" t="s">
        <v>810</v>
      </c>
      <c r="D30" s="420">
        <v>0.32367600000000002</v>
      </c>
      <c r="E30" s="419" t="s">
        <v>70</v>
      </c>
      <c r="F30" s="412" t="s">
        <v>78</v>
      </c>
      <c r="G30" s="68">
        <v>2</v>
      </c>
      <c r="H30" s="68">
        <v>1</v>
      </c>
      <c r="I30" s="68">
        <v>1</v>
      </c>
      <c r="J30" s="68">
        <v>1</v>
      </c>
      <c r="K30" s="83">
        <v>2</v>
      </c>
      <c r="L30" s="60">
        <f t="shared" si="0"/>
        <v>0.35859414261160716</v>
      </c>
    </row>
    <row r="31" spans="1:12" x14ac:dyDescent="0.2">
      <c r="A31" s="353" t="s">
        <v>6</v>
      </c>
      <c r="B31" s="41" t="s">
        <v>10</v>
      </c>
      <c r="C31" s="323" t="s">
        <v>811</v>
      </c>
      <c r="D31" s="420">
        <v>0.25945000000000001</v>
      </c>
      <c r="E31" s="419" t="s">
        <v>70</v>
      </c>
      <c r="F31" s="412" t="s">
        <v>78</v>
      </c>
      <c r="G31" s="68">
        <v>2</v>
      </c>
      <c r="H31" s="68">
        <v>1</v>
      </c>
      <c r="I31" s="68">
        <v>1</v>
      </c>
      <c r="J31" s="68">
        <v>1</v>
      </c>
      <c r="K31" s="83">
        <v>2</v>
      </c>
      <c r="L31" s="60">
        <f t="shared" si="0"/>
        <v>0.35859414261160716</v>
      </c>
    </row>
    <row r="32" spans="1:12" x14ac:dyDescent="0.2">
      <c r="A32" s="353" t="s">
        <v>6</v>
      </c>
      <c r="B32" s="41" t="s">
        <v>10</v>
      </c>
      <c r="C32" s="324" t="s">
        <v>812</v>
      </c>
      <c r="D32" s="420">
        <v>0.30377900000000002</v>
      </c>
      <c r="E32" s="419" t="s">
        <v>70</v>
      </c>
      <c r="F32" s="412" t="s">
        <v>78</v>
      </c>
      <c r="G32" s="68">
        <v>2</v>
      </c>
      <c r="H32" s="68">
        <v>1</v>
      </c>
      <c r="I32" s="68">
        <v>1</v>
      </c>
      <c r="J32" s="68">
        <v>1</v>
      </c>
      <c r="K32" s="83">
        <v>2</v>
      </c>
      <c r="L32" s="60">
        <f t="shared" si="0"/>
        <v>0.35859414261160716</v>
      </c>
    </row>
    <row r="33" spans="1:12" x14ac:dyDescent="0.2">
      <c r="A33" s="353" t="s">
        <v>6</v>
      </c>
      <c r="B33" s="41" t="s">
        <v>10</v>
      </c>
      <c r="C33" s="325" t="s">
        <v>813</v>
      </c>
      <c r="D33" s="420">
        <v>1.9685000000000001E-2</v>
      </c>
      <c r="E33" s="419" t="s">
        <v>70</v>
      </c>
      <c r="F33" s="412" t="s">
        <v>78</v>
      </c>
      <c r="G33" s="68">
        <v>2</v>
      </c>
      <c r="H33" s="68">
        <v>1</v>
      </c>
      <c r="I33" s="68">
        <v>1</v>
      </c>
      <c r="J33" s="68">
        <v>1</v>
      </c>
      <c r="K33" s="83">
        <v>2</v>
      </c>
      <c r="L33" s="60">
        <f t="shared" si="0"/>
        <v>0.35859414261160716</v>
      </c>
    </row>
    <row r="34" spans="1:12" x14ac:dyDescent="0.2">
      <c r="A34" s="353" t="s">
        <v>6</v>
      </c>
      <c r="B34" s="41" t="s">
        <v>11</v>
      </c>
      <c r="C34" s="318" t="s">
        <v>809</v>
      </c>
      <c r="D34" s="420">
        <v>3.4400000000000001E-4</v>
      </c>
      <c r="E34" s="419" t="s">
        <v>70</v>
      </c>
      <c r="F34" s="412" t="s">
        <v>78</v>
      </c>
      <c r="G34" s="68">
        <v>2</v>
      </c>
      <c r="H34" s="68">
        <v>1</v>
      </c>
      <c r="I34" s="68">
        <v>1</v>
      </c>
      <c r="J34" s="68">
        <v>1</v>
      </c>
      <c r="K34" s="83">
        <v>2</v>
      </c>
      <c r="L34" s="60">
        <f t="shared" si="0"/>
        <v>0.35859414261160716</v>
      </c>
    </row>
    <row r="35" spans="1:12" x14ac:dyDescent="0.2">
      <c r="A35" s="353" t="s">
        <v>6</v>
      </c>
      <c r="B35" s="41" t="s">
        <v>11</v>
      </c>
      <c r="C35" s="322" t="s">
        <v>810</v>
      </c>
      <c r="D35" s="420">
        <v>0</v>
      </c>
      <c r="E35" s="419" t="s">
        <v>70</v>
      </c>
      <c r="F35" s="412" t="s">
        <v>78</v>
      </c>
      <c r="G35" s="68">
        <v>2</v>
      </c>
      <c r="H35" s="68">
        <v>1</v>
      </c>
      <c r="I35" s="68">
        <v>1</v>
      </c>
      <c r="J35" s="68">
        <v>1</v>
      </c>
      <c r="K35" s="83">
        <v>2</v>
      </c>
      <c r="L35" s="60">
        <f t="shared" si="0"/>
        <v>0.35859414261160716</v>
      </c>
    </row>
    <row r="36" spans="1:12" x14ac:dyDescent="0.2">
      <c r="A36" s="353" t="s">
        <v>6</v>
      </c>
      <c r="B36" s="41" t="s">
        <v>11</v>
      </c>
      <c r="C36" s="323" t="s">
        <v>811</v>
      </c>
      <c r="D36" s="420">
        <v>3.0600000000000001E-4</v>
      </c>
      <c r="E36" s="419" t="s">
        <v>70</v>
      </c>
      <c r="F36" s="412" t="s">
        <v>78</v>
      </c>
      <c r="G36" s="68">
        <v>2</v>
      </c>
      <c r="H36" s="68">
        <v>1</v>
      </c>
      <c r="I36" s="68">
        <v>1</v>
      </c>
      <c r="J36" s="68">
        <v>1</v>
      </c>
      <c r="K36" s="83">
        <v>2</v>
      </c>
      <c r="L36" s="60">
        <f t="shared" si="0"/>
        <v>0.35859414261160716</v>
      </c>
    </row>
    <row r="37" spans="1:12" x14ac:dyDescent="0.2">
      <c r="A37" s="353" t="s">
        <v>6</v>
      </c>
      <c r="B37" s="41" t="s">
        <v>11</v>
      </c>
      <c r="C37" s="324" t="s">
        <v>812</v>
      </c>
      <c r="D37" s="420">
        <v>5.1900000000000004E-4</v>
      </c>
      <c r="E37" s="419" t="s">
        <v>70</v>
      </c>
      <c r="F37" s="412" t="s">
        <v>78</v>
      </c>
      <c r="G37" s="68">
        <v>2</v>
      </c>
      <c r="H37" s="68">
        <v>1</v>
      </c>
      <c r="I37" s="68">
        <v>1</v>
      </c>
      <c r="J37" s="68">
        <v>1</v>
      </c>
      <c r="K37" s="83">
        <v>2</v>
      </c>
      <c r="L37" s="60">
        <f t="shared" si="0"/>
        <v>0.35859414261160716</v>
      </c>
    </row>
    <row r="38" spans="1:12" x14ac:dyDescent="0.2">
      <c r="A38" s="353" t="s">
        <v>6</v>
      </c>
      <c r="B38" s="41" t="s">
        <v>11</v>
      </c>
      <c r="C38" s="325" t="s">
        <v>813</v>
      </c>
      <c r="D38" s="420">
        <v>2.5599999999999999E-4</v>
      </c>
      <c r="E38" s="419" t="s">
        <v>70</v>
      </c>
      <c r="F38" s="412" t="s">
        <v>78</v>
      </c>
      <c r="G38" s="68">
        <v>2</v>
      </c>
      <c r="H38" s="68">
        <v>1</v>
      </c>
      <c r="I38" s="68">
        <v>1</v>
      </c>
      <c r="J38" s="68">
        <v>1</v>
      </c>
      <c r="K38" s="83">
        <v>2</v>
      </c>
      <c r="L38" s="60">
        <f t="shared" si="0"/>
        <v>0.35859414261160716</v>
      </c>
    </row>
    <row r="39" spans="1:12" x14ac:dyDescent="0.2">
      <c r="A39" s="353" t="s">
        <v>6</v>
      </c>
      <c r="B39" s="41" t="s">
        <v>12</v>
      </c>
      <c r="C39" s="318" t="s">
        <v>809</v>
      </c>
      <c r="D39" s="420">
        <v>6.4314999999999997E-2</v>
      </c>
      <c r="E39" s="419" t="s">
        <v>70</v>
      </c>
      <c r="F39" s="412" t="s">
        <v>78</v>
      </c>
      <c r="G39" s="68">
        <v>2</v>
      </c>
      <c r="H39" s="68">
        <v>1</v>
      </c>
      <c r="I39" s="68">
        <v>1</v>
      </c>
      <c r="J39" s="68">
        <v>1</v>
      </c>
      <c r="K39" s="83">
        <v>2</v>
      </c>
      <c r="L39" s="60">
        <f t="shared" si="0"/>
        <v>0.35859414261160716</v>
      </c>
    </row>
    <row r="40" spans="1:12" x14ac:dyDescent="0.2">
      <c r="A40" s="353" t="s">
        <v>6</v>
      </c>
      <c r="B40" s="41" t="s">
        <v>12</v>
      </c>
      <c r="C40" s="322" t="s">
        <v>810</v>
      </c>
      <c r="D40" s="420">
        <v>0.13666600000000001</v>
      </c>
      <c r="E40" s="419" t="s">
        <v>70</v>
      </c>
      <c r="F40" s="412" t="s">
        <v>78</v>
      </c>
      <c r="G40" s="68">
        <v>2</v>
      </c>
      <c r="H40" s="68">
        <v>1</v>
      </c>
      <c r="I40" s="68">
        <v>1</v>
      </c>
      <c r="J40" s="68">
        <v>1</v>
      </c>
      <c r="K40" s="83">
        <v>2</v>
      </c>
      <c r="L40" s="60">
        <f t="shared" si="0"/>
        <v>0.35859414261160716</v>
      </c>
    </row>
    <row r="41" spans="1:12" x14ac:dyDescent="0.2">
      <c r="A41" s="353" t="s">
        <v>6</v>
      </c>
      <c r="B41" s="41" t="s">
        <v>12</v>
      </c>
      <c r="C41" s="323" t="s">
        <v>811</v>
      </c>
      <c r="D41" s="420">
        <v>5.0239999999999998E-3</v>
      </c>
      <c r="E41" s="419" t="s">
        <v>70</v>
      </c>
      <c r="F41" s="412" t="s">
        <v>78</v>
      </c>
      <c r="G41" s="68">
        <v>2</v>
      </c>
      <c r="H41" s="68">
        <v>1</v>
      </c>
      <c r="I41" s="68">
        <v>1</v>
      </c>
      <c r="J41" s="68">
        <v>1</v>
      </c>
      <c r="K41" s="83">
        <v>2</v>
      </c>
      <c r="L41" s="60">
        <f t="shared" si="0"/>
        <v>0.35859414261160716</v>
      </c>
    </row>
    <row r="42" spans="1:12" x14ac:dyDescent="0.2">
      <c r="A42" s="353" t="s">
        <v>6</v>
      </c>
      <c r="B42" s="41" t="s">
        <v>12</v>
      </c>
      <c r="C42" s="324" t="s">
        <v>812</v>
      </c>
      <c r="D42" s="420">
        <v>1.1506000000000001E-2</v>
      </c>
      <c r="E42" s="419" t="s">
        <v>70</v>
      </c>
      <c r="F42" s="412" t="s">
        <v>78</v>
      </c>
      <c r="G42" s="68">
        <v>2</v>
      </c>
      <c r="H42" s="68">
        <v>1</v>
      </c>
      <c r="I42" s="68">
        <v>1</v>
      </c>
      <c r="J42" s="68">
        <v>1</v>
      </c>
      <c r="K42" s="83">
        <v>2</v>
      </c>
      <c r="L42" s="60">
        <f t="shared" si="0"/>
        <v>0.35859414261160716</v>
      </c>
    </row>
    <row r="43" spans="1:12" x14ac:dyDescent="0.2">
      <c r="A43" s="353" t="s">
        <v>6</v>
      </c>
      <c r="B43" s="41" t="s">
        <v>12</v>
      </c>
      <c r="C43" s="325" t="s">
        <v>813</v>
      </c>
      <c r="D43" s="420">
        <v>5.045E-3</v>
      </c>
      <c r="E43" s="419" t="s">
        <v>70</v>
      </c>
      <c r="F43" s="412" t="s">
        <v>78</v>
      </c>
      <c r="G43" s="68">
        <v>2</v>
      </c>
      <c r="H43" s="68">
        <v>1</v>
      </c>
      <c r="I43" s="68">
        <v>1</v>
      </c>
      <c r="J43" s="68">
        <v>1</v>
      </c>
      <c r="K43" s="83">
        <v>2</v>
      </c>
      <c r="L43" s="60">
        <f t="shared" si="0"/>
        <v>0.35859414261160716</v>
      </c>
    </row>
    <row r="44" spans="1:12" x14ac:dyDescent="0.2">
      <c r="A44" s="352" t="s">
        <v>6</v>
      </c>
      <c r="B44" s="48" t="s">
        <v>295</v>
      </c>
      <c r="C44" s="418" t="s">
        <v>65</v>
      </c>
      <c r="D44" s="402">
        <v>6.6299999999999998E-2</v>
      </c>
      <c r="E44" s="419" t="s">
        <v>102</v>
      </c>
      <c r="F44" s="412" t="s">
        <v>78</v>
      </c>
      <c r="G44" s="68">
        <v>2</v>
      </c>
      <c r="H44" s="68">
        <v>2</v>
      </c>
      <c r="I44" s="68">
        <v>3</v>
      </c>
      <c r="J44" s="68">
        <v>1</v>
      </c>
      <c r="K44" s="83">
        <v>2</v>
      </c>
      <c r="L44" s="60">
        <f t="shared" si="0"/>
        <v>0.50042652380814845</v>
      </c>
    </row>
    <row r="45" spans="1:12" x14ac:dyDescent="0.2">
      <c r="A45" s="352" t="s">
        <v>5</v>
      </c>
      <c r="B45" s="24" t="s">
        <v>86</v>
      </c>
      <c r="C45" s="318" t="s">
        <v>809</v>
      </c>
      <c r="D45" s="422">
        <v>0.50933930700524033</v>
      </c>
      <c r="E45" s="419" t="s">
        <v>263</v>
      </c>
      <c r="F45" s="413" t="s">
        <v>78</v>
      </c>
      <c r="G45" s="65">
        <v>2</v>
      </c>
      <c r="H45" s="65">
        <v>2</v>
      </c>
      <c r="I45" s="65">
        <v>1</v>
      </c>
      <c r="J45" s="65">
        <v>1</v>
      </c>
      <c r="K45" s="66">
        <v>2</v>
      </c>
      <c r="L45" s="60">
        <f t="shared" si="0"/>
        <v>0.37356464144298934</v>
      </c>
    </row>
    <row r="46" spans="1:12" x14ac:dyDescent="0.2">
      <c r="A46" s="353" t="s">
        <v>5</v>
      </c>
      <c r="B46" s="41" t="s">
        <v>86</v>
      </c>
      <c r="C46" s="322" t="s">
        <v>810</v>
      </c>
      <c r="D46" s="403">
        <v>0</v>
      </c>
      <c r="E46" s="423"/>
      <c r="F46" s="412" t="s">
        <v>78</v>
      </c>
      <c r="G46" s="74"/>
      <c r="H46" s="74"/>
      <c r="I46" s="74"/>
      <c r="J46" s="74"/>
      <c r="K46" s="85"/>
      <c r="L46" s="60" t="str">
        <f t="shared" si="0"/>
        <v/>
      </c>
    </row>
    <row r="47" spans="1:12" x14ac:dyDescent="0.2">
      <c r="A47" s="353" t="s">
        <v>5</v>
      </c>
      <c r="B47" s="41" t="s">
        <v>86</v>
      </c>
      <c r="C47" s="323" t="s">
        <v>811</v>
      </c>
      <c r="D47" s="402">
        <v>0.19540301575935243</v>
      </c>
      <c r="E47" s="419" t="s">
        <v>817</v>
      </c>
      <c r="F47" s="412" t="s">
        <v>78</v>
      </c>
      <c r="G47" s="65">
        <v>2</v>
      </c>
      <c r="H47" s="65">
        <v>2</v>
      </c>
      <c r="I47" s="65">
        <v>1</v>
      </c>
      <c r="J47" s="65">
        <v>1</v>
      </c>
      <c r="K47" s="66">
        <v>2</v>
      </c>
      <c r="L47" s="60">
        <f t="shared" si="0"/>
        <v>0.37356464144298934</v>
      </c>
    </row>
    <row r="48" spans="1:12" x14ac:dyDescent="0.2">
      <c r="A48" s="353" t="s">
        <v>5</v>
      </c>
      <c r="B48" s="41" t="s">
        <v>86</v>
      </c>
      <c r="C48" s="324" t="s">
        <v>812</v>
      </c>
      <c r="D48" s="403">
        <v>0</v>
      </c>
      <c r="E48" s="419"/>
      <c r="F48" s="412" t="s">
        <v>78</v>
      </c>
      <c r="G48" s="74"/>
      <c r="H48" s="74"/>
      <c r="I48" s="74"/>
      <c r="J48" s="74"/>
      <c r="K48" s="85"/>
      <c r="L48" s="60" t="str">
        <f t="shared" si="0"/>
        <v/>
      </c>
    </row>
    <row r="49" spans="1:12" x14ac:dyDescent="0.2">
      <c r="A49" s="353" t="s">
        <v>5</v>
      </c>
      <c r="B49" s="41" t="s">
        <v>86</v>
      </c>
      <c r="C49" s="325" t="s">
        <v>813</v>
      </c>
      <c r="D49" s="403">
        <v>0</v>
      </c>
      <c r="E49" s="419"/>
      <c r="F49" s="412" t="s">
        <v>78</v>
      </c>
      <c r="G49" s="74"/>
      <c r="H49" s="74"/>
      <c r="I49" s="74"/>
      <c r="J49" s="74"/>
      <c r="K49" s="85"/>
      <c r="L49" s="60" t="str">
        <f t="shared" si="0"/>
        <v/>
      </c>
    </row>
    <row r="50" spans="1:12" x14ac:dyDescent="0.2">
      <c r="A50" s="353" t="s">
        <v>5</v>
      </c>
      <c r="B50" s="41" t="s">
        <v>39</v>
      </c>
      <c r="C50" s="318" t="s">
        <v>809</v>
      </c>
      <c r="D50" s="402">
        <v>0.15807081941541373</v>
      </c>
      <c r="E50" s="419" t="s">
        <v>817</v>
      </c>
      <c r="F50" s="412" t="s">
        <v>78</v>
      </c>
      <c r="G50" s="65">
        <v>2</v>
      </c>
      <c r="H50" s="65">
        <v>2</v>
      </c>
      <c r="I50" s="65">
        <v>3</v>
      </c>
      <c r="J50" s="65">
        <v>1</v>
      </c>
      <c r="K50" s="66">
        <v>2</v>
      </c>
      <c r="L50" s="60">
        <f t="shared" si="0"/>
        <v>0.50042652380814845</v>
      </c>
    </row>
    <row r="51" spans="1:12" x14ac:dyDescent="0.2">
      <c r="A51" s="353" t="s">
        <v>5</v>
      </c>
      <c r="B51" s="41" t="s">
        <v>39</v>
      </c>
      <c r="C51" s="322" t="s">
        <v>810</v>
      </c>
      <c r="D51" s="403">
        <v>0</v>
      </c>
      <c r="E51" s="423"/>
      <c r="F51" s="412" t="s">
        <v>78</v>
      </c>
      <c r="G51" s="74"/>
      <c r="H51" s="74"/>
      <c r="I51" s="74"/>
      <c r="J51" s="74"/>
      <c r="K51" s="85"/>
      <c r="L51" s="60" t="str">
        <f t="shared" si="0"/>
        <v/>
      </c>
    </row>
    <row r="52" spans="1:12" x14ac:dyDescent="0.2">
      <c r="A52" s="353" t="s">
        <v>5</v>
      </c>
      <c r="B52" s="41" t="s">
        <v>39</v>
      </c>
      <c r="C52" s="323" t="s">
        <v>811</v>
      </c>
      <c r="D52" s="402">
        <v>0.48554688764445531</v>
      </c>
      <c r="E52" s="419" t="s">
        <v>263</v>
      </c>
      <c r="F52" s="412" t="s">
        <v>78</v>
      </c>
      <c r="G52" s="65">
        <v>2</v>
      </c>
      <c r="H52" s="65">
        <v>2</v>
      </c>
      <c r="I52" s="65">
        <v>1</v>
      </c>
      <c r="J52" s="65">
        <v>1</v>
      </c>
      <c r="K52" s="66">
        <v>2</v>
      </c>
      <c r="L52" s="60">
        <f t="shared" si="0"/>
        <v>0.37356464144298934</v>
      </c>
    </row>
    <row r="53" spans="1:12" x14ac:dyDescent="0.2">
      <c r="A53" s="353" t="s">
        <v>5</v>
      </c>
      <c r="B53" s="41" t="s">
        <v>39</v>
      </c>
      <c r="C53" s="324" t="s">
        <v>812</v>
      </c>
      <c r="D53" s="403">
        <v>0</v>
      </c>
      <c r="E53" s="419"/>
      <c r="F53" s="412" t="s">
        <v>78</v>
      </c>
      <c r="G53" s="74"/>
      <c r="H53" s="74"/>
      <c r="I53" s="74"/>
      <c r="J53" s="74"/>
      <c r="K53" s="85"/>
      <c r="L53" s="60" t="str">
        <f t="shared" si="0"/>
        <v/>
      </c>
    </row>
    <row r="54" spans="1:12" x14ac:dyDescent="0.2">
      <c r="A54" s="353" t="s">
        <v>5</v>
      </c>
      <c r="B54" s="41" t="s">
        <v>39</v>
      </c>
      <c r="C54" s="325" t="s">
        <v>813</v>
      </c>
      <c r="D54" s="403">
        <v>0</v>
      </c>
      <c r="E54" s="419"/>
      <c r="F54" s="412" t="s">
        <v>78</v>
      </c>
      <c r="G54" s="74"/>
      <c r="H54" s="74"/>
      <c r="I54" s="74"/>
      <c r="J54" s="74"/>
      <c r="K54" s="85"/>
      <c r="L54" s="60" t="str">
        <f t="shared" si="0"/>
        <v/>
      </c>
    </row>
    <row r="55" spans="1:12" x14ac:dyDescent="0.2">
      <c r="A55" s="353" t="s">
        <v>5</v>
      </c>
      <c r="B55" s="41" t="s">
        <v>40</v>
      </c>
      <c r="C55" s="318" t="s">
        <v>809</v>
      </c>
      <c r="D55" s="402">
        <v>0.33258987357934588</v>
      </c>
      <c r="E55" s="419" t="s">
        <v>263</v>
      </c>
      <c r="F55" s="412" t="s">
        <v>78</v>
      </c>
      <c r="G55" s="65">
        <v>2</v>
      </c>
      <c r="H55" s="65">
        <v>2</v>
      </c>
      <c r="I55" s="65">
        <v>3</v>
      </c>
      <c r="J55" s="65">
        <v>1</v>
      </c>
      <c r="K55" s="66">
        <v>2</v>
      </c>
      <c r="L55" s="60">
        <f t="shared" si="0"/>
        <v>0.50042652380814845</v>
      </c>
    </row>
    <row r="56" spans="1:12" x14ac:dyDescent="0.2">
      <c r="A56" s="353" t="s">
        <v>5</v>
      </c>
      <c r="B56" s="41" t="s">
        <v>40</v>
      </c>
      <c r="C56" s="322" t="s">
        <v>810</v>
      </c>
      <c r="D56" s="403">
        <v>0</v>
      </c>
      <c r="E56" s="423"/>
      <c r="F56" s="412" t="s">
        <v>78</v>
      </c>
      <c r="G56" s="74"/>
      <c r="H56" s="74"/>
      <c r="I56" s="74"/>
      <c r="J56" s="74"/>
      <c r="K56" s="85"/>
      <c r="L56" s="60" t="str">
        <f t="shared" si="0"/>
        <v/>
      </c>
    </row>
    <row r="57" spans="1:12" x14ac:dyDescent="0.2">
      <c r="A57" s="353" t="s">
        <v>5</v>
      </c>
      <c r="B57" s="41" t="s">
        <v>40</v>
      </c>
      <c r="C57" s="323" t="s">
        <v>811</v>
      </c>
      <c r="D57" s="402">
        <v>0.31905009659619232</v>
      </c>
      <c r="E57" s="419" t="s">
        <v>263</v>
      </c>
      <c r="F57" s="412" t="s">
        <v>78</v>
      </c>
      <c r="G57" s="65">
        <v>2</v>
      </c>
      <c r="H57" s="65">
        <v>2</v>
      </c>
      <c r="I57" s="65">
        <v>1</v>
      </c>
      <c r="J57" s="65">
        <v>1</v>
      </c>
      <c r="K57" s="66">
        <v>2</v>
      </c>
      <c r="L57" s="60">
        <f t="shared" si="0"/>
        <v>0.37356464144298934</v>
      </c>
    </row>
    <row r="58" spans="1:12" x14ac:dyDescent="0.2">
      <c r="A58" s="353" t="s">
        <v>5</v>
      </c>
      <c r="B58" s="41" t="s">
        <v>40</v>
      </c>
      <c r="C58" s="324" t="s">
        <v>812</v>
      </c>
      <c r="D58" s="403">
        <v>0</v>
      </c>
      <c r="E58" s="419"/>
      <c r="F58" s="412" t="s">
        <v>78</v>
      </c>
      <c r="G58" s="74"/>
      <c r="H58" s="74"/>
      <c r="I58" s="74"/>
      <c r="J58" s="74"/>
      <c r="K58" s="85"/>
      <c r="L58" s="60" t="str">
        <f t="shared" si="0"/>
        <v/>
      </c>
    </row>
    <row r="59" spans="1:12" x14ac:dyDescent="0.2">
      <c r="A59" s="353" t="s">
        <v>5</v>
      </c>
      <c r="B59" s="41" t="s">
        <v>40</v>
      </c>
      <c r="C59" s="325" t="s">
        <v>813</v>
      </c>
      <c r="D59" s="403">
        <v>0</v>
      </c>
      <c r="E59" s="419"/>
      <c r="F59" s="412" t="s">
        <v>78</v>
      </c>
      <c r="G59" s="74"/>
      <c r="H59" s="74"/>
      <c r="I59" s="74"/>
      <c r="J59" s="74"/>
      <c r="K59" s="85"/>
      <c r="L59" s="60" t="str">
        <f t="shared" si="0"/>
        <v/>
      </c>
    </row>
    <row r="60" spans="1:12" x14ac:dyDescent="0.2">
      <c r="A60" s="354" t="s">
        <v>5</v>
      </c>
      <c r="B60" s="406" t="s">
        <v>294</v>
      </c>
      <c r="C60" s="418" t="s">
        <v>65</v>
      </c>
      <c r="D60" s="402">
        <v>0.1</v>
      </c>
      <c r="E60" s="419" t="s">
        <v>81</v>
      </c>
      <c r="F60" s="415" t="s">
        <v>78</v>
      </c>
      <c r="G60" s="105">
        <v>2</v>
      </c>
      <c r="H60" s="105">
        <v>2</v>
      </c>
      <c r="I60" s="105">
        <v>3</v>
      </c>
      <c r="J60" s="105">
        <v>3</v>
      </c>
      <c r="K60" s="106">
        <v>2</v>
      </c>
      <c r="L60" s="60">
        <f t="shared" si="0"/>
        <v>0.60108474454521421</v>
      </c>
    </row>
    <row r="61" spans="1:12" x14ac:dyDescent="0.2">
      <c r="A61" s="1" t="s">
        <v>7</v>
      </c>
      <c r="B61" s="407" t="s">
        <v>13</v>
      </c>
      <c r="C61" s="318" t="s">
        <v>809</v>
      </c>
      <c r="D61" s="424">
        <v>0</v>
      </c>
      <c r="E61" s="419" t="s">
        <v>97</v>
      </c>
      <c r="F61" s="412" t="s">
        <v>78</v>
      </c>
      <c r="G61" s="74"/>
      <c r="H61" s="74"/>
      <c r="I61" s="74"/>
      <c r="J61" s="74"/>
      <c r="K61" s="85"/>
      <c r="L61" s="60" t="str">
        <f t="shared" si="0"/>
        <v/>
      </c>
    </row>
    <row r="62" spans="1:12" x14ac:dyDescent="0.2">
      <c r="A62" s="1" t="s">
        <v>7</v>
      </c>
      <c r="B62" s="407" t="s">
        <v>13</v>
      </c>
      <c r="C62" s="322" t="s">
        <v>810</v>
      </c>
      <c r="D62" s="424">
        <v>0</v>
      </c>
      <c r="E62" s="419" t="s">
        <v>97</v>
      </c>
      <c r="F62" s="412" t="s">
        <v>78</v>
      </c>
      <c r="G62" s="74"/>
      <c r="H62" s="74"/>
      <c r="I62" s="74"/>
      <c r="J62" s="74"/>
      <c r="K62" s="85"/>
      <c r="L62" s="60" t="str">
        <f t="shared" si="0"/>
        <v/>
      </c>
    </row>
    <row r="63" spans="1:12" x14ac:dyDescent="0.2">
      <c r="A63" s="1" t="s">
        <v>7</v>
      </c>
      <c r="B63" s="407" t="s">
        <v>13</v>
      </c>
      <c r="C63" s="323" t="s">
        <v>811</v>
      </c>
      <c r="D63" s="422">
        <v>0.64300000000000002</v>
      </c>
      <c r="E63" s="419" t="s">
        <v>97</v>
      </c>
      <c r="F63" s="412" t="s">
        <v>78</v>
      </c>
      <c r="G63" s="65">
        <v>2</v>
      </c>
      <c r="H63" s="65">
        <v>2</v>
      </c>
      <c r="I63" s="65">
        <v>1</v>
      </c>
      <c r="J63" s="65">
        <v>1</v>
      </c>
      <c r="K63" s="66">
        <v>2</v>
      </c>
      <c r="L63" s="60">
        <f t="shared" si="0"/>
        <v>0.37356464144298934</v>
      </c>
    </row>
    <row r="64" spans="1:12" x14ac:dyDescent="0.2">
      <c r="A64" s="1" t="s">
        <v>7</v>
      </c>
      <c r="B64" s="407" t="s">
        <v>13</v>
      </c>
      <c r="C64" s="324" t="s">
        <v>812</v>
      </c>
      <c r="D64" s="424">
        <v>0</v>
      </c>
      <c r="E64" s="419" t="s">
        <v>97</v>
      </c>
      <c r="F64" s="412" t="s">
        <v>78</v>
      </c>
      <c r="G64" s="74"/>
      <c r="H64" s="74"/>
      <c r="I64" s="74"/>
      <c r="J64" s="74"/>
      <c r="K64" s="85"/>
      <c r="L64" s="60" t="str">
        <f t="shared" si="0"/>
        <v/>
      </c>
    </row>
    <row r="65" spans="1:12" x14ac:dyDescent="0.2">
      <c r="A65" s="1" t="s">
        <v>7</v>
      </c>
      <c r="B65" s="407" t="s">
        <v>13</v>
      </c>
      <c r="C65" s="325" t="s">
        <v>813</v>
      </c>
      <c r="D65" s="424">
        <v>0</v>
      </c>
      <c r="E65" s="419" t="s">
        <v>97</v>
      </c>
      <c r="F65" s="412" t="s">
        <v>78</v>
      </c>
      <c r="G65" s="74"/>
      <c r="H65" s="74"/>
      <c r="I65" s="74"/>
      <c r="J65" s="74"/>
      <c r="K65" s="85"/>
      <c r="L65" s="60" t="str">
        <f t="shared" si="0"/>
        <v/>
      </c>
    </row>
    <row r="66" spans="1:12" x14ac:dyDescent="0.2">
      <c r="A66" s="1" t="s">
        <v>7</v>
      </c>
      <c r="B66" s="407" t="s">
        <v>14</v>
      </c>
      <c r="C66" s="318" t="s">
        <v>809</v>
      </c>
      <c r="D66" s="424">
        <v>0</v>
      </c>
      <c r="E66" s="419" t="s">
        <v>97</v>
      </c>
      <c r="F66" s="412" t="s">
        <v>78</v>
      </c>
      <c r="G66" s="74"/>
      <c r="H66" s="74"/>
      <c r="I66" s="74"/>
      <c r="J66" s="74"/>
      <c r="K66" s="85"/>
      <c r="L66" s="60" t="str">
        <f t="shared" si="0"/>
        <v/>
      </c>
    </row>
    <row r="67" spans="1:12" x14ac:dyDescent="0.2">
      <c r="A67" s="1" t="s">
        <v>7</v>
      </c>
      <c r="B67" s="407" t="s">
        <v>14</v>
      </c>
      <c r="C67" s="322" t="s">
        <v>810</v>
      </c>
      <c r="D67" s="424">
        <v>0</v>
      </c>
      <c r="E67" s="419" t="s">
        <v>97</v>
      </c>
      <c r="F67" s="412" t="s">
        <v>78</v>
      </c>
      <c r="G67" s="74"/>
      <c r="H67" s="74"/>
      <c r="I67" s="74"/>
      <c r="J67" s="74"/>
      <c r="K67" s="85"/>
      <c r="L67" s="60" t="str">
        <f t="shared" ref="L67:L130" si="1">IF( OR( ISBLANK(G67),ISBLANK(H67), ISBLANK(I67), ISBLANK(J67), ISBLANK(K67) ), "", 1.5*SQRT(   EXP(2.21*(G67-1)) + EXP(2.21*(H67-1)) + EXP(2.21*(I67-1)) + EXP(2.21*(J67-1)) + EXP(2.21*K67)   )/100*2.45 )</f>
        <v/>
      </c>
    </row>
    <row r="68" spans="1:12" x14ac:dyDescent="0.2">
      <c r="A68" s="1" t="s">
        <v>7</v>
      </c>
      <c r="B68" s="407" t="s">
        <v>14</v>
      </c>
      <c r="C68" s="323" t="s">
        <v>811</v>
      </c>
      <c r="D68" s="422">
        <v>0.28299999999999997</v>
      </c>
      <c r="E68" s="419" t="s">
        <v>97</v>
      </c>
      <c r="F68" s="412" t="s">
        <v>78</v>
      </c>
      <c r="G68" s="65">
        <v>2</v>
      </c>
      <c r="H68" s="65">
        <v>2</v>
      </c>
      <c r="I68" s="65">
        <v>1</v>
      </c>
      <c r="J68" s="65">
        <v>1</v>
      </c>
      <c r="K68" s="66">
        <v>2</v>
      </c>
      <c r="L68" s="60">
        <f t="shared" si="1"/>
        <v>0.37356464144298934</v>
      </c>
    </row>
    <row r="69" spans="1:12" x14ac:dyDescent="0.2">
      <c r="A69" s="1" t="s">
        <v>7</v>
      </c>
      <c r="B69" s="407" t="s">
        <v>14</v>
      </c>
      <c r="C69" s="324" t="s">
        <v>812</v>
      </c>
      <c r="D69" s="424">
        <v>0</v>
      </c>
      <c r="E69" s="419" t="s">
        <v>97</v>
      </c>
      <c r="F69" s="412" t="s">
        <v>78</v>
      </c>
      <c r="G69" s="74"/>
      <c r="H69" s="74"/>
      <c r="I69" s="74"/>
      <c r="J69" s="74"/>
      <c r="K69" s="85"/>
      <c r="L69" s="60" t="str">
        <f t="shared" si="1"/>
        <v/>
      </c>
    </row>
    <row r="70" spans="1:12" x14ac:dyDescent="0.2">
      <c r="A70" s="1" t="s">
        <v>7</v>
      </c>
      <c r="B70" s="407" t="s">
        <v>14</v>
      </c>
      <c r="C70" s="325" t="s">
        <v>813</v>
      </c>
      <c r="D70" s="424">
        <v>0</v>
      </c>
      <c r="E70" s="419" t="s">
        <v>97</v>
      </c>
      <c r="F70" s="412" t="s">
        <v>78</v>
      </c>
      <c r="G70" s="74"/>
      <c r="H70" s="74"/>
      <c r="I70" s="74"/>
      <c r="J70" s="74"/>
      <c r="K70" s="85"/>
      <c r="L70" s="60" t="str">
        <f t="shared" si="1"/>
        <v/>
      </c>
    </row>
    <row r="71" spans="1:12" x14ac:dyDescent="0.2">
      <c r="A71" s="1" t="s">
        <v>7</v>
      </c>
      <c r="B71" s="407" t="s">
        <v>15</v>
      </c>
      <c r="C71" s="318" t="s">
        <v>809</v>
      </c>
      <c r="D71" s="424">
        <v>0</v>
      </c>
      <c r="E71" s="419" t="s">
        <v>97</v>
      </c>
      <c r="F71" s="412" t="s">
        <v>78</v>
      </c>
      <c r="G71" s="74"/>
      <c r="H71" s="74"/>
      <c r="I71" s="74"/>
      <c r="J71" s="74"/>
      <c r="K71" s="85"/>
      <c r="L71" s="60" t="str">
        <f t="shared" si="1"/>
        <v/>
      </c>
    </row>
    <row r="72" spans="1:12" x14ac:dyDescent="0.2">
      <c r="A72" s="1" t="s">
        <v>7</v>
      </c>
      <c r="B72" s="407" t="s">
        <v>15</v>
      </c>
      <c r="C72" s="322" t="s">
        <v>810</v>
      </c>
      <c r="D72" s="424">
        <v>0</v>
      </c>
      <c r="E72" s="419" t="s">
        <v>97</v>
      </c>
      <c r="F72" s="412" t="s">
        <v>78</v>
      </c>
      <c r="G72" s="74"/>
      <c r="H72" s="74"/>
      <c r="I72" s="74"/>
      <c r="J72" s="74"/>
      <c r="K72" s="85"/>
      <c r="L72" s="60" t="str">
        <f t="shared" si="1"/>
        <v/>
      </c>
    </row>
    <row r="73" spans="1:12" x14ac:dyDescent="0.2">
      <c r="A73" s="1" t="s">
        <v>7</v>
      </c>
      <c r="B73" s="407" t="s">
        <v>15</v>
      </c>
      <c r="C73" s="323" t="s">
        <v>811</v>
      </c>
      <c r="D73" s="424">
        <v>0</v>
      </c>
      <c r="E73" s="419" t="s">
        <v>97</v>
      </c>
      <c r="F73" s="412" t="s">
        <v>78</v>
      </c>
      <c r="G73" s="74"/>
      <c r="H73" s="74"/>
      <c r="I73" s="74"/>
      <c r="J73" s="74"/>
      <c r="K73" s="85"/>
      <c r="L73" s="60" t="str">
        <f t="shared" si="1"/>
        <v/>
      </c>
    </row>
    <row r="74" spans="1:12" x14ac:dyDescent="0.2">
      <c r="A74" s="1" t="s">
        <v>7</v>
      </c>
      <c r="B74" s="407" t="s">
        <v>15</v>
      </c>
      <c r="C74" s="324" t="s">
        <v>812</v>
      </c>
      <c r="D74" s="424">
        <v>0</v>
      </c>
      <c r="E74" s="419" t="s">
        <v>97</v>
      </c>
      <c r="F74" s="412" t="s">
        <v>78</v>
      </c>
      <c r="G74" s="74"/>
      <c r="H74" s="74"/>
      <c r="I74" s="74"/>
      <c r="J74" s="74"/>
      <c r="K74" s="85"/>
      <c r="L74" s="60" t="str">
        <f t="shared" si="1"/>
        <v/>
      </c>
    </row>
    <row r="75" spans="1:12" x14ac:dyDescent="0.2">
      <c r="A75" s="1" t="s">
        <v>7</v>
      </c>
      <c r="B75" s="407" t="s">
        <v>15</v>
      </c>
      <c r="C75" s="325" t="s">
        <v>813</v>
      </c>
      <c r="D75" s="424">
        <v>0</v>
      </c>
      <c r="E75" s="419" t="s">
        <v>97</v>
      </c>
      <c r="F75" s="412" t="s">
        <v>78</v>
      </c>
      <c r="G75" s="74"/>
      <c r="H75" s="74"/>
      <c r="I75" s="74"/>
      <c r="J75" s="74"/>
      <c r="K75" s="85"/>
      <c r="L75" s="60" t="str">
        <f t="shared" si="1"/>
        <v/>
      </c>
    </row>
    <row r="76" spans="1:12" x14ac:dyDescent="0.2">
      <c r="A76" s="1" t="s">
        <v>7</v>
      </c>
      <c r="B76" s="407" t="s">
        <v>16</v>
      </c>
      <c r="C76" s="318" t="s">
        <v>809</v>
      </c>
      <c r="D76" s="425">
        <v>0.5</v>
      </c>
      <c r="E76" s="419" t="s">
        <v>97</v>
      </c>
      <c r="F76" s="412" t="s">
        <v>78</v>
      </c>
      <c r="G76" s="65">
        <v>2</v>
      </c>
      <c r="H76" s="65">
        <v>2</v>
      </c>
      <c r="I76" s="65">
        <v>1</v>
      </c>
      <c r="J76" s="65">
        <v>1</v>
      </c>
      <c r="K76" s="66">
        <v>3</v>
      </c>
      <c r="L76" s="60">
        <f t="shared" si="1"/>
        <v>1.0248662490928169</v>
      </c>
    </row>
    <row r="77" spans="1:12" x14ac:dyDescent="0.2">
      <c r="A77" s="1" t="s">
        <v>7</v>
      </c>
      <c r="B77" s="407" t="s">
        <v>16</v>
      </c>
      <c r="C77" s="322" t="s">
        <v>810</v>
      </c>
      <c r="D77" s="424">
        <v>0</v>
      </c>
      <c r="E77" s="419" t="s">
        <v>97</v>
      </c>
      <c r="F77" s="412" t="s">
        <v>78</v>
      </c>
      <c r="G77" s="74"/>
      <c r="H77" s="74"/>
      <c r="I77" s="74"/>
      <c r="J77" s="74"/>
      <c r="K77" s="85"/>
      <c r="L77" s="60" t="str">
        <f t="shared" si="1"/>
        <v/>
      </c>
    </row>
    <row r="78" spans="1:12" x14ac:dyDescent="0.2">
      <c r="A78" s="1" t="s">
        <v>7</v>
      </c>
      <c r="B78" s="407" t="s">
        <v>16</v>
      </c>
      <c r="C78" s="323" t="s">
        <v>811</v>
      </c>
      <c r="D78" s="425">
        <v>4.3999999999999997E-2</v>
      </c>
      <c r="E78" s="419" t="s">
        <v>97</v>
      </c>
      <c r="F78" s="412" t="s">
        <v>78</v>
      </c>
      <c r="G78" s="65">
        <v>2</v>
      </c>
      <c r="H78" s="65">
        <v>2</v>
      </c>
      <c r="I78" s="65">
        <v>1</v>
      </c>
      <c r="J78" s="65">
        <v>1</v>
      </c>
      <c r="K78" s="66">
        <v>2</v>
      </c>
      <c r="L78" s="60">
        <f t="shared" si="1"/>
        <v>0.37356464144298934</v>
      </c>
    </row>
    <row r="79" spans="1:12" x14ac:dyDescent="0.2">
      <c r="A79" s="1" t="s">
        <v>7</v>
      </c>
      <c r="B79" s="407" t="s">
        <v>16</v>
      </c>
      <c r="C79" s="324" t="s">
        <v>812</v>
      </c>
      <c r="D79" s="424">
        <v>0</v>
      </c>
      <c r="E79" s="419" t="s">
        <v>97</v>
      </c>
      <c r="F79" s="412" t="s">
        <v>78</v>
      </c>
      <c r="G79" s="74"/>
      <c r="H79" s="74"/>
      <c r="I79" s="74"/>
      <c r="J79" s="74"/>
      <c r="K79" s="85"/>
      <c r="L79" s="60" t="str">
        <f t="shared" si="1"/>
        <v/>
      </c>
    </row>
    <row r="80" spans="1:12" x14ac:dyDescent="0.2">
      <c r="A80" s="1" t="s">
        <v>7</v>
      </c>
      <c r="B80" s="407" t="s">
        <v>16</v>
      </c>
      <c r="C80" s="325" t="s">
        <v>813</v>
      </c>
      <c r="D80" s="424">
        <v>0</v>
      </c>
      <c r="E80" s="419" t="s">
        <v>97</v>
      </c>
      <c r="F80" s="412" t="s">
        <v>78</v>
      </c>
      <c r="G80" s="74"/>
      <c r="H80" s="74"/>
      <c r="I80" s="74"/>
      <c r="J80" s="74"/>
      <c r="K80" s="85"/>
      <c r="L80" s="60" t="str">
        <f t="shared" si="1"/>
        <v/>
      </c>
    </row>
    <row r="81" spans="1:12" x14ac:dyDescent="0.2">
      <c r="A81" s="1" t="s">
        <v>7</v>
      </c>
      <c r="B81" s="407" t="s">
        <v>17</v>
      </c>
      <c r="C81" s="318" t="s">
        <v>809</v>
      </c>
      <c r="D81" s="424">
        <v>0</v>
      </c>
      <c r="E81" s="419" t="s">
        <v>97</v>
      </c>
      <c r="F81" s="412" t="s">
        <v>78</v>
      </c>
      <c r="G81" s="74"/>
      <c r="H81" s="74"/>
      <c r="I81" s="74"/>
      <c r="J81" s="74"/>
      <c r="K81" s="85"/>
      <c r="L81" s="60" t="str">
        <f t="shared" si="1"/>
        <v/>
      </c>
    </row>
    <row r="82" spans="1:12" x14ac:dyDescent="0.2">
      <c r="A82" s="1" t="s">
        <v>7</v>
      </c>
      <c r="B82" s="407" t="s">
        <v>17</v>
      </c>
      <c r="C82" s="322" t="s">
        <v>810</v>
      </c>
      <c r="D82" s="424">
        <v>0</v>
      </c>
      <c r="E82" s="419" t="s">
        <v>97</v>
      </c>
      <c r="F82" s="412" t="s">
        <v>78</v>
      </c>
      <c r="G82" s="74"/>
      <c r="H82" s="74"/>
      <c r="I82" s="74"/>
      <c r="J82" s="74"/>
      <c r="K82" s="85"/>
      <c r="L82" s="60" t="str">
        <f t="shared" si="1"/>
        <v/>
      </c>
    </row>
    <row r="83" spans="1:12" x14ac:dyDescent="0.2">
      <c r="A83" s="1" t="s">
        <v>7</v>
      </c>
      <c r="B83" s="407" t="s">
        <v>17</v>
      </c>
      <c r="C83" s="323" t="s">
        <v>811</v>
      </c>
      <c r="D83" s="425">
        <v>0.03</v>
      </c>
      <c r="E83" s="419" t="s">
        <v>97</v>
      </c>
      <c r="F83" s="412" t="s">
        <v>78</v>
      </c>
      <c r="G83" s="65">
        <v>2</v>
      </c>
      <c r="H83" s="65">
        <v>2</v>
      </c>
      <c r="I83" s="65">
        <v>1</v>
      </c>
      <c r="J83" s="65">
        <v>1</v>
      </c>
      <c r="K83" s="66">
        <v>2</v>
      </c>
      <c r="L83" s="60">
        <f t="shared" si="1"/>
        <v>0.37356464144298934</v>
      </c>
    </row>
    <row r="84" spans="1:12" x14ac:dyDescent="0.2">
      <c r="A84" s="1" t="s">
        <v>7</v>
      </c>
      <c r="B84" s="407" t="s">
        <v>17</v>
      </c>
      <c r="C84" s="324" t="s">
        <v>812</v>
      </c>
      <c r="D84" s="424">
        <v>0</v>
      </c>
      <c r="E84" s="419" t="s">
        <v>97</v>
      </c>
      <c r="F84" s="412" t="s">
        <v>78</v>
      </c>
      <c r="G84" s="74"/>
      <c r="H84" s="74"/>
      <c r="I84" s="74"/>
      <c r="J84" s="74"/>
      <c r="K84" s="85"/>
      <c r="L84" s="60" t="str">
        <f t="shared" si="1"/>
        <v/>
      </c>
    </row>
    <row r="85" spans="1:12" x14ac:dyDescent="0.2">
      <c r="A85" s="1" t="s">
        <v>7</v>
      </c>
      <c r="B85" s="407" t="s">
        <v>17</v>
      </c>
      <c r="C85" s="325" t="s">
        <v>813</v>
      </c>
      <c r="D85" s="424">
        <v>0</v>
      </c>
      <c r="E85" s="419" t="s">
        <v>97</v>
      </c>
      <c r="F85" s="412" t="s">
        <v>78</v>
      </c>
      <c r="G85" s="74"/>
      <c r="H85" s="74"/>
      <c r="I85" s="74"/>
      <c r="J85" s="74"/>
      <c r="K85" s="85"/>
      <c r="L85" s="60" t="str">
        <f t="shared" si="1"/>
        <v/>
      </c>
    </row>
    <row r="86" spans="1:12" x14ac:dyDescent="0.2">
      <c r="A86" s="1" t="s">
        <v>7</v>
      </c>
      <c r="B86" s="407" t="s">
        <v>18</v>
      </c>
      <c r="C86" s="318" t="s">
        <v>809</v>
      </c>
      <c r="D86" s="424">
        <v>0</v>
      </c>
      <c r="E86" s="419" t="s">
        <v>97</v>
      </c>
      <c r="F86" s="412" t="s">
        <v>78</v>
      </c>
      <c r="G86" s="74"/>
      <c r="H86" s="74"/>
      <c r="I86" s="74"/>
      <c r="J86" s="74"/>
      <c r="K86" s="85"/>
      <c r="L86" s="60" t="str">
        <f t="shared" si="1"/>
        <v/>
      </c>
    </row>
    <row r="87" spans="1:12" x14ac:dyDescent="0.2">
      <c r="A87" s="1" t="s">
        <v>7</v>
      </c>
      <c r="B87" s="407" t="s">
        <v>18</v>
      </c>
      <c r="C87" s="322" t="s">
        <v>810</v>
      </c>
      <c r="D87" s="424">
        <v>0</v>
      </c>
      <c r="E87" s="419" t="s">
        <v>97</v>
      </c>
      <c r="F87" s="412" t="s">
        <v>78</v>
      </c>
      <c r="G87" s="74"/>
      <c r="H87" s="74"/>
      <c r="I87" s="74"/>
      <c r="J87" s="74"/>
      <c r="K87" s="85"/>
      <c r="L87" s="60" t="str">
        <f t="shared" si="1"/>
        <v/>
      </c>
    </row>
    <row r="88" spans="1:12" x14ac:dyDescent="0.2">
      <c r="A88" s="1" t="s">
        <v>7</v>
      </c>
      <c r="B88" s="407" t="s">
        <v>18</v>
      </c>
      <c r="C88" s="323" t="s">
        <v>811</v>
      </c>
      <c r="D88" s="424">
        <v>0</v>
      </c>
      <c r="E88" s="419" t="s">
        <v>97</v>
      </c>
      <c r="F88" s="412" t="s">
        <v>78</v>
      </c>
      <c r="G88" s="74"/>
      <c r="H88" s="74"/>
      <c r="I88" s="74"/>
      <c r="J88" s="74"/>
      <c r="K88" s="85"/>
      <c r="L88" s="60" t="str">
        <f t="shared" si="1"/>
        <v/>
      </c>
    </row>
    <row r="89" spans="1:12" x14ac:dyDescent="0.2">
      <c r="A89" s="1" t="s">
        <v>7</v>
      </c>
      <c r="B89" s="407" t="s">
        <v>18</v>
      </c>
      <c r="C89" s="324" t="s">
        <v>812</v>
      </c>
      <c r="D89" s="424">
        <v>0</v>
      </c>
      <c r="E89" s="419" t="s">
        <v>818</v>
      </c>
      <c r="F89" s="412" t="s">
        <v>78</v>
      </c>
      <c r="G89" s="74"/>
      <c r="H89" s="74"/>
      <c r="I89" s="74"/>
      <c r="J89" s="74"/>
      <c r="K89" s="85"/>
      <c r="L89" s="60" t="str">
        <f t="shared" si="1"/>
        <v/>
      </c>
    </row>
    <row r="90" spans="1:12" x14ac:dyDescent="0.2">
      <c r="A90" s="1" t="s">
        <v>7</v>
      </c>
      <c r="B90" s="407" t="s">
        <v>18</v>
      </c>
      <c r="C90" s="325" t="s">
        <v>813</v>
      </c>
      <c r="D90" s="424">
        <v>0</v>
      </c>
      <c r="E90" s="419" t="s">
        <v>97</v>
      </c>
      <c r="F90" s="412" t="s">
        <v>78</v>
      </c>
      <c r="G90" s="74"/>
      <c r="H90" s="74"/>
      <c r="I90" s="74"/>
      <c r="J90" s="74"/>
      <c r="K90" s="85"/>
      <c r="L90" s="60" t="str">
        <f t="shared" si="1"/>
        <v/>
      </c>
    </row>
    <row r="91" spans="1:12" x14ac:dyDescent="0.2">
      <c r="A91" s="1" t="s">
        <v>7</v>
      </c>
      <c r="B91" s="407" t="s">
        <v>19</v>
      </c>
      <c r="C91" s="318" t="s">
        <v>809</v>
      </c>
      <c r="D91" s="424">
        <v>0</v>
      </c>
      <c r="E91" s="419" t="s">
        <v>97</v>
      </c>
      <c r="F91" s="412" t="s">
        <v>78</v>
      </c>
      <c r="G91" s="74"/>
      <c r="H91" s="74"/>
      <c r="I91" s="74"/>
      <c r="J91" s="74"/>
      <c r="K91" s="85"/>
      <c r="L91" s="60" t="str">
        <f t="shared" si="1"/>
        <v/>
      </c>
    </row>
    <row r="92" spans="1:12" x14ac:dyDescent="0.2">
      <c r="A92" s="1" t="s">
        <v>7</v>
      </c>
      <c r="B92" s="407" t="s">
        <v>19</v>
      </c>
      <c r="C92" s="322" t="s">
        <v>810</v>
      </c>
      <c r="D92" s="424">
        <v>0</v>
      </c>
      <c r="E92" s="419" t="s">
        <v>97</v>
      </c>
      <c r="F92" s="412" t="s">
        <v>78</v>
      </c>
      <c r="G92" s="74"/>
      <c r="H92" s="74"/>
      <c r="I92" s="74"/>
      <c r="J92" s="74"/>
      <c r="K92" s="85"/>
      <c r="L92" s="60" t="str">
        <f t="shared" si="1"/>
        <v/>
      </c>
    </row>
    <row r="93" spans="1:12" x14ac:dyDescent="0.2">
      <c r="A93" s="1" t="s">
        <v>7</v>
      </c>
      <c r="B93" s="407" t="s">
        <v>19</v>
      </c>
      <c r="C93" s="323" t="s">
        <v>811</v>
      </c>
      <c r="D93" s="424">
        <v>0</v>
      </c>
      <c r="E93" s="419" t="s">
        <v>97</v>
      </c>
      <c r="F93" s="412" t="s">
        <v>78</v>
      </c>
      <c r="G93" s="74"/>
      <c r="H93" s="74"/>
      <c r="I93" s="74"/>
      <c r="J93" s="74"/>
      <c r="K93" s="85"/>
      <c r="L93" s="60" t="str">
        <f t="shared" si="1"/>
        <v/>
      </c>
    </row>
    <row r="94" spans="1:12" x14ac:dyDescent="0.2">
      <c r="A94" s="1" t="s">
        <v>7</v>
      </c>
      <c r="B94" s="407" t="s">
        <v>19</v>
      </c>
      <c r="C94" s="324" t="s">
        <v>812</v>
      </c>
      <c r="D94" s="424">
        <v>0</v>
      </c>
      <c r="E94" s="419" t="s">
        <v>97</v>
      </c>
      <c r="F94" s="412" t="s">
        <v>78</v>
      </c>
      <c r="G94" s="74"/>
      <c r="H94" s="74"/>
      <c r="I94" s="74"/>
      <c r="J94" s="74"/>
      <c r="K94" s="85"/>
      <c r="L94" s="60" t="str">
        <f t="shared" si="1"/>
        <v/>
      </c>
    </row>
    <row r="95" spans="1:12" x14ac:dyDescent="0.2">
      <c r="A95" s="1" t="s">
        <v>7</v>
      </c>
      <c r="B95" s="407" t="s">
        <v>19</v>
      </c>
      <c r="C95" s="325" t="s">
        <v>813</v>
      </c>
      <c r="D95" s="424">
        <v>0</v>
      </c>
      <c r="E95" s="419" t="s">
        <v>97</v>
      </c>
      <c r="F95" s="412" t="s">
        <v>78</v>
      </c>
      <c r="G95" s="74"/>
      <c r="H95" s="74"/>
      <c r="I95" s="74"/>
      <c r="J95" s="74"/>
      <c r="K95" s="85"/>
      <c r="L95" s="60" t="str">
        <f t="shared" si="1"/>
        <v/>
      </c>
    </row>
    <row r="96" spans="1:12" x14ac:dyDescent="0.2">
      <c r="A96" s="1" t="s">
        <v>7</v>
      </c>
      <c r="B96" s="407" t="s">
        <v>20</v>
      </c>
      <c r="C96" s="318" t="s">
        <v>809</v>
      </c>
      <c r="D96" s="424">
        <v>0</v>
      </c>
      <c r="E96" s="419" t="s">
        <v>97</v>
      </c>
      <c r="F96" s="412" t="s">
        <v>78</v>
      </c>
      <c r="G96" s="74"/>
      <c r="H96" s="74"/>
      <c r="I96" s="74"/>
      <c r="J96" s="74"/>
      <c r="K96" s="85"/>
      <c r="L96" s="60" t="str">
        <f t="shared" si="1"/>
        <v/>
      </c>
    </row>
    <row r="97" spans="1:12" x14ac:dyDescent="0.2">
      <c r="A97" s="1" t="s">
        <v>7</v>
      </c>
      <c r="B97" s="407" t="s">
        <v>20</v>
      </c>
      <c r="C97" s="322" t="s">
        <v>810</v>
      </c>
      <c r="D97" s="424">
        <v>0</v>
      </c>
      <c r="E97" s="419" t="s">
        <v>97</v>
      </c>
      <c r="F97" s="412" t="s">
        <v>78</v>
      </c>
      <c r="G97" s="74"/>
      <c r="H97" s="74"/>
      <c r="I97" s="74"/>
      <c r="J97" s="74"/>
      <c r="K97" s="85"/>
      <c r="L97" s="60" t="str">
        <f t="shared" si="1"/>
        <v/>
      </c>
    </row>
    <row r="98" spans="1:12" x14ac:dyDescent="0.2">
      <c r="A98" s="1" t="s">
        <v>7</v>
      </c>
      <c r="B98" s="407" t="s">
        <v>20</v>
      </c>
      <c r="C98" s="323" t="s">
        <v>811</v>
      </c>
      <c r="D98" s="424">
        <v>0</v>
      </c>
      <c r="E98" s="419" t="s">
        <v>97</v>
      </c>
      <c r="F98" s="412" t="s">
        <v>78</v>
      </c>
      <c r="G98" s="74"/>
      <c r="H98" s="74"/>
      <c r="I98" s="74"/>
      <c r="J98" s="74"/>
      <c r="K98" s="85"/>
      <c r="L98" s="60" t="str">
        <f t="shared" si="1"/>
        <v/>
      </c>
    </row>
    <row r="99" spans="1:12" x14ac:dyDescent="0.2">
      <c r="A99" s="1" t="s">
        <v>7</v>
      </c>
      <c r="B99" s="407" t="s">
        <v>20</v>
      </c>
      <c r="C99" s="324" t="s">
        <v>812</v>
      </c>
      <c r="D99" s="424">
        <v>0</v>
      </c>
      <c r="E99" s="419" t="s">
        <v>97</v>
      </c>
      <c r="F99" s="412" t="s">
        <v>78</v>
      </c>
      <c r="G99" s="74"/>
      <c r="H99" s="74"/>
      <c r="I99" s="74"/>
      <c r="J99" s="74"/>
      <c r="K99" s="85"/>
      <c r="L99" s="60" t="str">
        <f t="shared" si="1"/>
        <v/>
      </c>
    </row>
    <row r="100" spans="1:12" x14ac:dyDescent="0.2">
      <c r="A100" s="1" t="s">
        <v>7</v>
      </c>
      <c r="B100" s="407" t="s">
        <v>20</v>
      </c>
      <c r="C100" s="325" t="s">
        <v>813</v>
      </c>
      <c r="D100" s="424">
        <v>0</v>
      </c>
      <c r="E100" s="419" t="s">
        <v>97</v>
      </c>
      <c r="F100" s="412" t="s">
        <v>78</v>
      </c>
      <c r="G100" s="74"/>
      <c r="H100" s="74"/>
      <c r="I100" s="74"/>
      <c r="J100" s="74"/>
      <c r="K100" s="85"/>
      <c r="L100" s="60" t="str">
        <f t="shared" si="1"/>
        <v/>
      </c>
    </row>
    <row r="101" spans="1:12" x14ac:dyDescent="0.2">
      <c r="A101" s="1" t="s">
        <v>7</v>
      </c>
      <c r="B101" s="407" t="s">
        <v>21</v>
      </c>
      <c r="C101" s="318" t="s">
        <v>809</v>
      </c>
      <c r="D101" s="424">
        <v>0</v>
      </c>
      <c r="E101" s="419" t="s">
        <v>97</v>
      </c>
      <c r="F101" s="412" t="s">
        <v>78</v>
      </c>
      <c r="G101" s="74"/>
      <c r="H101" s="74"/>
      <c r="I101" s="74"/>
      <c r="J101" s="74"/>
      <c r="K101" s="85"/>
      <c r="L101" s="60" t="str">
        <f t="shared" si="1"/>
        <v/>
      </c>
    </row>
    <row r="102" spans="1:12" x14ac:dyDescent="0.2">
      <c r="A102" s="1" t="s">
        <v>7</v>
      </c>
      <c r="B102" s="407" t="s">
        <v>21</v>
      </c>
      <c r="C102" s="322" t="s">
        <v>810</v>
      </c>
      <c r="D102" s="424">
        <v>0</v>
      </c>
      <c r="E102" s="419" t="s">
        <v>97</v>
      </c>
      <c r="F102" s="412" t="s">
        <v>78</v>
      </c>
      <c r="G102" s="74"/>
      <c r="H102" s="74"/>
      <c r="I102" s="74"/>
      <c r="J102" s="74"/>
      <c r="K102" s="85"/>
      <c r="L102" s="60" t="str">
        <f t="shared" si="1"/>
        <v/>
      </c>
    </row>
    <row r="103" spans="1:12" x14ac:dyDescent="0.2">
      <c r="A103" s="1" t="s">
        <v>7</v>
      </c>
      <c r="B103" s="407" t="s">
        <v>21</v>
      </c>
      <c r="C103" s="323" t="s">
        <v>811</v>
      </c>
      <c r="D103" s="424">
        <v>0</v>
      </c>
      <c r="E103" s="419" t="s">
        <v>97</v>
      </c>
      <c r="F103" s="412" t="s">
        <v>78</v>
      </c>
      <c r="G103" s="74"/>
      <c r="H103" s="74"/>
      <c r="I103" s="74"/>
      <c r="J103" s="74"/>
      <c r="K103" s="85"/>
      <c r="L103" s="60" t="str">
        <f t="shared" si="1"/>
        <v/>
      </c>
    </row>
    <row r="104" spans="1:12" x14ac:dyDescent="0.2">
      <c r="A104" s="1" t="s">
        <v>7</v>
      </c>
      <c r="B104" s="407" t="s">
        <v>21</v>
      </c>
      <c r="C104" s="324" t="s">
        <v>812</v>
      </c>
      <c r="D104" s="424">
        <v>0</v>
      </c>
      <c r="E104" s="419" t="s">
        <v>97</v>
      </c>
      <c r="F104" s="412" t="s">
        <v>78</v>
      </c>
      <c r="G104" s="74"/>
      <c r="H104" s="74"/>
      <c r="I104" s="74"/>
      <c r="J104" s="74"/>
      <c r="K104" s="85"/>
      <c r="L104" s="60" t="str">
        <f t="shared" si="1"/>
        <v/>
      </c>
    </row>
    <row r="105" spans="1:12" x14ac:dyDescent="0.2">
      <c r="A105" s="1" t="s">
        <v>7</v>
      </c>
      <c r="B105" s="407" t="s">
        <v>21</v>
      </c>
      <c r="C105" s="325" t="s">
        <v>813</v>
      </c>
      <c r="D105" s="424">
        <v>0</v>
      </c>
      <c r="E105" s="419" t="s">
        <v>97</v>
      </c>
      <c r="F105" s="412" t="s">
        <v>78</v>
      </c>
      <c r="G105" s="74"/>
      <c r="H105" s="74"/>
      <c r="I105" s="74"/>
      <c r="J105" s="74"/>
      <c r="K105" s="85"/>
      <c r="L105" s="60" t="str">
        <f t="shared" si="1"/>
        <v/>
      </c>
    </row>
    <row r="106" spans="1:12" x14ac:dyDescent="0.2">
      <c r="A106" s="1" t="s">
        <v>7</v>
      </c>
      <c r="B106" s="407" t="s">
        <v>22</v>
      </c>
      <c r="C106" s="318" t="s">
        <v>809</v>
      </c>
      <c r="D106" s="426">
        <v>0.5</v>
      </c>
      <c r="E106" s="419" t="s">
        <v>97</v>
      </c>
      <c r="F106" s="412" t="s">
        <v>78</v>
      </c>
      <c r="G106" s="65">
        <v>2</v>
      </c>
      <c r="H106" s="65">
        <v>2</v>
      </c>
      <c r="I106" s="65">
        <v>1</v>
      </c>
      <c r="J106" s="65">
        <v>1</v>
      </c>
      <c r="K106" s="66">
        <v>3</v>
      </c>
      <c r="L106" s="60">
        <f t="shared" si="1"/>
        <v>1.0248662490928169</v>
      </c>
    </row>
    <row r="107" spans="1:12" x14ac:dyDescent="0.2">
      <c r="A107" s="1" t="s">
        <v>7</v>
      </c>
      <c r="B107" s="407" t="s">
        <v>22</v>
      </c>
      <c r="C107" s="322" t="s">
        <v>810</v>
      </c>
      <c r="D107" s="425">
        <v>1</v>
      </c>
      <c r="E107" s="419" t="s">
        <v>97</v>
      </c>
      <c r="F107" s="412" t="s">
        <v>78</v>
      </c>
      <c r="G107" s="65">
        <v>2</v>
      </c>
      <c r="H107" s="65">
        <v>2</v>
      </c>
      <c r="I107" s="65">
        <v>1</v>
      </c>
      <c r="J107" s="65">
        <v>1</v>
      </c>
      <c r="K107" s="66">
        <v>2</v>
      </c>
      <c r="L107" s="60">
        <f t="shared" si="1"/>
        <v>0.37356464144298934</v>
      </c>
    </row>
    <row r="108" spans="1:12" x14ac:dyDescent="0.2">
      <c r="A108" s="1" t="s">
        <v>7</v>
      </c>
      <c r="B108" s="407" t="s">
        <v>22</v>
      </c>
      <c r="C108" s="323" t="s">
        <v>811</v>
      </c>
      <c r="D108" s="424">
        <v>0</v>
      </c>
      <c r="E108" s="419" t="s">
        <v>97</v>
      </c>
      <c r="F108" s="412" t="s">
        <v>78</v>
      </c>
      <c r="G108" s="74"/>
      <c r="H108" s="74"/>
      <c r="I108" s="74"/>
      <c r="J108" s="74"/>
      <c r="K108" s="85"/>
      <c r="L108" s="60" t="str">
        <f t="shared" si="1"/>
        <v/>
      </c>
    </row>
    <row r="109" spans="1:12" x14ac:dyDescent="0.2">
      <c r="A109" s="1" t="s">
        <v>7</v>
      </c>
      <c r="B109" s="407" t="s">
        <v>22</v>
      </c>
      <c r="C109" s="324" t="s">
        <v>812</v>
      </c>
      <c r="D109" s="425">
        <v>1</v>
      </c>
      <c r="E109" s="419" t="s">
        <v>97</v>
      </c>
      <c r="F109" s="412" t="s">
        <v>78</v>
      </c>
      <c r="G109" s="65">
        <v>2</v>
      </c>
      <c r="H109" s="65">
        <v>2</v>
      </c>
      <c r="I109" s="65">
        <v>1</v>
      </c>
      <c r="J109" s="65">
        <v>1</v>
      </c>
      <c r="K109" s="66">
        <v>2</v>
      </c>
      <c r="L109" s="60">
        <f t="shared" si="1"/>
        <v>0.37356464144298934</v>
      </c>
    </row>
    <row r="110" spans="1:12" x14ac:dyDescent="0.2">
      <c r="A110" s="355" t="s">
        <v>7</v>
      </c>
      <c r="B110" s="408" t="s">
        <v>22</v>
      </c>
      <c r="C110" s="325" t="s">
        <v>813</v>
      </c>
      <c r="D110" s="424">
        <v>0</v>
      </c>
      <c r="E110" s="419" t="s">
        <v>97</v>
      </c>
      <c r="F110" s="414" t="s">
        <v>78</v>
      </c>
      <c r="G110" s="74"/>
      <c r="H110" s="74"/>
      <c r="I110" s="74"/>
      <c r="J110" s="74"/>
      <c r="K110" s="85"/>
      <c r="L110" s="60" t="str">
        <f t="shared" si="1"/>
        <v/>
      </c>
    </row>
    <row r="111" spans="1:12" x14ac:dyDescent="0.2">
      <c r="A111" s="1" t="s">
        <v>8</v>
      </c>
      <c r="B111" s="407" t="s">
        <v>23</v>
      </c>
      <c r="C111" s="318" t="s">
        <v>809</v>
      </c>
      <c r="D111" s="424">
        <v>0</v>
      </c>
      <c r="E111" s="419" t="s">
        <v>98</v>
      </c>
      <c r="F111" s="412" t="s">
        <v>78</v>
      </c>
      <c r="G111" s="74"/>
      <c r="H111" s="74"/>
      <c r="I111" s="74"/>
      <c r="J111" s="74"/>
      <c r="K111" s="85"/>
      <c r="L111" s="60" t="str">
        <f t="shared" si="1"/>
        <v/>
      </c>
    </row>
    <row r="112" spans="1:12" x14ac:dyDescent="0.2">
      <c r="A112" s="1" t="s">
        <v>8</v>
      </c>
      <c r="B112" s="407" t="s">
        <v>23</v>
      </c>
      <c r="C112" s="322" t="s">
        <v>810</v>
      </c>
      <c r="D112" s="425">
        <v>0.10384615384615385</v>
      </c>
      <c r="E112" s="419" t="s">
        <v>819</v>
      </c>
      <c r="F112" s="412" t="s">
        <v>78</v>
      </c>
      <c r="G112" s="65">
        <v>2</v>
      </c>
      <c r="H112" s="65">
        <v>4</v>
      </c>
      <c r="I112" s="65">
        <v>1</v>
      </c>
      <c r="J112" s="65">
        <v>1</v>
      </c>
      <c r="K112" s="66">
        <v>2</v>
      </c>
      <c r="L112" s="60">
        <f t="shared" si="1"/>
        <v>1.0725046436742278</v>
      </c>
    </row>
    <row r="113" spans="1:12" x14ac:dyDescent="0.2">
      <c r="A113" s="1" t="s">
        <v>8</v>
      </c>
      <c r="B113" s="407" t="s">
        <v>23</v>
      </c>
      <c r="C113" s="323" t="s">
        <v>811</v>
      </c>
      <c r="D113" s="425">
        <v>0.2</v>
      </c>
      <c r="E113" s="419" t="s">
        <v>819</v>
      </c>
      <c r="F113" s="412" t="s">
        <v>78</v>
      </c>
      <c r="G113" s="65">
        <v>2</v>
      </c>
      <c r="H113" s="65">
        <v>4</v>
      </c>
      <c r="I113" s="65">
        <v>1</v>
      </c>
      <c r="J113" s="65">
        <v>1</v>
      </c>
      <c r="K113" s="66">
        <v>2</v>
      </c>
      <c r="L113" s="60">
        <f t="shared" si="1"/>
        <v>1.0725046436742278</v>
      </c>
    </row>
    <row r="114" spans="1:12" x14ac:dyDescent="0.2">
      <c r="A114" s="1" t="s">
        <v>8</v>
      </c>
      <c r="B114" s="407" t="s">
        <v>23</v>
      </c>
      <c r="C114" s="324" t="s">
        <v>812</v>
      </c>
      <c r="D114" s="424">
        <v>0</v>
      </c>
      <c r="E114" s="419" t="s">
        <v>819</v>
      </c>
      <c r="F114" s="412" t="s">
        <v>78</v>
      </c>
      <c r="G114" s="74"/>
      <c r="H114" s="74"/>
      <c r="I114" s="74"/>
      <c r="J114" s="74"/>
      <c r="K114" s="85"/>
      <c r="L114" s="60" t="str">
        <f t="shared" si="1"/>
        <v/>
      </c>
    </row>
    <row r="115" spans="1:12" x14ac:dyDescent="0.2">
      <c r="A115" s="1" t="s">
        <v>8</v>
      </c>
      <c r="B115" s="407" t="s">
        <v>23</v>
      </c>
      <c r="C115" s="325" t="s">
        <v>813</v>
      </c>
      <c r="D115" s="422">
        <v>0.1111111111111111</v>
      </c>
      <c r="E115" s="419" t="s">
        <v>98</v>
      </c>
      <c r="F115" s="412" t="s">
        <v>78</v>
      </c>
      <c r="G115" s="65">
        <v>2</v>
      </c>
      <c r="H115" s="65">
        <v>4</v>
      </c>
      <c r="I115" s="65">
        <v>1</v>
      </c>
      <c r="J115" s="65">
        <v>1</v>
      </c>
      <c r="K115" s="66">
        <v>2</v>
      </c>
      <c r="L115" s="60">
        <f t="shared" si="1"/>
        <v>1.0725046436742278</v>
      </c>
    </row>
    <row r="116" spans="1:12" x14ac:dyDescent="0.2">
      <c r="A116" s="1" t="s">
        <v>8</v>
      </c>
      <c r="B116" s="407" t="s">
        <v>24</v>
      </c>
      <c r="C116" s="318" t="s">
        <v>809</v>
      </c>
      <c r="D116" s="425">
        <v>0.66114180478821361</v>
      </c>
      <c r="E116" s="419" t="s">
        <v>98</v>
      </c>
      <c r="F116" s="412" t="s">
        <v>78</v>
      </c>
      <c r="G116" s="65">
        <v>2</v>
      </c>
      <c r="H116" s="65">
        <v>4</v>
      </c>
      <c r="I116" s="65">
        <v>1</v>
      </c>
      <c r="J116" s="65">
        <v>1</v>
      </c>
      <c r="K116" s="66">
        <v>2</v>
      </c>
      <c r="L116" s="60">
        <f t="shared" si="1"/>
        <v>1.0725046436742278</v>
      </c>
    </row>
    <row r="117" spans="1:12" x14ac:dyDescent="0.2">
      <c r="A117" s="1" t="s">
        <v>8</v>
      </c>
      <c r="B117" s="407" t="s">
        <v>24</v>
      </c>
      <c r="C117" s="322" t="s">
        <v>810</v>
      </c>
      <c r="D117" s="424">
        <v>0</v>
      </c>
      <c r="E117" s="419" t="s">
        <v>98</v>
      </c>
      <c r="F117" s="412" t="s">
        <v>78</v>
      </c>
      <c r="G117" s="74"/>
      <c r="H117" s="74"/>
      <c r="I117" s="74"/>
      <c r="J117" s="74"/>
      <c r="K117" s="85"/>
      <c r="L117" s="60" t="str">
        <f t="shared" si="1"/>
        <v/>
      </c>
    </row>
    <row r="118" spans="1:12" x14ac:dyDescent="0.2">
      <c r="A118" s="1" t="s">
        <v>8</v>
      </c>
      <c r="B118" s="407" t="s">
        <v>24</v>
      </c>
      <c r="C118" s="323" t="s">
        <v>811</v>
      </c>
      <c r="D118" s="424">
        <v>0</v>
      </c>
      <c r="E118" s="419" t="s">
        <v>98</v>
      </c>
      <c r="F118" s="412" t="s">
        <v>78</v>
      </c>
      <c r="G118" s="74"/>
      <c r="H118" s="74"/>
      <c r="I118" s="74"/>
      <c r="J118" s="74"/>
      <c r="K118" s="85"/>
      <c r="L118" s="60" t="str">
        <f t="shared" si="1"/>
        <v/>
      </c>
    </row>
    <row r="119" spans="1:12" x14ac:dyDescent="0.2">
      <c r="A119" s="1" t="s">
        <v>8</v>
      </c>
      <c r="B119" s="407" t="s">
        <v>24</v>
      </c>
      <c r="C119" s="324" t="s">
        <v>812</v>
      </c>
      <c r="D119" s="424">
        <v>0</v>
      </c>
      <c r="E119" s="419" t="s">
        <v>98</v>
      </c>
      <c r="F119" s="412" t="s">
        <v>78</v>
      </c>
      <c r="G119" s="74"/>
      <c r="H119" s="74"/>
      <c r="I119" s="74"/>
      <c r="J119" s="74"/>
      <c r="K119" s="85"/>
      <c r="L119" s="60" t="str">
        <f t="shared" si="1"/>
        <v/>
      </c>
    </row>
    <row r="120" spans="1:12" x14ac:dyDescent="0.2">
      <c r="A120" s="1" t="s">
        <v>8</v>
      </c>
      <c r="B120" s="407" t="s">
        <v>24</v>
      </c>
      <c r="C120" s="325" t="s">
        <v>813</v>
      </c>
      <c r="D120" s="424">
        <v>0</v>
      </c>
      <c r="E120" s="419" t="s">
        <v>98</v>
      </c>
      <c r="F120" s="412" t="s">
        <v>78</v>
      </c>
      <c r="G120" s="74"/>
      <c r="H120" s="74"/>
      <c r="I120" s="74"/>
      <c r="J120" s="74"/>
      <c r="K120" s="85"/>
      <c r="L120" s="60" t="str">
        <f t="shared" si="1"/>
        <v/>
      </c>
    </row>
    <row r="121" spans="1:12" x14ac:dyDescent="0.2">
      <c r="A121" s="1" t="s">
        <v>8</v>
      </c>
      <c r="B121" s="407" t="s">
        <v>25</v>
      </c>
      <c r="C121" s="318" t="s">
        <v>809</v>
      </c>
      <c r="D121" s="422">
        <v>0.33885819521178634</v>
      </c>
      <c r="E121" s="419" t="s">
        <v>98</v>
      </c>
      <c r="F121" s="412" t="s">
        <v>78</v>
      </c>
      <c r="G121" s="65">
        <v>2</v>
      </c>
      <c r="H121" s="65">
        <v>4</v>
      </c>
      <c r="I121" s="65">
        <v>1</v>
      </c>
      <c r="J121" s="65">
        <v>1</v>
      </c>
      <c r="K121" s="66">
        <v>2</v>
      </c>
      <c r="L121" s="60">
        <f t="shared" si="1"/>
        <v>1.0725046436742278</v>
      </c>
    </row>
    <row r="122" spans="1:12" x14ac:dyDescent="0.2">
      <c r="A122" s="1" t="s">
        <v>8</v>
      </c>
      <c r="B122" s="407" t="s">
        <v>25</v>
      </c>
      <c r="C122" s="322" t="s">
        <v>810</v>
      </c>
      <c r="D122" s="424">
        <v>0</v>
      </c>
      <c r="E122" s="419" t="s">
        <v>98</v>
      </c>
      <c r="F122" s="412" t="s">
        <v>78</v>
      </c>
      <c r="G122" s="74"/>
      <c r="H122" s="74"/>
      <c r="I122" s="74"/>
      <c r="J122" s="74"/>
      <c r="K122" s="85"/>
      <c r="L122" s="60" t="str">
        <f t="shared" si="1"/>
        <v/>
      </c>
    </row>
    <row r="123" spans="1:12" x14ac:dyDescent="0.2">
      <c r="A123" s="1" t="s">
        <v>8</v>
      </c>
      <c r="B123" s="407" t="s">
        <v>25</v>
      </c>
      <c r="C123" s="323" t="s">
        <v>811</v>
      </c>
      <c r="D123" s="424">
        <v>0</v>
      </c>
      <c r="E123" s="419" t="s">
        <v>98</v>
      </c>
      <c r="F123" s="412" t="s">
        <v>78</v>
      </c>
      <c r="G123" s="74"/>
      <c r="H123" s="74"/>
      <c r="I123" s="74"/>
      <c r="J123" s="74"/>
      <c r="K123" s="85"/>
      <c r="L123" s="60" t="str">
        <f t="shared" si="1"/>
        <v/>
      </c>
    </row>
    <row r="124" spans="1:12" x14ac:dyDescent="0.2">
      <c r="A124" s="1" t="s">
        <v>8</v>
      </c>
      <c r="B124" s="407" t="s">
        <v>25</v>
      </c>
      <c r="C124" s="324" t="s">
        <v>812</v>
      </c>
      <c r="D124" s="424">
        <v>0</v>
      </c>
      <c r="E124" s="419" t="s">
        <v>98</v>
      </c>
      <c r="F124" s="412" t="s">
        <v>78</v>
      </c>
      <c r="G124" s="74"/>
      <c r="H124" s="74"/>
      <c r="I124" s="74"/>
      <c r="J124" s="74"/>
      <c r="K124" s="85"/>
      <c r="L124" s="60" t="str">
        <f t="shared" si="1"/>
        <v/>
      </c>
    </row>
    <row r="125" spans="1:12" x14ac:dyDescent="0.2">
      <c r="A125" s="1" t="s">
        <v>8</v>
      </c>
      <c r="B125" s="407" t="s">
        <v>25</v>
      </c>
      <c r="C125" s="325" t="s">
        <v>813</v>
      </c>
      <c r="D125" s="424">
        <v>0</v>
      </c>
      <c r="E125" s="419" t="s">
        <v>98</v>
      </c>
      <c r="F125" s="412" t="s">
        <v>78</v>
      </c>
      <c r="G125" s="74"/>
      <c r="H125" s="74"/>
      <c r="I125" s="74"/>
      <c r="J125" s="74"/>
      <c r="K125" s="85"/>
      <c r="L125" s="60" t="str">
        <f t="shared" si="1"/>
        <v/>
      </c>
    </row>
    <row r="126" spans="1:12" x14ac:dyDescent="0.2">
      <c r="A126" s="1" t="s">
        <v>8</v>
      </c>
      <c r="B126" s="407" t="s">
        <v>26</v>
      </c>
      <c r="C126" s="318" t="s">
        <v>809</v>
      </c>
      <c r="D126" s="424">
        <v>0</v>
      </c>
      <c r="E126" s="419" t="s">
        <v>98</v>
      </c>
      <c r="F126" s="412" t="s">
        <v>78</v>
      </c>
      <c r="G126" s="74"/>
      <c r="H126" s="74"/>
      <c r="I126" s="74"/>
      <c r="J126" s="74"/>
      <c r="K126" s="85"/>
      <c r="L126" s="60" t="str">
        <f t="shared" si="1"/>
        <v/>
      </c>
    </row>
    <row r="127" spans="1:12" x14ac:dyDescent="0.2">
      <c r="A127" s="1" t="s">
        <v>8</v>
      </c>
      <c r="B127" s="407" t="s">
        <v>26</v>
      </c>
      <c r="C127" s="322" t="s">
        <v>810</v>
      </c>
      <c r="D127" s="424">
        <v>0</v>
      </c>
      <c r="E127" s="419" t="s">
        <v>98</v>
      </c>
      <c r="F127" s="412" t="s">
        <v>78</v>
      </c>
      <c r="G127" s="74"/>
      <c r="H127" s="74"/>
      <c r="I127" s="74"/>
      <c r="J127" s="74"/>
      <c r="K127" s="85"/>
      <c r="L127" s="60" t="str">
        <f t="shared" si="1"/>
        <v/>
      </c>
    </row>
    <row r="128" spans="1:12" x14ac:dyDescent="0.2">
      <c r="A128" s="1" t="s">
        <v>8</v>
      </c>
      <c r="B128" s="407" t="s">
        <v>26</v>
      </c>
      <c r="C128" s="323" t="s">
        <v>811</v>
      </c>
      <c r="D128" s="425">
        <v>0.64794816414686829</v>
      </c>
      <c r="E128" s="419" t="s">
        <v>98</v>
      </c>
      <c r="F128" s="412" t="s">
        <v>78</v>
      </c>
      <c r="G128" s="65">
        <v>2</v>
      </c>
      <c r="H128" s="65">
        <v>4</v>
      </c>
      <c r="I128" s="65">
        <v>1</v>
      </c>
      <c r="J128" s="65">
        <v>1</v>
      </c>
      <c r="K128" s="66">
        <v>2</v>
      </c>
      <c r="L128" s="60">
        <f t="shared" si="1"/>
        <v>1.0725046436742278</v>
      </c>
    </row>
    <row r="129" spans="1:12" x14ac:dyDescent="0.2">
      <c r="A129" s="1" t="s">
        <v>8</v>
      </c>
      <c r="B129" s="407" t="s">
        <v>26</v>
      </c>
      <c r="C129" s="324" t="s">
        <v>812</v>
      </c>
      <c r="D129" s="425">
        <v>0.89552238805970152</v>
      </c>
      <c r="E129" s="419" t="s">
        <v>98</v>
      </c>
      <c r="F129" s="412" t="s">
        <v>78</v>
      </c>
      <c r="G129" s="65">
        <v>2</v>
      </c>
      <c r="H129" s="65">
        <v>4</v>
      </c>
      <c r="I129" s="65">
        <v>1</v>
      </c>
      <c r="J129" s="65">
        <v>1</v>
      </c>
      <c r="K129" s="66">
        <v>2</v>
      </c>
      <c r="L129" s="60">
        <f t="shared" si="1"/>
        <v>1.0725046436742278</v>
      </c>
    </row>
    <row r="130" spans="1:12" x14ac:dyDescent="0.2">
      <c r="A130" s="1" t="s">
        <v>8</v>
      </c>
      <c r="B130" s="407" t="s">
        <v>26</v>
      </c>
      <c r="C130" s="325" t="s">
        <v>813</v>
      </c>
      <c r="D130" s="425">
        <v>0.88888888888888884</v>
      </c>
      <c r="E130" s="419" t="s">
        <v>98</v>
      </c>
      <c r="F130" s="412" t="s">
        <v>78</v>
      </c>
      <c r="G130" s="65">
        <v>2</v>
      </c>
      <c r="H130" s="65">
        <v>4</v>
      </c>
      <c r="I130" s="65">
        <v>1</v>
      </c>
      <c r="J130" s="65">
        <v>1</v>
      </c>
      <c r="K130" s="66">
        <v>2</v>
      </c>
      <c r="L130" s="60">
        <f t="shared" si="1"/>
        <v>1.0725046436742278</v>
      </c>
    </row>
    <row r="131" spans="1:12" x14ac:dyDescent="0.2">
      <c r="A131" s="1" t="s">
        <v>8</v>
      </c>
      <c r="B131" s="407" t="s">
        <v>27</v>
      </c>
      <c r="C131" s="318" t="s">
        <v>809</v>
      </c>
      <c r="D131" s="424">
        <v>0</v>
      </c>
      <c r="E131" s="419" t="s">
        <v>98</v>
      </c>
      <c r="F131" s="412" t="s">
        <v>78</v>
      </c>
      <c r="G131" s="74"/>
      <c r="H131" s="74"/>
      <c r="I131" s="74"/>
      <c r="J131" s="74"/>
      <c r="K131" s="85"/>
      <c r="L131" s="60" t="str">
        <f t="shared" ref="L131:L194" si="2">IF( OR( ISBLANK(G131),ISBLANK(H131), ISBLANK(I131), ISBLANK(J131), ISBLANK(K131) ), "", 1.5*SQRT(   EXP(2.21*(G131-1)) + EXP(2.21*(H131-1)) + EXP(2.21*(I131-1)) + EXP(2.21*(J131-1)) + EXP(2.21*K131)   )/100*2.45 )</f>
        <v/>
      </c>
    </row>
    <row r="132" spans="1:12" x14ac:dyDescent="0.2">
      <c r="A132" s="1" t="s">
        <v>8</v>
      </c>
      <c r="B132" s="407" t="s">
        <v>27</v>
      </c>
      <c r="C132" s="322" t="s">
        <v>810</v>
      </c>
      <c r="D132" s="422">
        <v>0.89615384615384619</v>
      </c>
      <c r="E132" s="419" t="s">
        <v>98</v>
      </c>
      <c r="F132" s="412" t="s">
        <v>78</v>
      </c>
      <c r="G132" s="65">
        <v>2</v>
      </c>
      <c r="H132" s="65">
        <v>4</v>
      </c>
      <c r="I132" s="65">
        <v>1</v>
      </c>
      <c r="J132" s="65">
        <v>1</v>
      </c>
      <c r="K132" s="66">
        <v>2</v>
      </c>
      <c r="L132" s="60">
        <f t="shared" si="2"/>
        <v>1.0725046436742278</v>
      </c>
    </row>
    <row r="133" spans="1:12" x14ac:dyDescent="0.2">
      <c r="A133" s="1" t="s">
        <v>8</v>
      </c>
      <c r="B133" s="407" t="s">
        <v>27</v>
      </c>
      <c r="C133" s="323" t="s">
        <v>811</v>
      </c>
      <c r="D133" s="422">
        <v>0.35205183585313177</v>
      </c>
      <c r="E133" s="419" t="s">
        <v>98</v>
      </c>
      <c r="F133" s="412" t="s">
        <v>78</v>
      </c>
      <c r="G133" s="65">
        <v>2</v>
      </c>
      <c r="H133" s="65">
        <v>4</v>
      </c>
      <c r="I133" s="65">
        <v>1</v>
      </c>
      <c r="J133" s="65">
        <v>1</v>
      </c>
      <c r="K133" s="66">
        <v>2</v>
      </c>
      <c r="L133" s="60">
        <f t="shared" si="2"/>
        <v>1.0725046436742278</v>
      </c>
    </row>
    <row r="134" spans="1:12" x14ac:dyDescent="0.2">
      <c r="A134" s="1" t="s">
        <v>8</v>
      </c>
      <c r="B134" s="407" t="s">
        <v>27</v>
      </c>
      <c r="C134" s="324" t="s">
        <v>812</v>
      </c>
      <c r="D134" s="422">
        <v>0.1044776119402985</v>
      </c>
      <c r="E134" s="419" t="s">
        <v>98</v>
      </c>
      <c r="F134" s="412" t="s">
        <v>78</v>
      </c>
      <c r="G134" s="65">
        <v>2</v>
      </c>
      <c r="H134" s="65">
        <v>4</v>
      </c>
      <c r="I134" s="65">
        <v>1</v>
      </c>
      <c r="J134" s="65">
        <v>1</v>
      </c>
      <c r="K134" s="66">
        <v>2</v>
      </c>
      <c r="L134" s="60">
        <f t="shared" si="2"/>
        <v>1.0725046436742278</v>
      </c>
    </row>
    <row r="135" spans="1:12" x14ac:dyDescent="0.2">
      <c r="A135" s="1" t="s">
        <v>8</v>
      </c>
      <c r="B135" s="407" t="s">
        <v>27</v>
      </c>
      <c r="C135" s="325" t="s">
        <v>813</v>
      </c>
      <c r="D135" s="424">
        <v>0</v>
      </c>
      <c r="E135" s="419" t="s">
        <v>98</v>
      </c>
      <c r="F135" s="412" t="s">
        <v>78</v>
      </c>
      <c r="G135" s="74"/>
      <c r="H135" s="74"/>
      <c r="I135" s="74"/>
      <c r="J135" s="74"/>
      <c r="K135" s="85"/>
      <c r="L135" s="60" t="str">
        <f t="shared" si="2"/>
        <v/>
      </c>
    </row>
    <row r="136" spans="1:12" x14ac:dyDescent="0.2">
      <c r="A136" s="356" t="s">
        <v>9</v>
      </c>
      <c r="B136" s="131" t="s">
        <v>112</v>
      </c>
      <c r="C136" s="418" t="s">
        <v>65</v>
      </c>
      <c r="D136" s="427">
        <v>1</v>
      </c>
      <c r="E136" s="419"/>
      <c r="F136" s="415"/>
      <c r="G136" s="110"/>
      <c r="H136" s="110"/>
      <c r="I136" s="110"/>
      <c r="J136" s="110"/>
      <c r="K136" s="111"/>
      <c r="L136" s="60" t="str">
        <f t="shared" si="2"/>
        <v/>
      </c>
    </row>
    <row r="137" spans="1:12" x14ac:dyDescent="0.2">
      <c r="A137" s="356" t="s">
        <v>10</v>
      </c>
      <c r="B137" s="131" t="s">
        <v>113</v>
      </c>
      <c r="C137" s="418" t="s">
        <v>65</v>
      </c>
      <c r="D137" s="427">
        <v>1</v>
      </c>
      <c r="E137" s="419"/>
      <c r="F137" s="415"/>
      <c r="G137" s="110"/>
      <c r="H137" s="110"/>
      <c r="I137" s="110"/>
      <c r="J137" s="110"/>
      <c r="K137" s="111"/>
      <c r="L137" s="60" t="str">
        <f t="shared" si="2"/>
        <v/>
      </c>
    </row>
    <row r="138" spans="1:12" x14ac:dyDescent="0.2">
      <c r="A138" s="1" t="s">
        <v>11</v>
      </c>
      <c r="B138" s="21" t="s">
        <v>31</v>
      </c>
      <c r="C138" s="318" t="s">
        <v>809</v>
      </c>
      <c r="D138" s="403">
        <v>0</v>
      </c>
      <c r="E138" s="419" t="s">
        <v>70</v>
      </c>
      <c r="F138" s="412" t="s">
        <v>78</v>
      </c>
      <c r="G138" s="74"/>
      <c r="H138" s="74"/>
      <c r="I138" s="74"/>
      <c r="J138" s="74"/>
      <c r="K138" s="85"/>
      <c r="L138" s="60" t="str">
        <f t="shared" si="2"/>
        <v/>
      </c>
    </row>
    <row r="139" spans="1:12" x14ac:dyDescent="0.2">
      <c r="A139" s="1" t="s">
        <v>11</v>
      </c>
      <c r="B139" s="21" t="s">
        <v>31</v>
      </c>
      <c r="C139" s="322" t="s">
        <v>810</v>
      </c>
      <c r="D139" s="403">
        <v>0</v>
      </c>
      <c r="E139" s="419" t="s">
        <v>70</v>
      </c>
      <c r="F139" s="412" t="s">
        <v>78</v>
      </c>
      <c r="G139" s="74"/>
      <c r="H139" s="74"/>
      <c r="I139" s="74"/>
      <c r="J139" s="74"/>
      <c r="K139" s="85"/>
      <c r="L139" s="60" t="str">
        <f t="shared" si="2"/>
        <v/>
      </c>
    </row>
    <row r="140" spans="1:12" x14ac:dyDescent="0.2">
      <c r="A140" s="1" t="s">
        <v>11</v>
      </c>
      <c r="B140" s="21" t="s">
        <v>31</v>
      </c>
      <c r="C140" s="323" t="s">
        <v>811</v>
      </c>
      <c r="D140" s="425">
        <v>1</v>
      </c>
      <c r="E140" s="419" t="s">
        <v>70</v>
      </c>
      <c r="F140" s="412" t="s">
        <v>78</v>
      </c>
      <c r="G140" s="65">
        <v>2</v>
      </c>
      <c r="H140" s="65">
        <v>3</v>
      </c>
      <c r="I140" s="65">
        <v>1</v>
      </c>
      <c r="J140" s="65">
        <v>1</v>
      </c>
      <c r="K140" s="66">
        <v>2</v>
      </c>
      <c r="L140" s="60">
        <f t="shared" si="2"/>
        <v>0.48935255543384243</v>
      </c>
    </row>
    <row r="141" spans="1:12" x14ac:dyDescent="0.2">
      <c r="A141" s="1" t="s">
        <v>11</v>
      </c>
      <c r="B141" s="21" t="s">
        <v>31</v>
      </c>
      <c r="C141" s="324" t="s">
        <v>812</v>
      </c>
      <c r="D141" s="403">
        <v>0</v>
      </c>
      <c r="E141" s="419" t="s">
        <v>70</v>
      </c>
      <c r="F141" s="412" t="s">
        <v>78</v>
      </c>
      <c r="G141" s="74"/>
      <c r="H141" s="74"/>
      <c r="I141" s="74"/>
      <c r="J141" s="74"/>
      <c r="K141" s="85"/>
      <c r="L141" s="60" t="str">
        <f t="shared" si="2"/>
        <v/>
      </c>
    </row>
    <row r="142" spans="1:12" x14ac:dyDescent="0.2">
      <c r="A142" s="1" t="s">
        <v>11</v>
      </c>
      <c r="B142" s="21" t="s">
        <v>31</v>
      </c>
      <c r="C142" s="325" t="s">
        <v>813</v>
      </c>
      <c r="D142" s="403">
        <v>0</v>
      </c>
      <c r="E142" s="419" t="s">
        <v>70</v>
      </c>
      <c r="F142" s="412" t="s">
        <v>78</v>
      </c>
      <c r="G142" s="74"/>
      <c r="H142" s="74"/>
      <c r="I142" s="74"/>
      <c r="J142" s="74"/>
      <c r="K142" s="85"/>
      <c r="L142" s="60" t="str">
        <f t="shared" si="2"/>
        <v/>
      </c>
    </row>
    <row r="143" spans="1:12" x14ac:dyDescent="0.2">
      <c r="A143" s="1" t="s">
        <v>11</v>
      </c>
      <c r="B143" s="21" t="s">
        <v>32</v>
      </c>
      <c r="C143" s="318" t="s">
        <v>809</v>
      </c>
      <c r="D143" s="403">
        <v>0</v>
      </c>
      <c r="E143" s="419" t="s">
        <v>70</v>
      </c>
      <c r="F143" s="412" t="s">
        <v>78</v>
      </c>
      <c r="G143" s="74"/>
      <c r="H143" s="74"/>
      <c r="I143" s="74"/>
      <c r="J143" s="74"/>
      <c r="K143" s="85"/>
      <c r="L143" s="60" t="str">
        <f t="shared" si="2"/>
        <v/>
      </c>
    </row>
    <row r="144" spans="1:12" x14ac:dyDescent="0.2">
      <c r="A144" s="1" t="s">
        <v>11</v>
      </c>
      <c r="B144" s="21" t="s">
        <v>32</v>
      </c>
      <c r="C144" s="322" t="s">
        <v>810</v>
      </c>
      <c r="D144" s="403">
        <v>0</v>
      </c>
      <c r="E144" s="419" t="s">
        <v>70</v>
      </c>
      <c r="F144" s="412" t="s">
        <v>78</v>
      </c>
      <c r="G144" s="74"/>
      <c r="H144" s="74"/>
      <c r="I144" s="74"/>
      <c r="J144" s="74"/>
      <c r="K144" s="85"/>
      <c r="L144" s="60" t="str">
        <f t="shared" si="2"/>
        <v/>
      </c>
    </row>
    <row r="145" spans="1:12" x14ac:dyDescent="0.2">
      <c r="A145" s="1" t="s">
        <v>11</v>
      </c>
      <c r="B145" s="21" t="s">
        <v>32</v>
      </c>
      <c r="C145" s="323" t="s">
        <v>811</v>
      </c>
      <c r="D145" s="403">
        <v>0</v>
      </c>
      <c r="E145" s="419" t="s">
        <v>70</v>
      </c>
      <c r="F145" s="412" t="s">
        <v>78</v>
      </c>
      <c r="G145" s="74"/>
      <c r="H145" s="74"/>
      <c r="I145" s="74"/>
      <c r="J145" s="74"/>
      <c r="K145" s="85"/>
      <c r="L145" s="60" t="str">
        <f t="shared" si="2"/>
        <v/>
      </c>
    </row>
    <row r="146" spans="1:12" x14ac:dyDescent="0.2">
      <c r="A146" s="1" t="s">
        <v>11</v>
      </c>
      <c r="B146" s="21" t="s">
        <v>32</v>
      </c>
      <c r="C146" s="324" t="s">
        <v>812</v>
      </c>
      <c r="D146" s="403">
        <v>0</v>
      </c>
      <c r="E146" s="419" t="s">
        <v>70</v>
      </c>
      <c r="F146" s="412" t="s">
        <v>78</v>
      </c>
      <c r="G146" s="74"/>
      <c r="H146" s="74"/>
      <c r="I146" s="74"/>
      <c r="J146" s="74"/>
      <c r="K146" s="85"/>
      <c r="L146" s="60" t="str">
        <f t="shared" si="2"/>
        <v/>
      </c>
    </row>
    <row r="147" spans="1:12" x14ac:dyDescent="0.2">
      <c r="A147" s="1" t="s">
        <v>11</v>
      </c>
      <c r="B147" s="21" t="s">
        <v>32</v>
      </c>
      <c r="C147" s="325" t="s">
        <v>813</v>
      </c>
      <c r="D147" s="403">
        <v>0</v>
      </c>
      <c r="E147" s="419" t="s">
        <v>70</v>
      </c>
      <c r="F147" s="412" t="s">
        <v>78</v>
      </c>
      <c r="G147" s="74"/>
      <c r="H147" s="74"/>
      <c r="I147" s="74"/>
      <c r="J147" s="74"/>
      <c r="K147" s="85"/>
      <c r="L147" s="60" t="str">
        <f t="shared" si="2"/>
        <v/>
      </c>
    </row>
    <row r="148" spans="1:12" x14ac:dyDescent="0.2">
      <c r="A148" s="1" t="s">
        <v>11</v>
      </c>
      <c r="B148" s="21" t="s">
        <v>33</v>
      </c>
      <c r="C148" s="318" t="s">
        <v>809</v>
      </c>
      <c r="D148" s="428">
        <v>1</v>
      </c>
      <c r="E148" s="419" t="s">
        <v>70</v>
      </c>
      <c r="F148" s="412" t="s">
        <v>78</v>
      </c>
      <c r="G148" s="65">
        <v>2</v>
      </c>
      <c r="H148" s="65">
        <v>3</v>
      </c>
      <c r="I148" s="65">
        <v>1</v>
      </c>
      <c r="J148" s="65">
        <v>1</v>
      </c>
      <c r="K148" s="66">
        <v>2</v>
      </c>
      <c r="L148" s="60">
        <f t="shared" si="2"/>
        <v>0.48935255543384243</v>
      </c>
    </row>
    <row r="149" spans="1:12" x14ac:dyDescent="0.2">
      <c r="A149" s="1" t="s">
        <v>11</v>
      </c>
      <c r="B149" s="21" t="s">
        <v>33</v>
      </c>
      <c r="C149" s="322" t="s">
        <v>810</v>
      </c>
      <c r="D149" s="403">
        <v>0</v>
      </c>
      <c r="E149" s="419" t="s">
        <v>70</v>
      </c>
      <c r="F149" s="412" t="s">
        <v>78</v>
      </c>
      <c r="G149" s="74"/>
      <c r="H149" s="74"/>
      <c r="I149" s="74"/>
      <c r="J149" s="74"/>
      <c r="K149" s="85"/>
      <c r="L149" s="60" t="str">
        <f t="shared" si="2"/>
        <v/>
      </c>
    </row>
    <row r="150" spans="1:12" x14ac:dyDescent="0.2">
      <c r="A150" s="1" t="s">
        <v>11</v>
      </c>
      <c r="B150" s="21" t="s">
        <v>33</v>
      </c>
      <c r="C150" s="323" t="s">
        <v>811</v>
      </c>
      <c r="D150" s="403">
        <v>0</v>
      </c>
      <c r="E150" s="419" t="s">
        <v>70</v>
      </c>
      <c r="F150" s="412" t="s">
        <v>78</v>
      </c>
      <c r="G150" s="74"/>
      <c r="H150" s="74"/>
      <c r="I150" s="74"/>
      <c r="J150" s="74"/>
      <c r="K150" s="85"/>
      <c r="L150" s="60" t="str">
        <f t="shared" si="2"/>
        <v/>
      </c>
    </row>
    <row r="151" spans="1:12" x14ac:dyDescent="0.2">
      <c r="A151" s="1" t="s">
        <v>11</v>
      </c>
      <c r="B151" s="21" t="s">
        <v>33</v>
      </c>
      <c r="C151" s="324" t="s">
        <v>812</v>
      </c>
      <c r="D151" s="428">
        <v>1</v>
      </c>
      <c r="E151" s="419" t="s">
        <v>70</v>
      </c>
      <c r="F151" s="412" t="s">
        <v>78</v>
      </c>
      <c r="G151" s="65">
        <v>2</v>
      </c>
      <c r="H151" s="65">
        <v>3</v>
      </c>
      <c r="I151" s="65">
        <v>1</v>
      </c>
      <c r="J151" s="65">
        <v>1</v>
      </c>
      <c r="K151" s="66">
        <v>2</v>
      </c>
      <c r="L151" s="60">
        <f t="shared" si="2"/>
        <v>0.48935255543384243</v>
      </c>
    </row>
    <row r="152" spans="1:12" x14ac:dyDescent="0.2">
      <c r="A152" s="355" t="s">
        <v>11</v>
      </c>
      <c r="B152" s="409" t="s">
        <v>33</v>
      </c>
      <c r="C152" s="325" t="s">
        <v>813</v>
      </c>
      <c r="D152" s="428">
        <v>1</v>
      </c>
      <c r="E152" s="419" t="s">
        <v>70</v>
      </c>
      <c r="F152" s="412" t="s">
        <v>78</v>
      </c>
      <c r="G152" s="65">
        <v>2</v>
      </c>
      <c r="H152" s="65">
        <v>3</v>
      </c>
      <c r="I152" s="65">
        <v>1</v>
      </c>
      <c r="J152" s="65">
        <v>1</v>
      </c>
      <c r="K152" s="66">
        <v>2</v>
      </c>
      <c r="L152" s="60">
        <f t="shared" si="2"/>
        <v>0.48935255543384243</v>
      </c>
    </row>
    <row r="153" spans="1:12" x14ac:dyDescent="0.2">
      <c r="A153" s="1" t="s">
        <v>12</v>
      </c>
      <c r="B153" s="21" t="s">
        <v>34</v>
      </c>
      <c r="C153" s="318" t="s">
        <v>809</v>
      </c>
      <c r="D153" s="422">
        <v>0.13</v>
      </c>
      <c r="E153" s="419" t="s">
        <v>99</v>
      </c>
      <c r="F153" s="412" t="s">
        <v>78</v>
      </c>
      <c r="G153" s="65">
        <v>2</v>
      </c>
      <c r="H153" s="65">
        <v>1</v>
      </c>
      <c r="I153" s="65">
        <v>3</v>
      </c>
      <c r="J153" s="65">
        <v>1</v>
      </c>
      <c r="K153" s="66">
        <v>3</v>
      </c>
      <c r="L153" s="60">
        <f t="shared" si="2"/>
        <v>1.0725046436742278</v>
      </c>
    </row>
    <row r="154" spans="1:12" x14ac:dyDescent="0.2">
      <c r="A154" s="1" t="s">
        <v>12</v>
      </c>
      <c r="B154" s="21" t="s">
        <v>34</v>
      </c>
      <c r="C154" s="322" t="s">
        <v>810</v>
      </c>
      <c r="D154" s="403">
        <v>0</v>
      </c>
      <c r="E154" s="249"/>
      <c r="F154" s="412" t="s">
        <v>78</v>
      </c>
      <c r="G154" s="74"/>
      <c r="H154" s="74"/>
      <c r="I154" s="74"/>
      <c r="J154" s="74"/>
      <c r="K154" s="85"/>
      <c r="L154" s="60" t="str">
        <f t="shared" si="2"/>
        <v/>
      </c>
    </row>
    <row r="155" spans="1:12" x14ac:dyDescent="0.2">
      <c r="A155" s="1" t="s">
        <v>12</v>
      </c>
      <c r="B155" s="21" t="s">
        <v>34</v>
      </c>
      <c r="C155" s="323" t="s">
        <v>811</v>
      </c>
      <c r="D155" s="422">
        <v>0.34</v>
      </c>
      <c r="E155" s="419" t="s">
        <v>99</v>
      </c>
      <c r="F155" s="412" t="s">
        <v>78</v>
      </c>
      <c r="G155" s="65">
        <v>2</v>
      </c>
      <c r="H155" s="65">
        <v>2</v>
      </c>
      <c r="I155" s="65">
        <v>1</v>
      </c>
      <c r="J155" s="65">
        <v>1</v>
      </c>
      <c r="K155" s="66">
        <v>2</v>
      </c>
      <c r="L155" s="60">
        <f t="shared" si="2"/>
        <v>0.37356464144298934</v>
      </c>
    </row>
    <row r="156" spans="1:12" x14ac:dyDescent="0.2">
      <c r="A156" s="1" t="s">
        <v>12</v>
      </c>
      <c r="B156" s="21" t="s">
        <v>34</v>
      </c>
      <c r="C156" s="324" t="s">
        <v>812</v>
      </c>
      <c r="D156" s="422">
        <v>0.73</v>
      </c>
      <c r="E156" s="419" t="s">
        <v>99</v>
      </c>
      <c r="F156" s="412" t="s">
        <v>78</v>
      </c>
      <c r="G156" s="65">
        <v>2</v>
      </c>
      <c r="H156" s="65">
        <v>2</v>
      </c>
      <c r="I156" s="65">
        <v>1</v>
      </c>
      <c r="J156" s="65">
        <v>1</v>
      </c>
      <c r="K156" s="66">
        <v>2</v>
      </c>
      <c r="L156" s="60">
        <f t="shared" si="2"/>
        <v>0.37356464144298934</v>
      </c>
    </row>
    <row r="157" spans="1:12" x14ac:dyDescent="0.2">
      <c r="A157" s="1" t="s">
        <v>12</v>
      </c>
      <c r="B157" s="21" t="s">
        <v>34</v>
      </c>
      <c r="C157" s="325" t="s">
        <v>813</v>
      </c>
      <c r="D157" s="422">
        <v>0.35</v>
      </c>
      <c r="E157" s="419"/>
      <c r="F157" s="412" t="s">
        <v>78</v>
      </c>
      <c r="G157" s="65">
        <v>2</v>
      </c>
      <c r="H157" s="65">
        <v>1</v>
      </c>
      <c r="I157" s="65">
        <v>3</v>
      </c>
      <c r="J157" s="65">
        <v>1</v>
      </c>
      <c r="K157" s="66">
        <v>3</v>
      </c>
      <c r="L157" s="60">
        <f t="shared" si="2"/>
        <v>1.0725046436742278</v>
      </c>
    </row>
    <row r="158" spans="1:12" x14ac:dyDescent="0.2">
      <c r="A158" s="1" t="s">
        <v>12</v>
      </c>
      <c r="B158" s="21" t="s">
        <v>35</v>
      </c>
      <c r="C158" s="318" t="s">
        <v>809</v>
      </c>
      <c r="D158" s="422">
        <v>0.62</v>
      </c>
      <c r="E158" s="419" t="s">
        <v>265</v>
      </c>
      <c r="F158" s="412" t="s">
        <v>78</v>
      </c>
      <c r="G158" s="65">
        <v>2</v>
      </c>
      <c r="H158" s="65">
        <v>1</v>
      </c>
      <c r="I158" s="65">
        <v>3</v>
      </c>
      <c r="J158" s="65">
        <v>1</v>
      </c>
      <c r="K158" s="66">
        <v>3</v>
      </c>
      <c r="L158" s="60">
        <f t="shared" si="2"/>
        <v>1.0725046436742278</v>
      </c>
    </row>
    <row r="159" spans="1:12" x14ac:dyDescent="0.2">
      <c r="A159" s="1" t="s">
        <v>12</v>
      </c>
      <c r="B159" s="21" t="s">
        <v>35</v>
      </c>
      <c r="C159" s="322" t="s">
        <v>810</v>
      </c>
      <c r="D159" s="403">
        <v>0</v>
      </c>
      <c r="E159" s="419" t="s">
        <v>99</v>
      </c>
      <c r="F159" s="412" t="s">
        <v>78</v>
      </c>
      <c r="K159" s="66"/>
      <c r="L159" s="60" t="str">
        <f t="shared" si="2"/>
        <v/>
      </c>
    </row>
    <row r="160" spans="1:12" x14ac:dyDescent="0.2">
      <c r="A160" s="1" t="s">
        <v>12</v>
      </c>
      <c r="B160" s="21" t="s">
        <v>35</v>
      </c>
      <c r="C160" s="323" t="s">
        <v>811</v>
      </c>
      <c r="D160" s="422">
        <v>0.12</v>
      </c>
      <c r="E160" s="419" t="s">
        <v>265</v>
      </c>
      <c r="F160" s="412" t="s">
        <v>78</v>
      </c>
      <c r="G160" s="65">
        <v>2</v>
      </c>
      <c r="H160" s="65">
        <v>1</v>
      </c>
      <c r="I160" s="65">
        <v>3</v>
      </c>
      <c r="J160" s="65">
        <v>1</v>
      </c>
      <c r="K160" s="66">
        <v>3</v>
      </c>
      <c r="L160" s="60">
        <f t="shared" si="2"/>
        <v>1.0725046436742278</v>
      </c>
    </row>
    <row r="161" spans="1:12" x14ac:dyDescent="0.2">
      <c r="A161" s="1" t="s">
        <v>12</v>
      </c>
      <c r="B161" s="21" t="s">
        <v>35</v>
      </c>
      <c r="C161" s="324" t="s">
        <v>812</v>
      </c>
      <c r="D161" s="403">
        <v>0</v>
      </c>
      <c r="E161" s="249"/>
      <c r="F161" s="412" t="s">
        <v>78</v>
      </c>
      <c r="G161" s="74"/>
      <c r="H161" s="74"/>
      <c r="I161" s="74"/>
      <c r="J161" s="74"/>
      <c r="K161" s="85"/>
      <c r="L161" s="60" t="str">
        <f t="shared" si="2"/>
        <v/>
      </c>
    </row>
    <row r="162" spans="1:12" x14ac:dyDescent="0.2">
      <c r="A162" s="1" t="s">
        <v>12</v>
      </c>
      <c r="B162" s="21" t="s">
        <v>35</v>
      </c>
      <c r="C162" s="325" t="s">
        <v>813</v>
      </c>
      <c r="D162" s="403">
        <v>0</v>
      </c>
      <c r="E162" s="419"/>
      <c r="F162" s="412" t="s">
        <v>78</v>
      </c>
      <c r="G162" s="74"/>
      <c r="H162" s="74"/>
      <c r="I162" s="74"/>
      <c r="J162" s="74"/>
      <c r="K162" s="85"/>
      <c r="L162" s="60" t="str">
        <f t="shared" si="2"/>
        <v/>
      </c>
    </row>
    <row r="163" spans="1:12" x14ac:dyDescent="0.2">
      <c r="A163" s="1" t="s">
        <v>12</v>
      </c>
      <c r="B163" s="21" t="s">
        <v>36</v>
      </c>
      <c r="C163" s="318" t="s">
        <v>809</v>
      </c>
      <c r="D163" s="422">
        <v>0.1</v>
      </c>
      <c r="E163" s="419"/>
      <c r="F163" s="412" t="s">
        <v>78</v>
      </c>
      <c r="G163" s="65">
        <v>2</v>
      </c>
      <c r="H163" s="65">
        <v>1</v>
      </c>
      <c r="I163" s="65">
        <v>3</v>
      </c>
      <c r="J163" s="65">
        <v>1</v>
      </c>
      <c r="K163" s="66">
        <v>3</v>
      </c>
      <c r="L163" s="60">
        <f t="shared" si="2"/>
        <v>1.0725046436742278</v>
      </c>
    </row>
    <row r="164" spans="1:12" x14ac:dyDescent="0.2">
      <c r="A164" s="1" t="s">
        <v>12</v>
      </c>
      <c r="B164" s="21" t="s">
        <v>36</v>
      </c>
      <c r="C164" s="322" t="s">
        <v>810</v>
      </c>
      <c r="D164" s="403">
        <v>0</v>
      </c>
      <c r="E164" s="419"/>
      <c r="F164" s="412" t="s">
        <v>78</v>
      </c>
      <c r="G164" s="74"/>
      <c r="H164" s="74"/>
      <c r="I164" s="74"/>
      <c r="J164" s="74"/>
      <c r="K164" s="85"/>
      <c r="L164" s="60" t="str">
        <f t="shared" si="2"/>
        <v/>
      </c>
    </row>
    <row r="165" spans="1:12" x14ac:dyDescent="0.2">
      <c r="A165" s="1" t="s">
        <v>12</v>
      </c>
      <c r="B165" s="21" t="s">
        <v>36</v>
      </c>
      <c r="C165" s="323" t="s">
        <v>811</v>
      </c>
      <c r="D165" s="422">
        <v>0.23</v>
      </c>
      <c r="E165" s="419"/>
      <c r="F165" s="412" t="s">
        <v>78</v>
      </c>
      <c r="G165" s="65">
        <v>2</v>
      </c>
      <c r="H165" s="65">
        <v>1</v>
      </c>
      <c r="I165" s="65">
        <v>3</v>
      </c>
      <c r="J165" s="65">
        <v>1</v>
      </c>
      <c r="K165" s="66">
        <v>3</v>
      </c>
      <c r="L165" s="60">
        <f t="shared" si="2"/>
        <v>1.0725046436742278</v>
      </c>
    </row>
    <row r="166" spans="1:12" x14ac:dyDescent="0.2">
      <c r="A166" s="1" t="s">
        <v>12</v>
      </c>
      <c r="B166" s="21" t="s">
        <v>36</v>
      </c>
      <c r="C166" s="324" t="s">
        <v>812</v>
      </c>
      <c r="D166" s="403">
        <v>0</v>
      </c>
      <c r="E166" s="419"/>
      <c r="F166" s="412" t="s">
        <v>78</v>
      </c>
      <c r="G166" s="74"/>
      <c r="H166" s="74"/>
      <c r="I166" s="74"/>
      <c r="J166" s="74"/>
      <c r="K166" s="85"/>
      <c r="L166" s="60" t="str">
        <f t="shared" si="2"/>
        <v/>
      </c>
    </row>
    <row r="167" spans="1:12" x14ac:dyDescent="0.2">
      <c r="A167" s="1" t="s">
        <v>12</v>
      </c>
      <c r="B167" s="21" t="s">
        <v>36</v>
      </c>
      <c r="C167" s="325" t="s">
        <v>813</v>
      </c>
      <c r="D167" s="403">
        <v>0</v>
      </c>
      <c r="E167" s="419"/>
      <c r="F167" s="412" t="s">
        <v>78</v>
      </c>
      <c r="G167" s="74"/>
      <c r="H167" s="74"/>
      <c r="I167" s="74"/>
      <c r="J167" s="74"/>
      <c r="K167" s="85"/>
      <c r="L167" s="60" t="str">
        <f t="shared" si="2"/>
        <v/>
      </c>
    </row>
    <row r="168" spans="1:12" x14ac:dyDescent="0.2">
      <c r="A168" s="1" t="s">
        <v>12</v>
      </c>
      <c r="B168" s="21" t="s">
        <v>37</v>
      </c>
      <c r="C168" s="318" t="s">
        <v>809</v>
      </c>
      <c r="D168" s="428">
        <v>1E-3</v>
      </c>
      <c r="E168" s="419" t="s">
        <v>830</v>
      </c>
      <c r="F168" s="412" t="s">
        <v>78</v>
      </c>
      <c r="G168" s="65">
        <v>2</v>
      </c>
      <c r="H168" s="65">
        <v>1</v>
      </c>
      <c r="I168" s="65">
        <v>3</v>
      </c>
      <c r="J168" s="65">
        <v>1</v>
      </c>
      <c r="K168" s="66">
        <v>3</v>
      </c>
      <c r="L168" s="60">
        <f t="shared" si="2"/>
        <v>1.0725046436742278</v>
      </c>
    </row>
    <row r="169" spans="1:12" x14ac:dyDescent="0.2">
      <c r="A169" s="1" t="s">
        <v>12</v>
      </c>
      <c r="B169" s="21" t="s">
        <v>37</v>
      </c>
      <c r="C169" s="322" t="s">
        <v>810</v>
      </c>
      <c r="D169" s="403">
        <v>0</v>
      </c>
      <c r="E169" s="249"/>
      <c r="F169" s="412" t="s">
        <v>78</v>
      </c>
      <c r="G169" s="74"/>
      <c r="H169" s="74"/>
      <c r="I169" s="74"/>
      <c r="J169" s="74"/>
      <c r="K169" s="85"/>
      <c r="L169" s="60" t="str">
        <f t="shared" si="2"/>
        <v/>
      </c>
    </row>
    <row r="170" spans="1:12" x14ac:dyDescent="0.2">
      <c r="A170" s="1" t="s">
        <v>12</v>
      </c>
      <c r="B170" s="21" t="s">
        <v>37</v>
      </c>
      <c r="C170" s="323" t="s">
        <v>811</v>
      </c>
      <c r="D170" s="428">
        <v>1E-3</v>
      </c>
      <c r="E170" s="419" t="s">
        <v>830</v>
      </c>
      <c r="F170" s="412" t="s">
        <v>78</v>
      </c>
      <c r="G170" s="65">
        <v>2</v>
      </c>
      <c r="H170" s="65">
        <v>1</v>
      </c>
      <c r="I170" s="65">
        <v>3</v>
      </c>
      <c r="J170" s="65">
        <v>1</v>
      </c>
      <c r="K170" s="66">
        <v>3</v>
      </c>
      <c r="L170" s="60">
        <f t="shared" si="2"/>
        <v>1.0725046436742278</v>
      </c>
    </row>
    <row r="171" spans="1:12" x14ac:dyDescent="0.2">
      <c r="A171" s="1" t="s">
        <v>12</v>
      </c>
      <c r="B171" s="21" t="s">
        <v>37</v>
      </c>
      <c r="C171" s="324" t="s">
        <v>812</v>
      </c>
      <c r="D171" s="403">
        <v>0</v>
      </c>
      <c r="E171" s="419"/>
      <c r="F171" s="412" t="s">
        <v>78</v>
      </c>
      <c r="G171" s="74"/>
      <c r="H171" s="74"/>
      <c r="I171" s="74"/>
      <c r="J171" s="74"/>
      <c r="K171" s="85"/>
      <c r="L171" s="60" t="str">
        <f t="shared" si="2"/>
        <v/>
      </c>
    </row>
    <row r="172" spans="1:12" x14ac:dyDescent="0.2">
      <c r="A172" s="1" t="s">
        <v>12</v>
      </c>
      <c r="B172" s="21" t="s">
        <v>37</v>
      </c>
      <c r="C172" s="325" t="s">
        <v>813</v>
      </c>
      <c r="D172" s="403">
        <v>0</v>
      </c>
      <c r="E172" s="419"/>
      <c r="F172" s="412" t="s">
        <v>78</v>
      </c>
      <c r="G172" s="74"/>
      <c r="H172" s="74"/>
      <c r="I172" s="74"/>
      <c r="J172" s="74"/>
      <c r="K172" s="85"/>
      <c r="L172" s="60" t="str">
        <f t="shared" si="2"/>
        <v/>
      </c>
    </row>
    <row r="173" spans="1:12" x14ac:dyDescent="0.2">
      <c r="A173" s="1" t="s">
        <v>12</v>
      </c>
      <c r="B173" s="21" t="s">
        <v>38</v>
      </c>
      <c r="C173" s="318" t="s">
        <v>809</v>
      </c>
      <c r="D173" s="427" t="s">
        <v>56</v>
      </c>
      <c r="E173" s="419"/>
      <c r="F173" s="412" t="s">
        <v>78</v>
      </c>
      <c r="G173" s="74"/>
      <c r="H173" s="74"/>
      <c r="I173" s="74"/>
      <c r="J173" s="74"/>
      <c r="K173" s="85"/>
      <c r="L173" s="60" t="str">
        <f t="shared" si="2"/>
        <v/>
      </c>
    </row>
    <row r="174" spans="1:12" x14ac:dyDescent="0.2">
      <c r="A174" s="1" t="s">
        <v>12</v>
      </c>
      <c r="B174" s="21" t="s">
        <v>38</v>
      </c>
      <c r="C174" s="322" t="s">
        <v>810</v>
      </c>
      <c r="D174" s="427" t="s">
        <v>56</v>
      </c>
      <c r="E174" s="419"/>
      <c r="F174" s="412" t="s">
        <v>78</v>
      </c>
      <c r="G174" s="74"/>
      <c r="H174" s="74"/>
      <c r="I174" s="74"/>
      <c r="J174" s="74"/>
      <c r="K174" s="85"/>
      <c r="L174" s="60" t="str">
        <f t="shared" si="2"/>
        <v/>
      </c>
    </row>
    <row r="175" spans="1:12" x14ac:dyDescent="0.2">
      <c r="A175" s="1" t="s">
        <v>12</v>
      </c>
      <c r="B175" s="21" t="s">
        <v>38</v>
      </c>
      <c r="C175" s="323" t="s">
        <v>811</v>
      </c>
      <c r="D175" s="427" t="s">
        <v>56</v>
      </c>
      <c r="E175" s="419"/>
      <c r="F175" s="412" t="s">
        <v>78</v>
      </c>
      <c r="G175" s="74"/>
      <c r="H175" s="74"/>
      <c r="I175" s="74"/>
      <c r="J175" s="74"/>
      <c r="K175" s="85"/>
      <c r="L175" s="60" t="str">
        <f t="shared" si="2"/>
        <v/>
      </c>
    </row>
    <row r="176" spans="1:12" x14ac:dyDescent="0.2">
      <c r="A176" s="1" t="s">
        <v>12</v>
      </c>
      <c r="B176" s="21" t="s">
        <v>38</v>
      </c>
      <c r="C176" s="324" t="s">
        <v>812</v>
      </c>
      <c r="D176" s="427" t="s">
        <v>56</v>
      </c>
      <c r="E176" s="419"/>
      <c r="F176" s="412" t="s">
        <v>78</v>
      </c>
      <c r="G176" s="74"/>
      <c r="H176" s="74"/>
      <c r="I176" s="74"/>
      <c r="J176" s="74"/>
      <c r="K176" s="85"/>
      <c r="L176" s="60" t="str">
        <f t="shared" si="2"/>
        <v/>
      </c>
    </row>
    <row r="177" spans="1:12" x14ac:dyDescent="0.2">
      <c r="A177" s="1" t="s">
        <v>12</v>
      </c>
      <c r="B177" s="21" t="s">
        <v>38</v>
      </c>
      <c r="C177" s="325" t="s">
        <v>813</v>
      </c>
      <c r="D177" s="427" t="s">
        <v>56</v>
      </c>
      <c r="E177" s="419"/>
      <c r="F177" s="412" t="s">
        <v>78</v>
      </c>
      <c r="G177" s="74"/>
      <c r="H177" s="74"/>
      <c r="I177" s="74"/>
      <c r="J177" s="74"/>
      <c r="K177" s="85"/>
      <c r="L177" s="60" t="str">
        <f t="shared" si="2"/>
        <v/>
      </c>
    </row>
    <row r="178" spans="1:12" x14ac:dyDescent="0.2">
      <c r="A178" s="356" t="s">
        <v>86</v>
      </c>
      <c r="B178" s="131" t="s">
        <v>114</v>
      </c>
      <c r="C178" s="418" t="s">
        <v>65</v>
      </c>
      <c r="D178" s="424">
        <v>1</v>
      </c>
      <c r="E178" s="419"/>
      <c r="F178" s="415"/>
      <c r="G178" s="110"/>
      <c r="H178" s="110"/>
      <c r="I178" s="110"/>
      <c r="J178" s="110"/>
      <c r="K178" s="111"/>
      <c r="L178" s="60" t="str">
        <f t="shared" si="2"/>
        <v/>
      </c>
    </row>
    <row r="179" spans="1:12" x14ac:dyDescent="0.2">
      <c r="A179" s="356" t="s">
        <v>39</v>
      </c>
      <c r="B179" s="131" t="s">
        <v>115</v>
      </c>
      <c r="C179" s="418" t="s">
        <v>65</v>
      </c>
      <c r="D179" s="424">
        <v>1</v>
      </c>
      <c r="E179" s="419"/>
      <c r="F179" s="415"/>
      <c r="G179" s="110"/>
      <c r="H179" s="110"/>
      <c r="I179" s="110"/>
      <c r="J179" s="110"/>
      <c r="K179" s="111"/>
      <c r="L179" s="60" t="str">
        <f t="shared" si="2"/>
        <v/>
      </c>
    </row>
    <row r="180" spans="1:12" x14ac:dyDescent="0.2">
      <c r="A180" s="357" t="s">
        <v>40</v>
      </c>
      <c r="B180" s="25" t="s">
        <v>87</v>
      </c>
      <c r="C180" s="318" t="s">
        <v>809</v>
      </c>
      <c r="D180" s="422">
        <v>7.0000000000000007E-2</v>
      </c>
      <c r="E180" s="419" t="s">
        <v>94</v>
      </c>
      <c r="F180" s="413" t="s">
        <v>78</v>
      </c>
      <c r="G180" s="65">
        <v>2</v>
      </c>
      <c r="H180" s="65">
        <v>2</v>
      </c>
      <c r="I180" s="65">
        <v>1</v>
      </c>
      <c r="J180" s="65">
        <v>1</v>
      </c>
      <c r="K180" s="66">
        <v>2</v>
      </c>
      <c r="L180" s="60">
        <f t="shared" si="2"/>
        <v>0.37356464144298934</v>
      </c>
    </row>
    <row r="181" spans="1:12" x14ac:dyDescent="0.2">
      <c r="A181" s="1" t="s">
        <v>40</v>
      </c>
      <c r="B181" s="21" t="s">
        <v>87</v>
      </c>
      <c r="C181" s="322" t="s">
        <v>810</v>
      </c>
      <c r="D181" s="424">
        <v>0</v>
      </c>
      <c r="E181" s="419"/>
      <c r="F181" s="412" t="s">
        <v>78</v>
      </c>
      <c r="G181" s="61"/>
      <c r="H181" s="61"/>
      <c r="I181" s="61"/>
      <c r="J181" s="61"/>
      <c r="K181" s="30"/>
      <c r="L181" s="60" t="str">
        <f t="shared" si="2"/>
        <v/>
      </c>
    </row>
    <row r="182" spans="1:12" x14ac:dyDescent="0.2">
      <c r="A182" s="1" t="s">
        <v>40</v>
      </c>
      <c r="B182" s="21" t="s">
        <v>87</v>
      </c>
      <c r="C182" s="323" t="s">
        <v>811</v>
      </c>
      <c r="D182" s="425">
        <v>7.0000000000000007E-2</v>
      </c>
      <c r="E182" s="419" t="s">
        <v>820</v>
      </c>
      <c r="F182" s="412" t="s">
        <v>78</v>
      </c>
      <c r="G182" s="65">
        <v>2</v>
      </c>
      <c r="H182" s="65">
        <v>2</v>
      </c>
      <c r="I182" s="65">
        <v>1</v>
      </c>
      <c r="J182" s="65">
        <v>1</v>
      </c>
      <c r="K182" s="66">
        <v>2</v>
      </c>
      <c r="L182" s="60">
        <f t="shared" si="2"/>
        <v>0.37356464144298934</v>
      </c>
    </row>
    <row r="183" spans="1:12" x14ac:dyDescent="0.2">
      <c r="A183" s="1" t="s">
        <v>40</v>
      </c>
      <c r="B183" s="21" t="s">
        <v>87</v>
      </c>
      <c r="C183" s="324" t="s">
        <v>812</v>
      </c>
      <c r="D183" s="424">
        <v>0</v>
      </c>
      <c r="E183" s="419"/>
      <c r="F183" s="412" t="s">
        <v>78</v>
      </c>
      <c r="G183" s="74"/>
      <c r="H183" s="74"/>
      <c r="I183" s="74"/>
      <c r="J183" s="74"/>
      <c r="K183" s="85"/>
      <c r="L183" s="60" t="str">
        <f t="shared" si="2"/>
        <v/>
      </c>
    </row>
    <row r="184" spans="1:12" x14ac:dyDescent="0.2">
      <c r="A184" s="1" t="s">
        <v>40</v>
      </c>
      <c r="B184" s="21" t="s">
        <v>87</v>
      </c>
      <c r="C184" s="325" t="s">
        <v>813</v>
      </c>
      <c r="D184" s="424">
        <v>0</v>
      </c>
      <c r="E184" s="419"/>
      <c r="F184" s="412" t="s">
        <v>78</v>
      </c>
      <c r="G184" s="74"/>
      <c r="H184" s="74"/>
      <c r="I184" s="74"/>
      <c r="J184" s="74"/>
      <c r="K184" s="85"/>
      <c r="L184" s="60" t="str">
        <f t="shared" si="2"/>
        <v/>
      </c>
    </row>
    <row r="185" spans="1:12" x14ac:dyDescent="0.2">
      <c r="A185" s="1" t="s">
        <v>40</v>
      </c>
      <c r="B185" s="21" t="s">
        <v>88</v>
      </c>
      <c r="C185" s="318" t="s">
        <v>809</v>
      </c>
      <c r="D185" s="424">
        <v>0</v>
      </c>
      <c r="E185" s="419"/>
      <c r="F185" s="412" t="s">
        <v>78</v>
      </c>
      <c r="G185" s="74"/>
      <c r="H185" s="74"/>
      <c r="I185" s="74"/>
      <c r="J185" s="74"/>
      <c r="K185" s="85"/>
      <c r="L185" s="60" t="str">
        <f t="shared" si="2"/>
        <v/>
      </c>
    </row>
    <row r="186" spans="1:12" x14ac:dyDescent="0.2">
      <c r="A186" s="1" t="s">
        <v>40</v>
      </c>
      <c r="B186" s="21" t="s">
        <v>88</v>
      </c>
      <c r="C186" s="322" t="s">
        <v>810</v>
      </c>
      <c r="D186" s="424">
        <v>0</v>
      </c>
      <c r="E186" s="419"/>
      <c r="F186" s="412" t="s">
        <v>78</v>
      </c>
      <c r="G186" s="74"/>
      <c r="H186" s="74"/>
      <c r="I186" s="74"/>
      <c r="J186" s="74"/>
      <c r="K186" s="85"/>
      <c r="L186" s="60" t="str">
        <f t="shared" si="2"/>
        <v/>
      </c>
    </row>
    <row r="187" spans="1:12" x14ac:dyDescent="0.2">
      <c r="A187" s="1" t="s">
        <v>40</v>
      </c>
      <c r="B187" s="21" t="s">
        <v>88</v>
      </c>
      <c r="C187" s="323" t="s">
        <v>811</v>
      </c>
      <c r="D187" s="425">
        <v>4.2000000000000003E-2</v>
      </c>
      <c r="E187" s="419" t="s">
        <v>820</v>
      </c>
      <c r="F187" s="412" t="s">
        <v>78</v>
      </c>
      <c r="G187" s="65">
        <v>2</v>
      </c>
      <c r="H187" s="65">
        <v>2</v>
      </c>
      <c r="I187" s="65">
        <v>1</v>
      </c>
      <c r="J187" s="65">
        <v>1</v>
      </c>
      <c r="K187" s="66">
        <v>2</v>
      </c>
      <c r="L187" s="60">
        <f t="shared" si="2"/>
        <v>0.37356464144298934</v>
      </c>
    </row>
    <row r="188" spans="1:12" x14ac:dyDescent="0.2">
      <c r="A188" s="1" t="s">
        <v>40</v>
      </c>
      <c r="B188" s="21" t="s">
        <v>88</v>
      </c>
      <c r="C188" s="324" t="s">
        <v>812</v>
      </c>
      <c r="D188" s="424">
        <v>0</v>
      </c>
      <c r="E188" s="419"/>
      <c r="F188" s="412" t="s">
        <v>78</v>
      </c>
      <c r="G188" s="74"/>
      <c r="H188" s="74"/>
      <c r="I188" s="74"/>
      <c r="J188" s="74"/>
      <c r="K188" s="85"/>
      <c r="L188" s="60" t="str">
        <f t="shared" si="2"/>
        <v/>
      </c>
    </row>
    <row r="189" spans="1:12" x14ac:dyDescent="0.2">
      <c r="A189" s="1" t="s">
        <v>40</v>
      </c>
      <c r="B189" s="21" t="s">
        <v>88</v>
      </c>
      <c r="C189" s="325" t="s">
        <v>813</v>
      </c>
      <c r="D189" s="424">
        <v>0</v>
      </c>
      <c r="E189" s="419"/>
      <c r="F189" s="412" t="s">
        <v>78</v>
      </c>
      <c r="G189" s="74"/>
      <c r="H189" s="74"/>
      <c r="I189" s="74"/>
      <c r="J189" s="74"/>
      <c r="K189" s="85"/>
      <c r="L189" s="60" t="str">
        <f t="shared" si="2"/>
        <v/>
      </c>
    </row>
    <row r="190" spans="1:12" x14ac:dyDescent="0.2">
      <c r="A190" s="1" t="s">
        <v>40</v>
      </c>
      <c r="B190" s="21" t="s">
        <v>89</v>
      </c>
      <c r="C190" s="318" t="s">
        <v>809</v>
      </c>
      <c r="D190" s="422">
        <v>0.23</v>
      </c>
      <c r="E190" s="419" t="s">
        <v>94</v>
      </c>
      <c r="F190" s="412" t="s">
        <v>78</v>
      </c>
      <c r="G190" s="65">
        <v>2</v>
      </c>
      <c r="H190" s="65">
        <v>2</v>
      </c>
      <c r="I190" s="65">
        <v>1</v>
      </c>
      <c r="J190" s="65">
        <v>1</v>
      </c>
      <c r="K190" s="66">
        <v>2</v>
      </c>
      <c r="L190" s="60">
        <f t="shared" si="2"/>
        <v>0.37356464144298934</v>
      </c>
    </row>
    <row r="191" spans="1:12" x14ac:dyDescent="0.2">
      <c r="A191" s="1" t="s">
        <v>40</v>
      </c>
      <c r="B191" s="21" t="s">
        <v>89</v>
      </c>
      <c r="C191" s="322" t="s">
        <v>810</v>
      </c>
      <c r="D191" s="424">
        <v>0</v>
      </c>
      <c r="E191" s="419"/>
      <c r="F191" s="412" t="s">
        <v>78</v>
      </c>
      <c r="G191" s="74"/>
      <c r="H191" s="74"/>
      <c r="I191" s="74"/>
      <c r="J191" s="74"/>
      <c r="K191" s="85"/>
      <c r="L191" s="60" t="str">
        <f t="shared" si="2"/>
        <v/>
      </c>
    </row>
    <row r="192" spans="1:12" x14ac:dyDescent="0.2">
      <c r="A192" s="1" t="s">
        <v>40</v>
      </c>
      <c r="B192" s="21" t="s">
        <v>89</v>
      </c>
      <c r="C192" s="323" t="s">
        <v>811</v>
      </c>
      <c r="D192" s="425">
        <v>0.23</v>
      </c>
      <c r="E192" s="419" t="s">
        <v>94</v>
      </c>
      <c r="F192" s="412" t="s">
        <v>78</v>
      </c>
      <c r="G192" s="65">
        <v>2</v>
      </c>
      <c r="H192" s="65">
        <v>2</v>
      </c>
      <c r="I192" s="65">
        <v>1</v>
      </c>
      <c r="J192" s="65">
        <v>1</v>
      </c>
      <c r="K192" s="66">
        <v>2</v>
      </c>
      <c r="L192" s="60">
        <f t="shared" si="2"/>
        <v>0.37356464144298934</v>
      </c>
    </row>
    <row r="193" spans="1:12" x14ac:dyDescent="0.2">
      <c r="A193" s="1" t="s">
        <v>40</v>
      </c>
      <c r="B193" s="21" t="s">
        <v>89</v>
      </c>
      <c r="C193" s="324" t="s">
        <v>812</v>
      </c>
      <c r="D193" s="424">
        <v>0</v>
      </c>
      <c r="E193" s="419"/>
      <c r="F193" s="412" t="s">
        <v>78</v>
      </c>
      <c r="G193" s="74"/>
      <c r="H193" s="74"/>
      <c r="I193" s="74"/>
      <c r="J193" s="74"/>
      <c r="K193" s="85"/>
      <c r="L193" s="60" t="str">
        <f t="shared" si="2"/>
        <v/>
      </c>
    </row>
    <row r="194" spans="1:12" x14ac:dyDescent="0.2">
      <c r="A194" s="1" t="s">
        <v>40</v>
      </c>
      <c r="B194" s="21" t="s">
        <v>89</v>
      </c>
      <c r="C194" s="325" t="s">
        <v>813</v>
      </c>
      <c r="D194" s="424">
        <v>0</v>
      </c>
      <c r="E194" s="419"/>
      <c r="F194" s="412" t="s">
        <v>78</v>
      </c>
      <c r="G194" s="74"/>
      <c r="H194" s="74"/>
      <c r="I194" s="74"/>
      <c r="J194" s="74"/>
      <c r="K194" s="85"/>
      <c r="L194" s="60" t="str">
        <f t="shared" si="2"/>
        <v/>
      </c>
    </row>
    <row r="195" spans="1:12" x14ac:dyDescent="0.2">
      <c r="A195" s="1" t="s">
        <v>40</v>
      </c>
      <c r="B195" s="21" t="s">
        <v>90</v>
      </c>
      <c r="C195" s="318" t="s">
        <v>809</v>
      </c>
      <c r="D195" s="424">
        <v>0</v>
      </c>
      <c r="E195" s="419"/>
      <c r="F195" s="412" t="s">
        <v>78</v>
      </c>
      <c r="G195" s="74"/>
      <c r="H195" s="74"/>
      <c r="I195" s="74"/>
      <c r="J195" s="74"/>
      <c r="K195" s="85"/>
      <c r="L195" s="60" t="str">
        <f t="shared" ref="L195:L258" si="3">IF( OR( ISBLANK(G195),ISBLANK(H195), ISBLANK(I195), ISBLANK(J195), ISBLANK(K195) ), "", 1.5*SQRT(   EXP(2.21*(G195-1)) + EXP(2.21*(H195-1)) + EXP(2.21*(I195-1)) + EXP(2.21*(J195-1)) + EXP(2.21*K195)   )/100*2.45 )</f>
        <v/>
      </c>
    </row>
    <row r="196" spans="1:12" x14ac:dyDescent="0.2">
      <c r="A196" s="1" t="s">
        <v>40</v>
      </c>
      <c r="B196" s="21" t="s">
        <v>90</v>
      </c>
      <c r="C196" s="322" t="s">
        <v>810</v>
      </c>
      <c r="D196" s="424">
        <v>0</v>
      </c>
      <c r="E196" s="419"/>
      <c r="F196" s="412" t="s">
        <v>78</v>
      </c>
      <c r="G196" s="74"/>
      <c r="H196" s="74"/>
      <c r="I196" s="74"/>
      <c r="J196" s="74"/>
      <c r="K196" s="85"/>
      <c r="L196" s="60" t="str">
        <f t="shared" si="3"/>
        <v/>
      </c>
    </row>
    <row r="197" spans="1:12" x14ac:dyDescent="0.2">
      <c r="A197" s="1" t="s">
        <v>40</v>
      </c>
      <c r="B197" s="21" t="s">
        <v>90</v>
      </c>
      <c r="C197" s="323" t="s">
        <v>811</v>
      </c>
      <c r="D197" s="425">
        <v>0.01</v>
      </c>
      <c r="E197" s="419" t="s">
        <v>820</v>
      </c>
      <c r="F197" s="412" t="s">
        <v>78</v>
      </c>
      <c r="G197" s="65">
        <v>2</v>
      </c>
      <c r="H197" s="65">
        <v>2</v>
      </c>
      <c r="I197" s="65">
        <v>1</v>
      </c>
      <c r="J197" s="65">
        <v>1</v>
      </c>
      <c r="K197" s="66">
        <v>2</v>
      </c>
      <c r="L197" s="60">
        <f t="shared" si="3"/>
        <v>0.37356464144298934</v>
      </c>
    </row>
    <row r="198" spans="1:12" x14ac:dyDescent="0.2">
      <c r="A198" s="1" t="s">
        <v>40</v>
      </c>
      <c r="B198" s="21" t="s">
        <v>90</v>
      </c>
      <c r="C198" s="324" t="s">
        <v>812</v>
      </c>
      <c r="D198" s="424">
        <v>0</v>
      </c>
      <c r="E198" s="419"/>
      <c r="F198" s="412" t="s">
        <v>78</v>
      </c>
      <c r="G198" s="74"/>
      <c r="H198" s="74"/>
      <c r="I198" s="74"/>
      <c r="J198" s="74"/>
      <c r="K198" s="85"/>
      <c r="L198" s="60" t="str">
        <f t="shared" si="3"/>
        <v/>
      </c>
    </row>
    <row r="199" spans="1:12" x14ac:dyDescent="0.2">
      <c r="A199" s="1" t="s">
        <v>40</v>
      </c>
      <c r="B199" s="21" t="s">
        <v>90</v>
      </c>
      <c r="C199" s="325" t="s">
        <v>813</v>
      </c>
      <c r="D199" s="424">
        <v>0</v>
      </c>
      <c r="E199" s="423"/>
      <c r="F199" s="412" t="s">
        <v>78</v>
      </c>
      <c r="G199" s="74"/>
      <c r="H199" s="74"/>
      <c r="I199" s="74"/>
      <c r="J199" s="74"/>
      <c r="K199" s="85"/>
      <c r="L199" s="60" t="str">
        <f t="shared" si="3"/>
        <v/>
      </c>
    </row>
    <row r="200" spans="1:12" x14ac:dyDescent="0.2">
      <c r="A200" s="1" t="s">
        <v>40</v>
      </c>
      <c r="B200" s="21" t="s">
        <v>91</v>
      </c>
      <c r="C200" s="318" t="s">
        <v>809</v>
      </c>
      <c r="D200" s="422">
        <v>0.2</v>
      </c>
      <c r="E200" s="419" t="s">
        <v>820</v>
      </c>
      <c r="F200" s="412" t="s">
        <v>78</v>
      </c>
      <c r="G200" s="65">
        <v>2</v>
      </c>
      <c r="H200" s="65">
        <v>2</v>
      </c>
      <c r="I200" s="65">
        <v>1</v>
      </c>
      <c r="J200" s="65">
        <v>1</v>
      </c>
      <c r="K200" s="66">
        <v>2</v>
      </c>
      <c r="L200" s="60">
        <f t="shared" si="3"/>
        <v>0.37356464144298934</v>
      </c>
    </row>
    <row r="201" spans="1:12" x14ac:dyDescent="0.2">
      <c r="A201" s="1" t="s">
        <v>40</v>
      </c>
      <c r="B201" s="21" t="s">
        <v>91</v>
      </c>
      <c r="C201" s="322" t="s">
        <v>810</v>
      </c>
      <c r="D201" s="424">
        <v>0</v>
      </c>
      <c r="E201" s="423"/>
      <c r="F201" s="412" t="s">
        <v>78</v>
      </c>
      <c r="G201" s="74"/>
      <c r="H201" s="74"/>
      <c r="I201" s="74"/>
      <c r="J201" s="74"/>
      <c r="K201" s="85"/>
      <c r="L201" s="60" t="str">
        <f t="shared" si="3"/>
        <v/>
      </c>
    </row>
    <row r="202" spans="1:12" x14ac:dyDescent="0.2">
      <c r="A202" s="1" t="s">
        <v>40</v>
      </c>
      <c r="B202" s="21" t="s">
        <v>91</v>
      </c>
      <c r="C202" s="323" t="s">
        <v>811</v>
      </c>
      <c r="D202" s="425">
        <v>6.7000000000000004E-2</v>
      </c>
      <c r="E202" s="419" t="s">
        <v>94</v>
      </c>
      <c r="F202" s="412" t="s">
        <v>78</v>
      </c>
      <c r="G202" s="65">
        <v>2</v>
      </c>
      <c r="H202" s="65">
        <v>2</v>
      </c>
      <c r="I202" s="65">
        <v>1</v>
      </c>
      <c r="J202" s="65">
        <v>1</v>
      </c>
      <c r="K202" s="66">
        <v>2</v>
      </c>
      <c r="L202" s="60">
        <f t="shared" si="3"/>
        <v>0.37356464144298934</v>
      </c>
    </row>
    <row r="203" spans="1:12" x14ac:dyDescent="0.2">
      <c r="A203" s="1" t="s">
        <v>40</v>
      </c>
      <c r="B203" s="21" t="s">
        <v>91</v>
      </c>
      <c r="C203" s="324" t="s">
        <v>812</v>
      </c>
      <c r="D203" s="424">
        <v>0</v>
      </c>
      <c r="E203" s="419"/>
      <c r="F203" s="412" t="s">
        <v>78</v>
      </c>
      <c r="G203" s="74"/>
      <c r="H203" s="74"/>
      <c r="I203" s="74"/>
      <c r="J203" s="74"/>
      <c r="K203" s="85"/>
      <c r="L203" s="60" t="str">
        <f t="shared" si="3"/>
        <v/>
      </c>
    </row>
    <row r="204" spans="1:12" x14ac:dyDescent="0.2">
      <c r="A204" s="1" t="s">
        <v>40</v>
      </c>
      <c r="B204" s="21" t="s">
        <v>91</v>
      </c>
      <c r="C204" s="325" t="s">
        <v>813</v>
      </c>
      <c r="D204" s="424">
        <v>0</v>
      </c>
      <c r="E204" s="419"/>
      <c r="F204" s="412" t="s">
        <v>78</v>
      </c>
      <c r="G204" s="74"/>
      <c r="H204" s="74"/>
      <c r="I204" s="74"/>
      <c r="J204" s="74"/>
      <c r="K204" s="85"/>
      <c r="L204" s="60" t="str">
        <f t="shared" si="3"/>
        <v/>
      </c>
    </row>
    <row r="205" spans="1:12" x14ac:dyDescent="0.2">
      <c r="A205" s="1" t="s">
        <v>40</v>
      </c>
      <c r="B205" s="21" t="s">
        <v>95</v>
      </c>
      <c r="C205" s="318" t="s">
        <v>809</v>
      </c>
      <c r="D205" s="426">
        <v>7.0000000000000007E-2</v>
      </c>
      <c r="E205" s="419" t="s">
        <v>94</v>
      </c>
      <c r="F205" s="412" t="s">
        <v>78</v>
      </c>
      <c r="G205" s="65">
        <v>2</v>
      </c>
      <c r="H205" s="65">
        <v>2</v>
      </c>
      <c r="I205" s="65">
        <v>1</v>
      </c>
      <c r="J205" s="65">
        <v>1</v>
      </c>
      <c r="K205" s="66">
        <v>2</v>
      </c>
      <c r="L205" s="60">
        <f t="shared" si="3"/>
        <v>0.37356464144298934</v>
      </c>
    </row>
    <row r="206" spans="1:12" x14ac:dyDescent="0.2">
      <c r="A206" s="1" t="s">
        <v>40</v>
      </c>
      <c r="B206" s="21" t="s">
        <v>95</v>
      </c>
      <c r="C206" s="322" t="s">
        <v>810</v>
      </c>
      <c r="D206" s="424">
        <v>0</v>
      </c>
      <c r="E206" s="419"/>
      <c r="F206" s="412" t="s">
        <v>78</v>
      </c>
      <c r="G206" s="74"/>
      <c r="H206" s="74"/>
      <c r="I206" s="74"/>
      <c r="J206" s="74"/>
      <c r="K206" s="85"/>
      <c r="L206" s="60" t="str">
        <f t="shared" si="3"/>
        <v/>
      </c>
    </row>
    <row r="207" spans="1:12" x14ac:dyDescent="0.2">
      <c r="A207" s="1" t="s">
        <v>40</v>
      </c>
      <c r="B207" s="21" t="s">
        <v>95</v>
      </c>
      <c r="C207" s="323" t="s">
        <v>811</v>
      </c>
      <c r="D207" s="423">
        <v>0.17299999999999999</v>
      </c>
      <c r="E207" s="419" t="s">
        <v>111</v>
      </c>
      <c r="F207" s="412" t="s">
        <v>78</v>
      </c>
      <c r="G207" s="65">
        <v>2</v>
      </c>
      <c r="H207" s="65">
        <v>2</v>
      </c>
      <c r="I207" s="65">
        <v>1</v>
      </c>
      <c r="J207" s="65">
        <v>1</v>
      </c>
      <c r="K207" s="66">
        <v>2</v>
      </c>
      <c r="L207" s="60">
        <f t="shared" si="3"/>
        <v>0.37356464144298934</v>
      </c>
    </row>
    <row r="208" spans="1:12" x14ac:dyDescent="0.2">
      <c r="A208" s="1" t="s">
        <v>40</v>
      </c>
      <c r="B208" s="21" t="s">
        <v>95</v>
      </c>
      <c r="C208" s="324" t="s">
        <v>812</v>
      </c>
      <c r="D208" s="424">
        <v>0</v>
      </c>
      <c r="E208" s="419"/>
      <c r="F208" s="412" t="s">
        <v>78</v>
      </c>
      <c r="G208" s="74"/>
      <c r="H208" s="74"/>
      <c r="I208" s="74"/>
      <c r="J208" s="74"/>
      <c r="K208" s="85"/>
      <c r="L208" s="60" t="str">
        <f t="shared" si="3"/>
        <v/>
      </c>
    </row>
    <row r="209" spans="1:12" x14ac:dyDescent="0.2">
      <c r="A209" s="1" t="s">
        <v>40</v>
      </c>
      <c r="B209" s="21" t="s">
        <v>95</v>
      </c>
      <c r="C209" s="325" t="s">
        <v>813</v>
      </c>
      <c r="D209" s="424">
        <v>0</v>
      </c>
      <c r="E209" s="423"/>
      <c r="F209" s="412" t="s">
        <v>78</v>
      </c>
      <c r="G209" s="74"/>
      <c r="H209" s="74"/>
      <c r="I209" s="74"/>
      <c r="J209" s="74"/>
      <c r="K209" s="85"/>
      <c r="L209" s="60" t="str">
        <f t="shared" si="3"/>
        <v/>
      </c>
    </row>
    <row r="210" spans="1:12" x14ac:dyDescent="0.2">
      <c r="A210" s="1" t="s">
        <v>40</v>
      </c>
      <c r="B210" s="21" t="s">
        <v>92</v>
      </c>
      <c r="C210" s="318" t="s">
        <v>809</v>
      </c>
      <c r="D210" s="426">
        <v>0.23</v>
      </c>
      <c r="E210" s="419" t="s">
        <v>111</v>
      </c>
      <c r="F210" s="412" t="s">
        <v>78</v>
      </c>
      <c r="G210" s="65">
        <v>2</v>
      </c>
      <c r="H210" s="65">
        <v>2</v>
      </c>
      <c r="I210" s="65">
        <v>1</v>
      </c>
      <c r="J210" s="65">
        <v>1</v>
      </c>
      <c r="K210" s="66">
        <v>2</v>
      </c>
      <c r="L210" s="60">
        <f t="shared" si="3"/>
        <v>0.37356464144298934</v>
      </c>
    </row>
    <row r="211" spans="1:12" x14ac:dyDescent="0.2">
      <c r="A211" s="1" t="s">
        <v>40</v>
      </c>
      <c r="B211" s="21" t="s">
        <v>92</v>
      </c>
      <c r="C211" s="322" t="s">
        <v>810</v>
      </c>
      <c r="D211" s="424">
        <v>0</v>
      </c>
      <c r="E211" s="419"/>
      <c r="F211" s="412" t="s">
        <v>78</v>
      </c>
      <c r="G211" s="74"/>
      <c r="H211" s="74"/>
      <c r="I211" s="74"/>
      <c r="J211" s="74"/>
      <c r="K211" s="85"/>
      <c r="L211" s="60" t="str">
        <f t="shared" si="3"/>
        <v/>
      </c>
    </row>
    <row r="212" spans="1:12" x14ac:dyDescent="0.2">
      <c r="A212" s="1" t="s">
        <v>40</v>
      </c>
      <c r="B212" s="21" t="s">
        <v>92</v>
      </c>
      <c r="C212" s="323" t="s">
        <v>811</v>
      </c>
      <c r="D212" s="423">
        <v>0.23</v>
      </c>
      <c r="E212" s="419" t="s">
        <v>94</v>
      </c>
      <c r="F212" s="412" t="s">
        <v>78</v>
      </c>
      <c r="G212" s="65">
        <v>4</v>
      </c>
      <c r="H212" s="65">
        <v>2</v>
      </c>
      <c r="I212" s="65">
        <v>3</v>
      </c>
      <c r="J212" s="65">
        <v>1</v>
      </c>
      <c r="K212" s="66">
        <v>2</v>
      </c>
      <c r="L212" s="60">
        <f t="shared" si="3"/>
        <v>1.123005955058592</v>
      </c>
    </row>
    <row r="213" spans="1:12" x14ac:dyDescent="0.2">
      <c r="A213" s="1" t="s">
        <v>40</v>
      </c>
      <c r="B213" s="21" t="s">
        <v>92</v>
      </c>
      <c r="C213" s="324" t="s">
        <v>812</v>
      </c>
      <c r="D213" s="429">
        <v>0</v>
      </c>
      <c r="E213" s="423"/>
      <c r="F213" s="412" t="s">
        <v>78</v>
      </c>
      <c r="G213" s="74"/>
      <c r="H213" s="74"/>
      <c r="I213" s="74"/>
      <c r="J213" s="74"/>
      <c r="K213" s="85"/>
      <c r="L213" s="60" t="str">
        <f t="shared" si="3"/>
        <v/>
      </c>
    </row>
    <row r="214" spans="1:12" x14ac:dyDescent="0.2">
      <c r="A214" s="1" t="s">
        <v>40</v>
      </c>
      <c r="B214" s="21" t="s">
        <v>92</v>
      </c>
      <c r="C214" s="325" t="s">
        <v>813</v>
      </c>
      <c r="D214" s="424">
        <v>0</v>
      </c>
      <c r="E214" s="423"/>
      <c r="F214" s="412" t="s">
        <v>78</v>
      </c>
      <c r="G214" s="74"/>
      <c r="H214" s="74"/>
      <c r="I214" s="74"/>
      <c r="J214" s="74"/>
      <c r="K214" s="85"/>
      <c r="L214" s="60" t="str">
        <f t="shared" si="3"/>
        <v/>
      </c>
    </row>
    <row r="215" spans="1:12" x14ac:dyDescent="0.2">
      <c r="A215" s="1" t="s">
        <v>40</v>
      </c>
      <c r="B215" s="21" t="s">
        <v>93</v>
      </c>
      <c r="C215" s="318" t="s">
        <v>809</v>
      </c>
      <c r="D215" s="426">
        <f>1-D210-D205-D200-D195-D190-D180</f>
        <v>0.1999999999999999</v>
      </c>
      <c r="E215" s="419" t="s">
        <v>94</v>
      </c>
      <c r="F215" s="412" t="s">
        <v>78</v>
      </c>
      <c r="G215" s="65">
        <v>2</v>
      </c>
      <c r="H215" s="65">
        <v>2</v>
      </c>
      <c r="I215" s="65">
        <v>1</v>
      </c>
      <c r="J215" s="65">
        <v>1</v>
      </c>
      <c r="K215" s="66">
        <v>2</v>
      </c>
      <c r="L215" s="60">
        <f t="shared" si="3"/>
        <v>0.37356464144298934</v>
      </c>
    </row>
    <row r="216" spans="1:12" x14ac:dyDescent="0.2">
      <c r="A216" s="1" t="s">
        <v>40</v>
      </c>
      <c r="B216" s="21" t="s">
        <v>93</v>
      </c>
      <c r="C216" s="322" t="s">
        <v>810</v>
      </c>
      <c r="D216" s="424">
        <v>0</v>
      </c>
      <c r="E216" s="423"/>
      <c r="F216" s="412" t="s">
        <v>78</v>
      </c>
      <c r="G216" s="74"/>
      <c r="H216" s="74"/>
      <c r="I216" s="74"/>
      <c r="J216" s="74"/>
      <c r="K216" s="85"/>
      <c r="L216" s="60" t="str">
        <f t="shared" si="3"/>
        <v/>
      </c>
    </row>
    <row r="217" spans="1:12" x14ac:dyDescent="0.2">
      <c r="A217" s="1" t="s">
        <v>40</v>
      </c>
      <c r="B217" s="21" t="s">
        <v>93</v>
      </c>
      <c r="C217" s="323" t="s">
        <v>811</v>
      </c>
      <c r="D217" s="422">
        <f>1-D212-D207-D202-D197-D192-D187-D182</f>
        <v>0.17800000000000002</v>
      </c>
      <c r="E217" s="419" t="s">
        <v>94</v>
      </c>
      <c r="F217" s="412" t="s">
        <v>78</v>
      </c>
      <c r="G217" s="65">
        <v>4</v>
      </c>
      <c r="H217" s="65">
        <v>2</v>
      </c>
      <c r="I217" s="65">
        <v>3</v>
      </c>
      <c r="J217" s="65">
        <v>1</v>
      </c>
      <c r="K217" s="66">
        <v>2</v>
      </c>
      <c r="L217" s="60">
        <f t="shared" si="3"/>
        <v>1.123005955058592</v>
      </c>
    </row>
    <row r="218" spans="1:12" x14ac:dyDescent="0.2">
      <c r="A218" s="1" t="s">
        <v>40</v>
      </c>
      <c r="B218" s="21" t="s">
        <v>93</v>
      </c>
      <c r="C218" s="324" t="s">
        <v>812</v>
      </c>
      <c r="D218" s="424">
        <v>0</v>
      </c>
      <c r="E218" s="419"/>
      <c r="F218" s="412" t="s">
        <v>78</v>
      </c>
      <c r="G218" s="74"/>
      <c r="H218" s="74"/>
      <c r="I218" s="74"/>
      <c r="J218" s="74"/>
      <c r="K218" s="85"/>
      <c r="L218" s="60" t="str">
        <f t="shared" si="3"/>
        <v/>
      </c>
    </row>
    <row r="219" spans="1:12" x14ac:dyDescent="0.2">
      <c r="A219" s="1" t="s">
        <v>40</v>
      </c>
      <c r="B219" s="21" t="s">
        <v>93</v>
      </c>
      <c r="C219" s="325" t="s">
        <v>813</v>
      </c>
      <c r="D219" s="424">
        <v>0</v>
      </c>
      <c r="E219" s="419"/>
      <c r="F219" s="412" t="s">
        <v>78</v>
      </c>
      <c r="G219" s="74"/>
      <c r="H219" s="74"/>
      <c r="I219" s="74"/>
      <c r="J219" s="74"/>
      <c r="K219" s="85"/>
      <c r="L219" s="60" t="str">
        <f t="shared" si="3"/>
        <v/>
      </c>
    </row>
    <row r="220" spans="1:12" x14ac:dyDescent="0.2">
      <c r="A220" s="358" t="s">
        <v>17</v>
      </c>
      <c r="B220" s="48" t="s">
        <v>42</v>
      </c>
      <c r="C220" s="430" t="s">
        <v>65</v>
      </c>
      <c r="D220" s="431">
        <v>1</v>
      </c>
      <c r="E220" s="419"/>
      <c r="F220" s="413" t="s">
        <v>78</v>
      </c>
      <c r="G220" s="61"/>
      <c r="H220" s="61"/>
      <c r="I220" s="61"/>
      <c r="J220" s="61"/>
      <c r="K220" s="30"/>
      <c r="L220" s="60" t="str">
        <f t="shared" si="3"/>
        <v/>
      </c>
    </row>
    <row r="221" spans="1:12" x14ac:dyDescent="0.2">
      <c r="A221" s="359" t="s">
        <v>18</v>
      </c>
      <c r="B221" s="47" t="s">
        <v>42</v>
      </c>
      <c r="C221" s="430" t="s">
        <v>65</v>
      </c>
      <c r="D221" s="431">
        <v>1</v>
      </c>
      <c r="E221" s="419"/>
      <c r="F221" s="412" t="s">
        <v>78</v>
      </c>
      <c r="G221" s="74"/>
      <c r="H221" s="74"/>
      <c r="I221" s="74"/>
      <c r="J221" s="74"/>
      <c r="K221" s="85"/>
      <c r="L221" s="60" t="str">
        <f t="shared" si="3"/>
        <v/>
      </c>
    </row>
    <row r="222" spans="1:12" x14ac:dyDescent="0.2">
      <c r="A222" s="360" t="s">
        <v>19</v>
      </c>
      <c r="B222" s="22" t="s">
        <v>101</v>
      </c>
      <c r="C222" s="430" t="s">
        <v>65</v>
      </c>
      <c r="D222" s="431">
        <v>1</v>
      </c>
      <c r="E222" s="419"/>
      <c r="F222" s="414" t="s">
        <v>78</v>
      </c>
      <c r="G222" s="75"/>
      <c r="H222" s="75"/>
      <c r="I222" s="75"/>
      <c r="J222" s="75"/>
      <c r="K222" s="29"/>
      <c r="L222" s="60" t="str">
        <f t="shared" si="3"/>
        <v/>
      </c>
    </row>
    <row r="223" spans="1:12" x14ac:dyDescent="0.2">
      <c r="A223" s="359" t="s">
        <v>13</v>
      </c>
      <c r="B223" s="47" t="s">
        <v>41</v>
      </c>
      <c r="C223" s="430" t="s">
        <v>65</v>
      </c>
      <c r="D223" s="403">
        <v>0</v>
      </c>
      <c r="E223" s="419" t="s">
        <v>109</v>
      </c>
      <c r="F223" s="412" t="s">
        <v>78</v>
      </c>
      <c r="G223" s="74"/>
      <c r="H223" s="74"/>
      <c r="I223" s="74"/>
      <c r="J223" s="74"/>
      <c r="K223" s="85"/>
      <c r="L223" s="60" t="str">
        <f t="shared" si="3"/>
        <v/>
      </c>
    </row>
    <row r="224" spans="1:12" x14ac:dyDescent="0.2">
      <c r="A224" s="359" t="s">
        <v>13</v>
      </c>
      <c r="B224" s="47" t="s">
        <v>29</v>
      </c>
      <c r="C224" s="430" t="s">
        <v>65</v>
      </c>
      <c r="D224" s="432" t="s">
        <v>56</v>
      </c>
      <c r="E224" s="419"/>
      <c r="F224" s="412" t="s">
        <v>78</v>
      </c>
      <c r="G224" s="74"/>
      <c r="H224" s="74"/>
      <c r="I224" s="74" t="str">
        <f>IF( OR( ISBLANK(#REF!),ISBLANK(E224), ISBLANK(#REF!), ISBLANK(G224), ISBLANK(H224) ), "", 1.5*SQRT(   EXP(2.21*(#REF!-1)) + EXP(2.21*(E224-1)) + EXP(2.21*(#REF!-1)) + EXP(2.21*(G224-1)) + EXP(2.21*H224)   )/100 )</f>
        <v/>
      </c>
      <c r="J224" s="74" t="str">
        <f>IF( OR( ISBLANK(D224),ISBLANK(E224), ISBLANK(#REF!), ISBLANK(G224), ISBLANK(H224) ), "", 1.5*SQRT(   EXP(2.21*(D224-1)) + EXP(2.21*(E224-1)) + EXP(2.21*(#REF!-1)) + EXP(2.21*(G224-1)) + EXP(2.21*H224)   )/100 )</f>
        <v/>
      </c>
      <c r="K224" s="85"/>
      <c r="L224" s="60" t="str">
        <f t="shared" si="3"/>
        <v/>
      </c>
    </row>
    <row r="225" spans="1:12" x14ac:dyDescent="0.2">
      <c r="A225" s="359" t="s">
        <v>14</v>
      </c>
      <c r="B225" s="47" t="s">
        <v>41</v>
      </c>
      <c r="C225" s="430" t="s">
        <v>65</v>
      </c>
      <c r="D225" s="433">
        <f>0.002/(1-D287)</f>
        <v>2.2082866741321388E-3</v>
      </c>
      <c r="E225" s="419" t="s">
        <v>109</v>
      </c>
      <c r="F225" s="412" t="s">
        <v>78</v>
      </c>
      <c r="G225" s="65">
        <v>1</v>
      </c>
      <c r="H225" s="65">
        <v>2</v>
      </c>
      <c r="I225" s="65">
        <v>3</v>
      </c>
      <c r="J225" s="65">
        <v>1</v>
      </c>
      <c r="K225" s="66">
        <v>2</v>
      </c>
      <c r="L225" s="60">
        <f t="shared" si="3"/>
        <v>0.48935255543384243</v>
      </c>
    </row>
    <row r="226" spans="1:12" x14ac:dyDescent="0.2">
      <c r="A226" s="359" t="s">
        <v>14</v>
      </c>
      <c r="B226" s="47" t="s">
        <v>29</v>
      </c>
      <c r="C226" s="430" t="s">
        <v>65</v>
      </c>
      <c r="D226" s="432" t="s">
        <v>56</v>
      </c>
      <c r="E226" s="419"/>
      <c r="F226" s="412" t="s">
        <v>78</v>
      </c>
      <c r="G226" s="74"/>
      <c r="H226" s="74"/>
      <c r="I226" s="74" t="str">
        <f>IF( OR( ISBLANK(#REF!),ISBLANK(E226), ISBLANK(#REF!), ISBLANK(G226), ISBLANK(H226) ), "", 1.5*SQRT(   EXP(2.21*(#REF!-1)) + EXP(2.21*(E226-1)) + EXP(2.21*(#REF!-1)) + EXP(2.21*(G226-1)) + EXP(2.21*H226)   )/100 )</f>
        <v/>
      </c>
      <c r="J226" s="74" t="str">
        <f>IF( OR( ISBLANK(D226),ISBLANK(E226), ISBLANK(#REF!), ISBLANK(G226), ISBLANK(H226) ), "", 1.5*SQRT(   EXP(2.21*(D226-1)) + EXP(2.21*(E226-1)) + EXP(2.21*(#REF!-1)) + EXP(2.21*(G226-1)) + EXP(2.21*H226)   )/100 )</f>
        <v/>
      </c>
      <c r="K226" s="85"/>
      <c r="L226" s="60" t="str">
        <f t="shared" si="3"/>
        <v/>
      </c>
    </row>
    <row r="227" spans="1:12" x14ac:dyDescent="0.2">
      <c r="A227" s="359" t="s">
        <v>15</v>
      </c>
      <c r="B227" s="47" t="s">
        <v>41</v>
      </c>
      <c r="C227" s="318" t="s">
        <v>809</v>
      </c>
      <c r="D227" s="428">
        <v>1.075268817204301E-2</v>
      </c>
      <c r="E227" s="419" t="s">
        <v>109</v>
      </c>
      <c r="F227" s="412" t="s">
        <v>78</v>
      </c>
      <c r="G227" s="65">
        <v>1</v>
      </c>
      <c r="H227" s="65">
        <v>2</v>
      </c>
      <c r="I227" s="65">
        <v>3</v>
      </c>
      <c r="J227" s="65">
        <v>1</v>
      </c>
      <c r="K227" s="66">
        <v>2</v>
      </c>
      <c r="L227" s="60">
        <f t="shared" si="3"/>
        <v>0.48935255543384243</v>
      </c>
    </row>
    <row r="228" spans="1:12" x14ac:dyDescent="0.2">
      <c r="A228" s="359" t="s">
        <v>15</v>
      </c>
      <c r="B228" s="47" t="s">
        <v>41</v>
      </c>
      <c r="C228" s="322" t="s">
        <v>810</v>
      </c>
      <c r="D228" s="428">
        <v>0.5376344086021505</v>
      </c>
      <c r="E228" s="419" t="s">
        <v>109</v>
      </c>
      <c r="F228" s="412" t="s">
        <v>78</v>
      </c>
      <c r="G228" s="65">
        <v>1</v>
      </c>
      <c r="H228" s="65">
        <v>2</v>
      </c>
      <c r="I228" s="65">
        <v>3</v>
      </c>
      <c r="J228" s="65">
        <v>1</v>
      </c>
      <c r="K228" s="66">
        <v>2</v>
      </c>
      <c r="L228" s="60">
        <f t="shared" si="3"/>
        <v>0.48935255543384243</v>
      </c>
    </row>
    <row r="229" spans="1:12" x14ac:dyDescent="0.2">
      <c r="A229" s="359" t="s">
        <v>15</v>
      </c>
      <c r="B229" s="47" t="s">
        <v>41</v>
      </c>
      <c r="C229" s="323" t="s">
        <v>811</v>
      </c>
      <c r="D229" s="428">
        <v>1.075268817204301E-2</v>
      </c>
      <c r="E229" s="419" t="s">
        <v>109</v>
      </c>
      <c r="F229" s="412" t="s">
        <v>78</v>
      </c>
      <c r="G229" s="65">
        <v>1</v>
      </c>
      <c r="H229" s="65">
        <v>2</v>
      </c>
      <c r="I229" s="65">
        <v>3</v>
      </c>
      <c r="J229" s="65">
        <v>1</v>
      </c>
      <c r="K229" s="66">
        <v>2</v>
      </c>
      <c r="L229" s="60">
        <f t="shared" si="3"/>
        <v>0.48935255543384243</v>
      </c>
    </row>
    <row r="230" spans="1:12" x14ac:dyDescent="0.2">
      <c r="A230" s="359" t="s">
        <v>15</v>
      </c>
      <c r="B230" s="47" t="s">
        <v>41</v>
      </c>
      <c r="C230" s="324" t="s">
        <v>812</v>
      </c>
      <c r="D230" s="428">
        <v>1.075268817204301E-2</v>
      </c>
      <c r="E230" s="419" t="s">
        <v>109</v>
      </c>
      <c r="F230" s="412" t="s">
        <v>78</v>
      </c>
      <c r="G230" s="65">
        <v>1</v>
      </c>
      <c r="H230" s="65">
        <v>2</v>
      </c>
      <c r="I230" s="65">
        <v>3</v>
      </c>
      <c r="J230" s="65">
        <v>1</v>
      </c>
      <c r="K230" s="66">
        <v>2</v>
      </c>
      <c r="L230" s="60">
        <f t="shared" si="3"/>
        <v>0.48935255543384243</v>
      </c>
    </row>
    <row r="231" spans="1:12" x14ac:dyDescent="0.2">
      <c r="A231" s="359" t="s">
        <v>15</v>
      </c>
      <c r="B231" s="47" t="s">
        <v>41</v>
      </c>
      <c r="C231" s="325" t="s">
        <v>813</v>
      </c>
      <c r="D231" s="428">
        <v>1.075268817204301E-2</v>
      </c>
      <c r="E231" s="419" t="s">
        <v>109</v>
      </c>
      <c r="F231" s="412" t="s">
        <v>78</v>
      </c>
      <c r="G231" s="65">
        <v>1</v>
      </c>
      <c r="H231" s="65">
        <v>2</v>
      </c>
      <c r="I231" s="65">
        <v>3</v>
      </c>
      <c r="J231" s="65">
        <v>1</v>
      </c>
      <c r="K231" s="66">
        <v>2</v>
      </c>
      <c r="L231" s="60">
        <f t="shared" si="3"/>
        <v>0.48935255543384243</v>
      </c>
    </row>
    <row r="232" spans="1:12" x14ac:dyDescent="0.2">
      <c r="A232" s="359" t="s">
        <v>16</v>
      </c>
      <c r="B232" s="47" t="s">
        <v>41</v>
      </c>
      <c r="C232" s="430" t="s">
        <v>65</v>
      </c>
      <c r="D232" s="428">
        <v>1.075268817204301E-2</v>
      </c>
      <c r="E232" s="419" t="s">
        <v>109</v>
      </c>
      <c r="F232" s="412" t="s">
        <v>78</v>
      </c>
      <c r="G232" s="65">
        <v>1</v>
      </c>
      <c r="H232" s="65">
        <v>2</v>
      </c>
      <c r="I232" s="65">
        <v>3</v>
      </c>
      <c r="J232" s="65">
        <v>1</v>
      </c>
      <c r="K232" s="66">
        <v>2</v>
      </c>
      <c r="L232" s="60">
        <f t="shared" si="3"/>
        <v>0.48935255543384243</v>
      </c>
    </row>
    <row r="233" spans="1:12" x14ac:dyDescent="0.2">
      <c r="A233" s="359" t="s">
        <v>16</v>
      </c>
      <c r="B233" s="47" t="s">
        <v>29</v>
      </c>
      <c r="C233" s="430" t="s">
        <v>65</v>
      </c>
      <c r="D233" s="401" t="s">
        <v>56</v>
      </c>
      <c r="E233" s="419"/>
      <c r="F233" s="412" t="s">
        <v>78</v>
      </c>
      <c r="G233" s="74"/>
      <c r="H233" s="74"/>
      <c r="I233" s="74" t="str">
        <f>IF( OR( ISBLANK(#REF!),ISBLANK(E233), ISBLANK(#REF!), ISBLANK(G233), ISBLANK(H233) ), "", 1.5*SQRT(   EXP(2.21*(#REF!-1)) + EXP(2.21*(E233-1)) + EXP(2.21*(#REF!-1)) + EXP(2.21*(G233-1)) + EXP(2.21*H233)   )/100 )</f>
        <v/>
      </c>
      <c r="J233" s="74" t="str">
        <f>IF( OR( ISBLANK(D233),ISBLANK(E233), ISBLANK(#REF!), ISBLANK(G233), ISBLANK(H233) ), "", 1.5*SQRT(   EXP(2.21*(D233-1)) + EXP(2.21*(E233-1)) + EXP(2.21*(#REF!-1)) + EXP(2.21*(G233-1)) + EXP(2.21*H233)   )/100 )</f>
        <v/>
      </c>
      <c r="K233" s="85"/>
      <c r="L233" s="60" t="str">
        <f t="shared" si="3"/>
        <v/>
      </c>
    </row>
    <row r="234" spans="1:12" x14ac:dyDescent="0.2">
      <c r="A234" s="359" t="s">
        <v>20</v>
      </c>
      <c r="B234" s="47" t="s">
        <v>41</v>
      </c>
      <c r="C234" s="418" t="s">
        <v>65</v>
      </c>
      <c r="D234" s="428">
        <v>0.32258064516129031</v>
      </c>
      <c r="E234" s="419" t="s">
        <v>109</v>
      </c>
      <c r="F234" s="412" t="s">
        <v>78</v>
      </c>
      <c r="G234" s="65">
        <v>1</v>
      </c>
      <c r="H234" s="65">
        <v>2</v>
      </c>
      <c r="I234" s="65">
        <v>3</v>
      </c>
      <c r="J234" s="65">
        <v>1</v>
      </c>
      <c r="K234" s="66">
        <v>2</v>
      </c>
      <c r="L234" s="60">
        <f t="shared" si="3"/>
        <v>0.48935255543384243</v>
      </c>
    </row>
    <row r="235" spans="1:12" x14ac:dyDescent="0.2">
      <c r="A235" s="359" t="s">
        <v>20</v>
      </c>
      <c r="B235" s="47" t="s">
        <v>29</v>
      </c>
      <c r="C235" s="430" t="s">
        <v>65</v>
      </c>
      <c r="D235" s="401" t="s">
        <v>56</v>
      </c>
      <c r="E235" s="419"/>
      <c r="F235" s="412" t="s">
        <v>78</v>
      </c>
      <c r="G235" s="74"/>
      <c r="H235" s="74"/>
      <c r="I235" s="74"/>
      <c r="J235" s="74"/>
      <c r="K235" s="85"/>
      <c r="L235" s="60" t="str">
        <f t="shared" si="3"/>
        <v/>
      </c>
    </row>
    <row r="236" spans="1:12" x14ac:dyDescent="0.2">
      <c r="A236" s="358" t="s">
        <v>21</v>
      </c>
      <c r="B236" s="48" t="s">
        <v>41</v>
      </c>
      <c r="C236" s="418" t="s">
        <v>65</v>
      </c>
      <c r="D236" s="428">
        <v>0.32258064516129031</v>
      </c>
      <c r="E236" s="419" t="s">
        <v>109</v>
      </c>
      <c r="F236" s="413" t="s">
        <v>78</v>
      </c>
      <c r="G236" s="68">
        <v>1</v>
      </c>
      <c r="H236" s="68">
        <v>2</v>
      </c>
      <c r="I236" s="68">
        <v>3</v>
      </c>
      <c r="J236" s="68">
        <v>1</v>
      </c>
      <c r="K236" s="83">
        <v>2</v>
      </c>
      <c r="L236" s="60">
        <f t="shared" si="3"/>
        <v>0.48935255543384243</v>
      </c>
    </row>
    <row r="237" spans="1:12" x14ac:dyDescent="0.2">
      <c r="A237" s="360" t="s">
        <v>21</v>
      </c>
      <c r="B237" s="22" t="s">
        <v>29</v>
      </c>
      <c r="C237" s="430" t="s">
        <v>65</v>
      </c>
      <c r="D237" s="401" t="s">
        <v>56</v>
      </c>
      <c r="E237" s="419"/>
      <c r="F237" s="414" t="s">
        <v>78</v>
      </c>
      <c r="G237" s="75"/>
      <c r="H237" s="75"/>
      <c r="I237" s="75"/>
      <c r="J237" s="75"/>
      <c r="K237" s="29"/>
      <c r="L237" s="60" t="str">
        <f t="shared" si="3"/>
        <v/>
      </c>
    </row>
    <row r="238" spans="1:12" x14ac:dyDescent="0.2">
      <c r="A238" s="359" t="s">
        <v>22</v>
      </c>
      <c r="B238" s="47" t="s">
        <v>41</v>
      </c>
      <c r="C238" s="318" t="s">
        <v>809</v>
      </c>
      <c r="D238" s="428">
        <v>6.4500000000000002E-2</v>
      </c>
      <c r="E238" s="419" t="s">
        <v>109</v>
      </c>
      <c r="F238" s="412" t="s">
        <v>78</v>
      </c>
      <c r="G238" s="65">
        <v>1</v>
      </c>
      <c r="H238" s="65">
        <v>2</v>
      </c>
      <c r="I238" s="65">
        <v>3</v>
      </c>
      <c r="J238" s="65">
        <v>1</v>
      </c>
      <c r="K238" s="66">
        <v>2</v>
      </c>
      <c r="L238" s="60">
        <f t="shared" si="3"/>
        <v>0.48935255543384243</v>
      </c>
    </row>
    <row r="239" spans="1:12" x14ac:dyDescent="0.2">
      <c r="A239" s="359" t="s">
        <v>22</v>
      </c>
      <c r="B239" s="47" t="s">
        <v>41</v>
      </c>
      <c r="C239" s="322" t="s">
        <v>810</v>
      </c>
      <c r="D239" s="428">
        <v>6.4500000000000002E-2</v>
      </c>
      <c r="E239" s="419" t="s">
        <v>109</v>
      </c>
      <c r="F239" s="412" t="s">
        <v>78</v>
      </c>
      <c r="G239" s="65">
        <v>1</v>
      </c>
      <c r="H239" s="65">
        <v>2</v>
      </c>
      <c r="I239" s="65">
        <v>3</v>
      </c>
      <c r="J239" s="65">
        <v>1</v>
      </c>
      <c r="K239" s="66">
        <v>2</v>
      </c>
      <c r="L239" s="60">
        <f t="shared" si="3"/>
        <v>0.48935255543384243</v>
      </c>
    </row>
    <row r="240" spans="1:12" x14ac:dyDescent="0.2">
      <c r="A240" s="359" t="s">
        <v>22</v>
      </c>
      <c r="B240" s="47" t="s">
        <v>41</v>
      </c>
      <c r="C240" s="323" t="s">
        <v>811</v>
      </c>
      <c r="D240" s="428">
        <v>6.4500000000000002E-2</v>
      </c>
      <c r="E240" s="419" t="s">
        <v>109</v>
      </c>
      <c r="F240" s="412" t="s">
        <v>78</v>
      </c>
      <c r="G240" s="65">
        <v>1</v>
      </c>
      <c r="H240" s="65">
        <v>2</v>
      </c>
      <c r="I240" s="65">
        <v>3</v>
      </c>
      <c r="J240" s="65">
        <v>1</v>
      </c>
      <c r="K240" s="66">
        <v>2</v>
      </c>
      <c r="L240" s="60">
        <f t="shared" si="3"/>
        <v>0.48935255543384243</v>
      </c>
    </row>
    <row r="241" spans="1:12" x14ac:dyDescent="0.2">
      <c r="A241" s="359" t="s">
        <v>22</v>
      </c>
      <c r="B241" s="47" t="s">
        <v>41</v>
      </c>
      <c r="C241" s="324" t="s">
        <v>812</v>
      </c>
      <c r="D241" s="428">
        <v>6.4500000000000002E-2</v>
      </c>
      <c r="E241" s="419" t="s">
        <v>109</v>
      </c>
      <c r="F241" s="412" t="s">
        <v>78</v>
      </c>
      <c r="G241" s="65">
        <v>1</v>
      </c>
      <c r="H241" s="65">
        <v>2</v>
      </c>
      <c r="I241" s="65">
        <v>3</v>
      </c>
      <c r="J241" s="65">
        <v>1</v>
      </c>
      <c r="K241" s="66">
        <v>2</v>
      </c>
      <c r="L241" s="60">
        <f t="shared" si="3"/>
        <v>0.48935255543384243</v>
      </c>
    </row>
    <row r="242" spans="1:12" x14ac:dyDescent="0.2">
      <c r="A242" s="359" t="s">
        <v>22</v>
      </c>
      <c r="B242" s="47" t="s">
        <v>41</v>
      </c>
      <c r="C242" s="325" t="s">
        <v>813</v>
      </c>
      <c r="D242" s="428">
        <v>6.4500000000000002E-2</v>
      </c>
      <c r="E242" s="419" t="s">
        <v>109</v>
      </c>
      <c r="F242" s="412" t="s">
        <v>78</v>
      </c>
      <c r="G242" s="65">
        <v>1</v>
      </c>
      <c r="H242" s="65">
        <v>2</v>
      </c>
      <c r="I242" s="65">
        <v>3</v>
      </c>
      <c r="J242" s="65">
        <v>1</v>
      </c>
      <c r="K242" s="66">
        <v>2</v>
      </c>
      <c r="L242" s="60">
        <f t="shared" si="3"/>
        <v>0.48935255543384243</v>
      </c>
    </row>
    <row r="243" spans="1:12" x14ac:dyDescent="0.2">
      <c r="A243" s="360" t="s">
        <v>22</v>
      </c>
      <c r="B243" s="22" t="s">
        <v>29</v>
      </c>
      <c r="C243" s="430" t="s">
        <v>65</v>
      </c>
      <c r="D243" s="401" t="s">
        <v>56</v>
      </c>
      <c r="E243" s="419"/>
      <c r="F243" s="414" t="s">
        <v>78</v>
      </c>
      <c r="G243" s="75"/>
      <c r="H243" s="75"/>
      <c r="I243" s="75"/>
      <c r="J243" s="75"/>
      <c r="K243" s="29"/>
      <c r="L243" s="60" t="str">
        <f t="shared" si="3"/>
        <v/>
      </c>
    </row>
    <row r="244" spans="1:12" x14ac:dyDescent="0.2">
      <c r="A244" s="358" t="s">
        <v>23</v>
      </c>
      <c r="B244" s="48" t="s">
        <v>43</v>
      </c>
      <c r="C244" s="430" t="s">
        <v>65</v>
      </c>
      <c r="D244" s="431">
        <v>1</v>
      </c>
      <c r="E244" s="419"/>
      <c r="F244" s="413" t="s">
        <v>78</v>
      </c>
      <c r="G244" s="61"/>
      <c r="H244" s="61"/>
      <c r="I244" s="61"/>
      <c r="J244" s="61"/>
      <c r="K244" s="30"/>
      <c r="L244" s="60" t="str">
        <f t="shared" si="3"/>
        <v/>
      </c>
    </row>
    <row r="245" spans="1:12" x14ac:dyDescent="0.2">
      <c r="A245" s="359" t="s">
        <v>24</v>
      </c>
      <c r="B245" s="47" t="s">
        <v>43</v>
      </c>
      <c r="C245" s="430" t="s">
        <v>65</v>
      </c>
      <c r="D245" s="431">
        <v>1</v>
      </c>
      <c r="E245" s="419"/>
      <c r="F245" s="412" t="s">
        <v>78</v>
      </c>
      <c r="G245" s="74"/>
      <c r="H245" s="74"/>
      <c r="I245" s="74"/>
      <c r="J245" s="74"/>
      <c r="K245" s="85"/>
      <c r="L245" s="60" t="str">
        <f t="shared" si="3"/>
        <v/>
      </c>
    </row>
    <row r="246" spans="1:12" x14ac:dyDescent="0.2">
      <c r="A246" s="359" t="s">
        <v>25</v>
      </c>
      <c r="B246" s="47" t="s">
        <v>43</v>
      </c>
      <c r="C246" s="430" t="s">
        <v>65</v>
      </c>
      <c r="D246" s="431">
        <v>1</v>
      </c>
      <c r="E246" s="419"/>
      <c r="F246" s="412" t="s">
        <v>78</v>
      </c>
      <c r="G246" s="74"/>
      <c r="H246" s="74"/>
      <c r="I246" s="74"/>
      <c r="J246" s="74"/>
      <c r="K246" s="85"/>
      <c r="L246" s="60" t="str">
        <f t="shared" si="3"/>
        <v/>
      </c>
    </row>
    <row r="247" spans="1:12" x14ac:dyDescent="0.2">
      <c r="A247" s="359" t="s">
        <v>26</v>
      </c>
      <c r="B247" s="47" t="s">
        <v>43</v>
      </c>
      <c r="C247" s="430" t="s">
        <v>65</v>
      </c>
      <c r="D247" s="431">
        <v>1</v>
      </c>
      <c r="E247" s="419"/>
      <c r="F247" s="412" t="s">
        <v>78</v>
      </c>
      <c r="G247" s="74"/>
      <c r="H247" s="74"/>
      <c r="I247" s="74"/>
      <c r="J247" s="74"/>
      <c r="K247" s="85"/>
      <c r="L247" s="60" t="str">
        <f t="shared" si="3"/>
        <v/>
      </c>
    </row>
    <row r="248" spans="1:12" x14ac:dyDescent="0.2">
      <c r="A248" s="360" t="s">
        <v>27</v>
      </c>
      <c r="B248" s="22" t="s">
        <v>43</v>
      </c>
      <c r="C248" s="430" t="s">
        <v>65</v>
      </c>
      <c r="D248" s="431">
        <v>1</v>
      </c>
      <c r="E248" s="419"/>
      <c r="F248" s="414" t="s">
        <v>78</v>
      </c>
      <c r="G248" s="75"/>
      <c r="H248" s="75"/>
      <c r="I248" s="75"/>
      <c r="J248" s="75"/>
      <c r="K248" s="29"/>
      <c r="L248" s="60" t="str">
        <f t="shared" si="3"/>
        <v/>
      </c>
    </row>
    <row r="249" spans="1:12" x14ac:dyDescent="0.2">
      <c r="A249" s="358" t="s">
        <v>112</v>
      </c>
      <c r="B249" s="120" t="s">
        <v>67</v>
      </c>
      <c r="C249" s="418" t="s">
        <v>65</v>
      </c>
      <c r="D249" s="422">
        <f>120977/(120977+105034)</f>
        <v>0.53527040719257024</v>
      </c>
      <c r="E249" s="419" t="s">
        <v>110</v>
      </c>
      <c r="F249" s="413" t="s">
        <v>78</v>
      </c>
      <c r="G249" s="68">
        <v>1</v>
      </c>
      <c r="H249" s="68">
        <v>2</v>
      </c>
      <c r="I249" s="68">
        <v>3</v>
      </c>
      <c r="J249" s="68">
        <v>1</v>
      </c>
      <c r="K249" s="83">
        <v>2</v>
      </c>
      <c r="L249" s="60">
        <f t="shared" si="3"/>
        <v>0.48935255543384243</v>
      </c>
    </row>
    <row r="250" spans="1:12" x14ac:dyDescent="0.2">
      <c r="A250" s="360" t="s">
        <v>112</v>
      </c>
      <c r="B250" s="119" t="s">
        <v>28</v>
      </c>
      <c r="C250" s="418" t="s">
        <v>65</v>
      </c>
      <c r="D250" s="427" t="s">
        <v>56</v>
      </c>
      <c r="E250" s="419"/>
      <c r="F250" s="414"/>
      <c r="G250" s="75"/>
      <c r="H250" s="75"/>
      <c r="I250" s="75"/>
      <c r="J250" s="75"/>
      <c r="K250" s="29"/>
      <c r="L250" s="60" t="str">
        <f t="shared" si="3"/>
        <v/>
      </c>
    </row>
    <row r="251" spans="1:12" x14ac:dyDescent="0.2">
      <c r="A251" s="358" t="s">
        <v>113</v>
      </c>
      <c r="B251" s="48" t="s">
        <v>29</v>
      </c>
      <c r="C251" s="423" t="s">
        <v>65</v>
      </c>
      <c r="D251" s="402">
        <v>2.7099999999999999E-2</v>
      </c>
      <c r="E251" s="419" t="s">
        <v>76</v>
      </c>
      <c r="F251" s="413" t="s">
        <v>78</v>
      </c>
      <c r="G251" s="68">
        <v>1</v>
      </c>
      <c r="H251" s="68">
        <v>3</v>
      </c>
      <c r="I251" s="68">
        <v>3</v>
      </c>
      <c r="J251" s="68">
        <v>1</v>
      </c>
      <c r="K251" s="83">
        <v>2</v>
      </c>
      <c r="L251" s="60">
        <f t="shared" si="3"/>
        <v>0.58256442191643876</v>
      </c>
    </row>
    <row r="252" spans="1:12" x14ac:dyDescent="0.2">
      <c r="A252" s="359" t="s">
        <v>113</v>
      </c>
      <c r="B252" s="47" t="s">
        <v>30</v>
      </c>
      <c r="C252" s="423" t="s">
        <v>65</v>
      </c>
      <c r="D252" s="401" t="s">
        <v>56</v>
      </c>
      <c r="E252" s="419"/>
      <c r="F252" s="412" t="s">
        <v>78</v>
      </c>
      <c r="G252" s="74"/>
      <c r="H252" s="74"/>
      <c r="I252" s="74"/>
      <c r="J252" s="74"/>
      <c r="K252" s="85"/>
      <c r="L252" s="60" t="str">
        <f t="shared" si="3"/>
        <v/>
      </c>
    </row>
    <row r="253" spans="1:12" x14ac:dyDescent="0.2">
      <c r="A253" s="360" t="s">
        <v>113</v>
      </c>
      <c r="B253" s="20" t="s">
        <v>67</v>
      </c>
      <c r="C253" s="423" t="s">
        <v>65</v>
      </c>
      <c r="D253" s="402">
        <f>(200+500+1200)/(200+500+1200+7400+3700+5500+100+400+15)</f>
        <v>9.9921114909282141E-2</v>
      </c>
      <c r="E253" s="419" t="s">
        <v>76</v>
      </c>
      <c r="F253" s="414" t="s">
        <v>78</v>
      </c>
      <c r="G253" s="70">
        <v>1</v>
      </c>
      <c r="H253" s="70">
        <v>3</v>
      </c>
      <c r="I253" s="70">
        <v>1</v>
      </c>
      <c r="J253" s="70">
        <v>1</v>
      </c>
      <c r="K253" s="84">
        <v>2</v>
      </c>
      <c r="L253" s="60">
        <f t="shared" si="3"/>
        <v>0.47802211380704585</v>
      </c>
    </row>
    <row r="254" spans="1:12" x14ac:dyDescent="0.2">
      <c r="A254" s="358" t="s">
        <v>31</v>
      </c>
      <c r="B254" s="48" t="s">
        <v>42</v>
      </c>
      <c r="C254" s="430" t="s">
        <v>65</v>
      </c>
      <c r="D254" s="431">
        <v>1</v>
      </c>
      <c r="E254" s="419"/>
      <c r="F254" s="413" t="s">
        <v>78</v>
      </c>
      <c r="G254" s="61"/>
      <c r="H254" s="61"/>
      <c r="I254" s="61"/>
      <c r="J254" s="61"/>
      <c r="K254" s="30"/>
      <c r="L254" s="60" t="str">
        <f t="shared" si="3"/>
        <v/>
      </c>
    </row>
    <row r="255" spans="1:12" x14ac:dyDescent="0.2">
      <c r="A255" s="359" t="s">
        <v>32</v>
      </c>
      <c r="B255" s="47" t="s">
        <v>42</v>
      </c>
      <c r="C255" s="430" t="s">
        <v>65</v>
      </c>
      <c r="D255" s="431">
        <v>1</v>
      </c>
      <c r="E255" s="419"/>
      <c r="F255" s="412" t="s">
        <v>78</v>
      </c>
      <c r="G255" s="74"/>
      <c r="H255" s="74"/>
      <c r="I255" s="74"/>
      <c r="J255" s="74"/>
      <c r="K255" s="85"/>
      <c r="L255" s="60" t="str">
        <f t="shared" si="3"/>
        <v/>
      </c>
    </row>
    <row r="256" spans="1:12" x14ac:dyDescent="0.2">
      <c r="A256" s="360" t="s">
        <v>33</v>
      </c>
      <c r="B256" s="22" t="s">
        <v>42</v>
      </c>
      <c r="C256" s="430" t="s">
        <v>65</v>
      </c>
      <c r="D256" s="431">
        <v>1</v>
      </c>
      <c r="E256" s="419"/>
      <c r="F256" s="414" t="s">
        <v>78</v>
      </c>
      <c r="G256" s="75"/>
      <c r="H256" s="75"/>
      <c r="I256" s="75"/>
      <c r="J256" s="75"/>
      <c r="K256" s="29"/>
      <c r="L256" s="60" t="str">
        <f t="shared" si="3"/>
        <v/>
      </c>
    </row>
    <row r="257" spans="1:13" x14ac:dyDescent="0.2">
      <c r="A257" s="359" t="s">
        <v>34</v>
      </c>
      <c r="B257" s="47" t="s">
        <v>29</v>
      </c>
      <c r="C257" s="430" t="s">
        <v>65</v>
      </c>
      <c r="D257" s="431">
        <v>1</v>
      </c>
      <c r="E257" s="419"/>
      <c r="F257" s="412" t="s">
        <v>78</v>
      </c>
      <c r="G257" s="74"/>
      <c r="H257" s="74"/>
      <c r="I257" s="74"/>
      <c r="J257" s="74"/>
      <c r="K257" s="85"/>
      <c r="L257" s="60" t="str">
        <f t="shared" si="3"/>
        <v/>
      </c>
    </row>
    <row r="258" spans="1:13" x14ac:dyDescent="0.2">
      <c r="A258" s="359" t="s">
        <v>35</v>
      </c>
      <c r="B258" s="47" t="s">
        <v>29</v>
      </c>
      <c r="C258" s="430" t="s">
        <v>65</v>
      </c>
      <c r="D258" s="431">
        <v>1</v>
      </c>
      <c r="E258" s="419"/>
      <c r="F258" s="412" t="s">
        <v>78</v>
      </c>
      <c r="G258" s="74"/>
      <c r="H258" s="74"/>
      <c r="I258" s="74"/>
      <c r="J258" s="74"/>
      <c r="K258" s="85"/>
      <c r="L258" s="60" t="str">
        <f t="shared" si="3"/>
        <v/>
      </c>
    </row>
    <row r="259" spans="1:13" x14ac:dyDescent="0.2">
      <c r="A259" s="359" t="s">
        <v>37</v>
      </c>
      <c r="B259" s="47" t="s">
        <v>29</v>
      </c>
      <c r="C259" s="430" t="s">
        <v>65</v>
      </c>
      <c r="D259" s="430">
        <v>0.05</v>
      </c>
      <c r="E259" s="419" t="s">
        <v>831</v>
      </c>
      <c r="F259" s="412" t="s">
        <v>78</v>
      </c>
      <c r="G259" s="65">
        <v>1</v>
      </c>
      <c r="H259" s="65">
        <v>2</v>
      </c>
      <c r="I259" s="65">
        <v>3</v>
      </c>
      <c r="J259" s="65">
        <v>1</v>
      </c>
      <c r="K259" s="66">
        <v>3</v>
      </c>
      <c r="L259" s="34">
        <f t="shared" ref="L259:L260" si="4">IF( OR( ISBLANK(G259),ISBLANK(H259), ISBLANK(I259), ISBLANK(J259), ISBLANK(K259) ), "", 1.5*SQRT(   EXP(2.21*(G259-1)) + EXP(2.21*(H259-1)) + EXP(2.21*(I259-1)) + EXP(2.21*(J259-1)) + EXP(2.21*K259)   )/100*2.45 )</f>
        <v>1.0725046436742278</v>
      </c>
      <c r="M259" s="343" t="s">
        <v>832</v>
      </c>
    </row>
    <row r="260" spans="1:13" x14ac:dyDescent="0.2">
      <c r="A260" s="359" t="s">
        <v>37</v>
      </c>
      <c r="B260" s="52" t="s">
        <v>301</v>
      </c>
      <c r="C260" s="430" t="s">
        <v>65</v>
      </c>
      <c r="D260" s="432" t="s">
        <v>56</v>
      </c>
      <c r="E260" s="419"/>
      <c r="F260" s="412" t="s">
        <v>78</v>
      </c>
      <c r="G260" s="74"/>
      <c r="H260" s="74"/>
      <c r="I260" s="74"/>
      <c r="J260" s="74"/>
      <c r="K260" s="85"/>
      <c r="L260" s="60" t="str">
        <f t="shared" si="4"/>
        <v/>
      </c>
      <c r="M260" s="343"/>
    </row>
    <row r="261" spans="1:13" x14ac:dyDescent="0.2">
      <c r="A261" s="359" t="s">
        <v>38</v>
      </c>
      <c r="B261" s="47" t="s">
        <v>29</v>
      </c>
      <c r="C261" s="430" t="s">
        <v>65</v>
      </c>
      <c r="D261" s="431">
        <v>1</v>
      </c>
      <c r="E261" s="419"/>
      <c r="F261" s="412" t="s">
        <v>78</v>
      </c>
      <c r="G261" s="74"/>
      <c r="H261" s="74"/>
      <c r="I261" s="74"/>
      <c r="J261" s="74"/>
      <c r="K261" s="85"/>
      <c r="L261" s="60" t="str">
        <f t="shared" ref="L261:L323" si="5">IF( OR( ISBLANK(G261),ISBLANK(H261), ISBLANK(I261), ISBLANK(J261), ISBLANK(K261) ), "", 1.5*SQRT(   EXP(2.21*(G261-1)) + EXP(2.21*(H261-1)) + EXP(2.21*(I261-1)) + EXP(2.21*(J261-1)) + EXP(2.21*K261)   )/100*2.45 )</f>
        <v/>
      </c>
    </row>
    <row r="262" spans="1:13" x14ac:dyDescent="0.2">
      <c r="A262" s="359" t="s">
        <v>87</v>
      </c>
      <c r="B262" s="47" t="s">
        <v>29</v>
      </c>
      <c r="C262" s="430" t="s">
        <v>65</v>
      </c>
      <c r="D262" s="431">
        <v>1</v>
      </c>
      <c r="E262" s="419"/>
      <c r="F262" s="412"/>
      <c r="G262" s="74"/>
      <c r="H262" s="74"/>
      <c r="I262" s="74"/>
      <c r="J262" s="74"/>
      <c r="K262" s="85"/>
      <c r="L262" s="60" t="str">
        <f t="shared" si="5"/>
        <v/>
      </c>
    </row>
    <row r="263" spans="1:13" x14ac:dyDescent="0.2">
      <c r="A263" s="358" t="s">
        <v>114</v>
      </c>
      <c r="B263" s="48" t="s">
        <v>29</v>
      </c>
      <c r="C263" s="430" t="s">
        <v>65</v>
      </c>
      <c r="D263" s="401" t="s">
        <v>56</v>
      </c>
      <c r="E263" s="419"/>
      <c r="F263" s="413" t="s">
        <v>78</v>
      </c>
      <c r="G263" s="61"/>
      <c r="H263" s="61"/>
      <c r="I263" s="61"/>
      <c r="J263" s="61"/>
      <c r="K263" s="30"/>
      <c r="L263" s="60" t="str">
        <f t="shared" si="5"/>
        <v/>
      </c>
    </row>
    <row r="264" spans="1:13" x14ac:dyDescent="0.2">
      <c r="A264" s="359" t="s">
        <v>114</v>
      </c>
      <c r="B264" s="47" t="s">
        <v>44</v>
      </c>
      <c r="C264" s="430" t="s">
        <v>65</v>
      </c>
      <c r="D264" s="402">
        <f>47000/(92000+47000)</f>
        <v>0.33812949640287771</v>
      </c>
      <c r="E264" s="419" t="s">
        <v>96</v>
      </c>
      <c r="F264" s="412" t="s">
        <v>78</v>
      </c>
      <c r="G264" s="65">
        <v>1</v>
      </c>
      <c r="H264" s="65">
        <v>2</v>
      </c>
      <c r="I264" s="65">
        <v>3</v>
      </c>
      <c r="J264" s="65">
        <v>1</v>
      </c>
      <c r="K264" s="66">
        <v>2</v>
      </c>
      <c r="L264" s="60">
        <f t="shared" si="5"/>
        <v>0.48935255543384243</v>
      </c>
    </row>
    <row r="265" spans="1:13" x14ac:dyDescent="0.2">
      <c r="A265" s="359" t="s">
        <v>115</v>
      </c>
      <c r="B265" s="47" t="s">
        <v>29</v>
      </c>
      <c r="C265" s="430" t="s">
        <v>65</v>
      </c>
      <c r="D265" s="401" t="str">
        <f>D263</f>
        <v>rest</v>
      </c>
      <c r="E265" s="419"/>
      <c r="F265" s="412" t="s">
        <v>78</v>
      </c>
      <c r="G265" s="74"/>
      <c r="H265" s="74"/>
      <c r="I265" s="74"/>
      <c r="J265" s="74"/>
      <c r="K265" s="85"/>
      <c r="L265" s="60" t="str">
        <f t="shared" si="5"/>
        <v/>
      </c>
    </row>
    <row r="266" spans="1:13" x14ac:dyDescent="0.2">
      <c r="A266" s="360" t="s">
        <v>115</v>
      </c>
      <c r="B266" s="22" t="s">
        <v>44</v>
      </c>
      <c r="C266" s="430" t="s">
        <v>65</v>
      </c>
      <c r="D266" s="402">
        <f>D264/10</f>
        <v>3.3812949640287769E-2</v>
      </c>
      <c r="E266" s="419" t="s">
        <v>266</v>
      </c>
      <c r="F266" s="414" t="s">
        <v>78</v>
      </c>
      <c r="G266" s="70">
        <v>1</v>
      </c>
      <c r="H266" s="70">
        <v>2</v>
      </c>
      <c r="I266" s="70">
        <v>3</v>
      </c>
      <c r="J266" s="70">
        <v>1</v>
      </c>
      <c r="K266" s="84">
        <v>3</v>
      </c>
      <c r="L266" s="60">
        <f t="shared" si="5"/>
        <v>1.0725046436742278</v>
      </c>
    </row>
    <row r="267" spans="1:13" x14ac:dyDescent="0.2">
      <c r="A267" s="358" t="s">
        <v>36</v>
      </c>
      <c r="B267" s="48" t="s">
        <v>29</v>
      </c>
      <c r="C267" s="430" t="s">
        <v>65</v>
      </c>
      <c r="D267" s="401" t="s">
        <v>56</v>
      </c>
      <c r="E267" s="419"/>
      <c r="F267" s="413" t="s">
        <v>78</v>
      </c>
      <c r="G267" s="61"/>
      <c r="H267" s="61"/>
      <c r="I267" s="61"/>
      <c r="J267" s="61"/>
      <c r="K267" s="30"/>
      <c r="L267" s="60" t="str">
        <f t="shared" si="5"/>
        <v/>
      </c>
    </row>
    <row r="268" spans="1:13" x14ac:dyDescent="0.2">
      <c r="A268" s="359" t="s">
        <v>36</v>
      </c>
      <c r="B268" s="47" t="s">
        <v>44</v>
      </c>
      <c r="C268" s="430" t="s">
        <v>65</v>
      </c>
      <c r="D268" s="402">
        <f>D264</f>
        <v>0.33812949640287771</v>
      </c>
      <c r="E268" s="419" t="s">
        <v>266</v>
      </c>
      <c r="F268" s="412" t="s">
        <v>78</v>
      </c>
      <c r="G268" s="65">
        <v>1</v>
      </c>
      <c r="H268" s="65">
        <v>2</v>
      </c>
      <c r="I268" s="65">
        <v>3</v>
      </c>
      <c r="J268" s="65">
        <v>1</v>
      </c>
      <c r="K268" s="66">
        <v>2</v>
      </c>
      <c r="L268" s="60">
        <f t="shared" si="5"/>
        <v>0.48935255543384243</v>
      </c>
    </row>
    <row r="269" spans="1:13" x14ac:dyDescent="0.2">
      <c r="A269" s="359" t="s">
        <v>92</v>
      </c>
      <c r="B269" s="47" t="s">
        <v>29</v>
      </c>
      <c r="C269" s="430" t="s">
        <v>65</v>
      </c>
      <c r="D269" s="401" t="s">
        <v>56</v>
      </c>
      <c r="E269" s="419"/>
      <c r="F269" s="412"/>
      <c r="G269" s="74"/>
      <c r="H269" s="74"/>
      <c r="I269" s="74"/>
      <c r="J269" s="74"/>
      <c r="K269" s="85"/>
      <c r="L269" s="60" t="str">
        <f t="shared" si="5"/>
        <v/>
      </c>
    </row>
    <row r="270" spans="1:13" x14ac:dyDescent="0.2">
      <c r="A270" s="359" t="s">
        <v>92</v>
      </c>
      <c r="B270" s="47" t="s">
        <v>44</v>
      </c>
      <c r="C270" s="430" t="s">
        <v>65</v>
      </c>
      <c r="D270" s="402">
        <f>D264</f>
        <v>0.33812949640287771</v>
      </c>
      <c r="E270" s="419" t="s">
        <v>266</v>
      </c>
      <c r="F270" s="412" t="s">
        <v>78</v>
      </c>
      <c r="G270" s="65">
        <v>1</v>
      </c>
      <c r="H270" s="65">
        <v>2</v>
      </c>
      <c r="I270" s="65">
        <v>3</v>
      </c>
      <c r="J270" s="65">
        <v>1</v>
      </c>
      <c r="K270" s="66">
        <v>2</v>
      </c>
      <c r="L270" s="60">
        <f t="shared" si="5"/>
        <v>0.48935255543384243</v>
      </c>
    </row>
    <row r="271" spans="1:13" x14ac:dyDescent="0.2">
      <c r="A271" s="359" t="s">
        <v>95</v>
      </c>
      <c r="B271" s="47" t="s">
        <v>29</v>
      </c>
      <c r="C271" s="430" t="s">
        <v>65</v>
      </c>
      <c r="D271" s="401" t="s">
        <v>56</v>
      </c>
      <c r="E271" s="419"/>
      <c r="F271" s="412"/>
      <c r="G271" s="74"/>
      <c r="H271" s="74"/>
      <c r="I271" s="74"/>
      <c r="J271" s="74"/>
      <c r="K271" s="85"/>
      <c r="L271" s="60" t="str">
        <f t="shared" si="5"/>
        <v/>
      </c>
    </row>
    <row r="272" spans="1:13" x14ac:dyDescent="0.2">
      <c r="A272" s="360" t="s">
        <v>95</v>
      </c>
      <c r="B272" s="22" t="s">
        <v>44</v>
      </c>
      <c r="C272" s="430" t="s">
        <v>65</v>
      </c>
      <c r="D272" s="402">
        <f>D266</f>
        <v>3.3812949640287769E-2</v>
      </c>
      <c r="E272" s="419" t="s">
        <v>266</v>
      </c>
      <c r="F272" s="414" t="s">
        <v>78</v>
      </c>
      <c r="G272" s="70">
        <v>1</v>
      </c>
      <c r="H272" s="70">
        <v>2</v>
      </c>
      <c r="I272" s="70">
        <v>3</v>
      </c>
      <c r="J272" s="70">
        <v>1</v>
      </c>
      <c r="K272" s="84">
        <v>3</v>
      </c>
      <c r="L272" s="60">
        <f t="shared" si="5"/>
        <v>1.0725046436742278</v>
      </c>
    </row>
    <row r="273" spans="1:12" x14ac:dyDescent="0.2">
      <c r="A273" s="359" t="s">
        <v>89</v>
      </c>
      <c r="B273" s="52" t="s">
        <v>67</v>
      </c>
      <c r="C273" s="430" t="s">
        <v>65</v>
      </c>
      <c r="D273" s="402">
        <f t="shared" ref="D273:K273" si="6">D249</f>
        <v>0.53527040719257024</v>
      </c>
      <c r="E273" s="419" t="str">
        <f t="shared" si="6"/>
        <v>Foundation Auto Recycling Switzerland (SARS), Annual Report 2014, 2015</v>
      </c>
      <c r="F273" s="412" t="str">
        <f t="shared" si="6"/>
        <v xml:space="preserve"> </v>
      </c>
      <c r="G273" s="65">
        <f t="shared" si="6"/>
        <v>1</v>
      </c>
      <c r="H273" s="65">
        <f t="shared" si="6"/>
        <v>2</v>
      </c>
      <c r="I273" s="65">
        <f t="shared" si="6"/>
        <v>3</v>
      </c>
      <c r="J273" s="65">
        <f t="shared" si="6"/>
        <v>1</v>
      </c>
      <c r="K273" s="66">
        <f t="shared" si="6"/>
        <v>2</v>
      </c>
      <c r="L273" s="60">
        <f t="shared" si="5"/>
        <v>0.48935255543384243</v>
      </c>
    </row>
    <row r="274" spans="1:12" x14ac:dyDescent="0.2">
      <c r="A274" s="359" t="s">
        <v>89</v>
      </c>
      <c r="B274" s="47" t="s">
        <v>100</v>
      </c>
      <c r="C274" s="430" t="s">
        <v>65</v>
      </c>
      <c r="D274" s="401" t="s">
        <v>56</v>
      </c>
      <c r="E274" s="419"/>
      <c r="F274" s="412"/>
      <c r="G274" s="74"/>
      <c r="H274" s="74"/>
      <c r="I274" s="74"/>
      <c r="J274" s="74"/>
      <c r="K274" s="85"/>
      <c r="L274" s="60" t="str">
        <f t="shared" si="5"/>
        <v/>
      </c>
    </row>
    <row r="275" spans="1:12" x14ac:dyDescent="0.2">
      <c r="A275" s="358" t="s">
        <v>88</v>
      </c>
      <c r="B275" s="48" t="s">
        <v>42</v>
      </c>
      <c r="C275" s="430" t="s">
        <v>65</v>
      </c>
      <c r="D275" s="431">
        <v>1</v>
      </c>
      <c r="E275" s="419"/>
      <c r="F275" s="413"/>
      <c r="G275" s="61"/>
      <c r="H275" s="61"/>
      <c r="I275" s="61"/>
      <c r="J275" s="61"/>
      <c r="K275" s="30"/>
      <c r="L275" s="60" t="str">
        <f t="shared" si="5"/>
        <v/>
      </c>
    </row>
    <row r="276" spans="1:12" x14ac:dyDescent="0.2">
      <c r="A276" s="359" t="s">
        <v>89</v>
      </c>
      <c r="B276" s="47" t="s">
        <v>100</v>
      </c>
      <c r="C276" s="430" t="s">
        <v>65</v>
      </c>
      <c r="D276" s="431">
        <v>1</v>
      </c>
      <c r="E276" s="419"/>
      <c r="F276" s="412"/>
      <c r="G276" s="74"/>
      <c r="H276" s="74"/>
      <c r="I276" s="74"/>
      <c r="J276" s="74"/>
      <c r="K276" s="85"/>
      <c r="L276" s="60" t="str">
        <f t="shared" si="5"/>
        <v/>
      </c>
    </row>
    <row r="277" spans="1:12" x14ac:dyDescent="0.2">
      <c r="A277" s="359" t="s">
        <v>90</v>
      </c>
      <c r="B277" s="47" t="s">
        <v>101</v>
      </c>
      <c r="C277" s="430" t="s">
        <v>65</v>
      </c>
      <c r="D277" s="431">
        <v>1</v>
      </c>
      <c r="E277" s="419"/>
      <c r="F277" s="412"/>
      <c r="G277" s="74"/>
      <c r="H277" s="74"/>
      <c r="I277" s="74"/>
      <c r="J277" s="74"/>
      <c r="K277" s="85"/>
      <c r="L277" s="60" t="str">
        <f t="shared" si="5"/>
        <v/>
      </c>
    </row>
    <row r="278" spans="1:12" x14ac:dyDescent="0.2">
      <c r="A278" s="359" t="s">
        <v>91</v>
      </c>
      <c r="B278" s="47" t="s">
        <v>101</v>
      </c>
      <c r="C278" s="430" t="s">
        <v>65</v>
      </c>
      <c r="D278" s="431">
        <v>1</v>
      </c>
      <c r="E278" s="419"/>
      <c r="F278" s="412"/>
      <c r="G278" s="74"/>
      <c r="H278" s="74"/>
      <c r="I278" s="74"/>
      <c r="J278" s="74"/>
      <c r="K278" s="85"/>
      <c r="L278" s="60" t="str">
        <f t="shared" si="5"/>
        <v/>
      </c>
    </row>
    <row r="279" spans="1:12" x14ac:dyDescent="0.2">
      <c r="A279" s="360" t="s">
        <v>93</v>
      </c>
      <c r="B279" s="22" t="s">
        <v>29</v>
      </c>
      <c r="C279" s="430" t="s">
        <v>65</v>
      </c>
      <c r="D279" s="431">
        <v>1</v>
      </c>
      <c r="E279" s="419"/>
      <c r="F279" s="414"/>
      <c r="G279" s="75"/>
      <c r="H279" s="75"/>
      <c r="I279" s="75"/>
      <c r="J279" s="75"/>
      <c r="K279" s="29"/>
      <c r="L279" s="60" t="str">
        <f t="shared" si="5"/>
        <v/>
      </c>
    </row>
    <row r="280" spans="1:12" x14ac:dyDescent="0.2">
      <c r="A280" s="361" t="s">
        <v>41</v>
      </c>
      <c r="B280" s="113" t="s">
        <v>47</v>
      </c>
      <c r="C280" s="318" t="s">
        <v>809</v>
      </c>
      <c r="D280" s="402">
        <v>6.9999999999999951E-2</v>
      </c>
      <c r="E280" s="419" t="s">
        <v>267</v>
      </c>
      <c r="F280" s="413" t="s">
        <v>78</v>
      </c>
      <c r="G280" s="68">
        <v>1</v>
      </c>
      <c r="H280" s="68">
        <v>1</v>
      </c>
      <c r="I280" s="68">
        <v>3</v>
      </c>
      <c r="J280" s="68">
        <v>1</v>
      </c>
      <c r="K280" s="83">
        <v>3</v>
      </c>
      <c r="L280" s="60">
        <f t="shared" si="5"/>
        <v>1.0673825127299523</v>
      </c>
    </row>
    <row r="281" spans="1:12" x14ac:dyDescent="0.2">
      <c r="A281" s="362" t="s">
        <v>41</v>
      </c>
      <c r="B281" s="52" t="s">
        <v>47</v>
      </c>
      <c r="C281" s="322" t="s">
        <v>810</v>
      </c>
      <c r="D281" s="402">
        <v>6.9999999999999951E-2</v>
      </c>
      <c r="E281" s="419" t="s">
        <v>267</v>
      </c>
      <c r="F281" s="412" t="s">
        <v>78</v>
      </c>
      <c r="G281" s="65">
        <v>1</v>
      </c>
      <c r="H281" s="65">
        <v>1</v>
      </c>
      <c r="I281" s="65">
        <v>3</v>
      </c>
      <c r="J281" s="65">
        <v>1</v>
      </c>
      <c r="K281" s="66">
        <v>3</v>
      </c>
      <c r="L281" s="60">
        <f t="shared" si="5"/>
        <v>1.0673825127299523</v>
      </c>
    </row>
    <row r="282" spans="1:12" x14ac:dyDescent="0.2">
      <c r="A282" s="362" t="s">
        <v>41</v>
      </c>
      <c r="B282" s="52" t="s">
        <v>47</v>
      </c>
      <c r="C282" s="323" t="s">
        <v>811</v>
      </c>
      <c r="D282" s="402">
        <v>6.9999999999999951E-2</v>
      </c>
      <c r="E282" s="419" t="s">
        <v>267</v>
      </c>
      <c r="F282" s="412" t="s">
        <v>78</v>
      </c>
      <c r="G282" s="65">
        <v>1</v>
      </c>
      <c r="H282" s="65">
        <v>1</v>
      </c>
      <c r="I282" s="65">
        <v>3</v>
      </c>
      <c r="J282" s="65">
        <v>1</v>
      </c>
      <c r="K282" s="66">
        <v>3</v>
      </c>
      <c r="L282" s="60">
        <f t="shared" si="5"/>
        <v>1.0673825127299523</v>
      </c>
    </row>
    <row r="283" spans="1:12" x14ac:dyDescent="0.2">
      <c r="A283" s="362" t="s">
        <v>41</v>
      </c>
      <c r="B283" s="52" t="s">
        <v>47</v>
      </c>
      <c r="C283" s="324" t="s">
        <v>812</v>
      </c>
      <c r="D283" s="402">
        <v>6.9999999999999951E-2</v>
      </c>
      <c r="E283" s="419" t="s">
        <v>267</v>
      </c>
      <c r="F283" s="412" t="s">
        <v>78</v>
      </c>
      <c r="G283" s="65">
        <v>1</v>
      </c>
      <c r="H283" s="65">
        <v>1</v>
      </c>
      <c r="I283" s="65">
        <v>3</v>
      </c>
      <c r="J283" s="65">
        <v>1</v>
      </c>
      <c r="K283" s="66">
        <v>3</v>
      </c>
      <c r="L283" s="60">
        <f t="shared" si="5"/>
        <v>1.0673825127299523</v>
      </c>
    </row>
    <row r="284" spans="1:12" x14ac:dyDescent="0.2">
      <c r="A284" s="362" t="s">
        <v>41</v>
      </c>
      <c r="B284" s="52" t="s">
        <v>47</v>
      </c>
      <c r="C284" s="325" t="s">
        <v>813</v>
      </c>
      <c r="D284" s="402">
        <v>6.9999999999999951E-2</v>
      </c>
      <c r="E284" s="419" t="s">
        <v>267</v>
      </c>
      <c r="F284" s="412" t="s">
        <v>78</v>
      </c>
      <c r="G284" s="65">
        <v>1</v>
      </c>
      <c r="H284" s="65">
        <v>1</v>
      </c>
      <c r="I284" s="65">
        <v>3</v>
      </c>
      <c r="J284" s="65">
        <v>1</v>
      </c>
      <c r="K284" s="66">
        <v>3</v>
      </c>
      <c r="L284" s="60">
        <f t="shared" si="5"/>
        <v>1.0673825127299523</v>
      </c>
    </row>
    <row r="285" spans="1:12" x14ac:dyDescent="0.2">
      <c r="A285" s="362" t="s">
        <v>41</v>
      </c>
      <c r="B285" s="18" t="s">
        <v>67</v>
      </c>
      <c r="C285" s="318" t="s">
        <v>809</v>
      </c>
      <c r="D285" s="402">
        <v>9.4320486815415827E-2</v>
      </c>
      <c r="E285" s="419" t="s">
        <v>264</v>
      </c>
      <c r="F285" s="412" t="s">
        <v>78</v>
      </c>
      <c r="G285" s="65">
        <v>1</v>
      </c>
      <c r="H285" s="65">
        <v>2</v>
      </c>
      <c r="I285" s="65">
        <v>3</v>
      </c>
      <c r="J285" s="65">
        <v>1</v>
      </c>
      <c r="K285" s="66">
        <v>3</v>
      </c>
      <c r="L285" s="60">
        <f t="shared" si="5"/>
        <v>1.0725046436742278</v>
      </c>
    </row>
    <row r="286" spans="1:12" x14ac:dyDescent="0.2">
      <c r="A286" s="362" t="s">
        <v>41</v>
      </c>
      <c r="B286" s="18" t="s">
        <v>67</v>
      </c>
      <c r="C286" s="322" t="s">
        <v>810</v>
      </c>
      <c r="D286" s="402">
        <v>9.4320486815415827E-2</v>
      </c>
      <c r="E286" s="419" t="s">
        <v>264</v>
      </c>
      <c r="F286" s="412" t="s">
        <v>78</v>
      </c>
      <c r="G286" s="65">
        <v>1</v>
      </c>
      <c r="H286" s="65">
        <v>2</v>
      </c>
      <c r="I286" s="65">
        <v>3</v>
      </c>
      <c r="J286" s="65">
        <v>1</v>
      </c>
      <c r="K286" s="66">
        <v>3</v>
      </c>
      <c r="L286" s="60">
        <f t="shared" si="5"/>
        <v>1.0725046436742278</v>
      </c>
    </row>
    <row r="287" spans="1:12" x14ac:dyDescent="0.2">
      <c r="A287" s="362" t="s">
        <v>41</v>
      </c>
      <c r="B287" s="18" t="s">
        <v>67</v>
      </c>
      <c r="C287" s="323" t="s">
        <v>811</v>
      </c>
      <c r="D287" s="402">
        <v>9.4320486815415827E-2</v>
      </c>
      <c r="E287" s="419" t="s">
        <v>264</v>
      </c>
      <c r="F287" s="412" t="s">
        <v>78</v>
      </c>
      <c r="G287" s="65">
        <v>1</v>
      </c>
      <c r="H287" s="65">
        <v>2</v>
      </c>
      <c r="I287" s="65">
        <v>3</v>
      </c>
      <c r="J287" s="65">
        <v>1</v>
      </c>
      <c r="K287" s="66">
        <v>3</v>
      </c>
      <c r="L287" s="60">
        <f t="shared" si="5"/>
        <v>1.0725046436742278</v>
      </c>
    </row>
    <row r="288" spans="1:12" x14ac:dyDescent="0.2">
      <c r="A288" s="362" t="s">
        <v>41</v>
      </c>
      <c r="B288" s="18" t="s">
        <v>67</v>
      </c>
      <c r="C288" s="324" t="s">
        <v>812</v>
      </c>
      <c r="D288" s="402">
        <v>9.4320486815415827E-2</v>
      </c>
      <c r="E288" s="419" t="s">
        <v>264</v>
      </c>
      <c r="F288" s="412" t="s">
        <v>78</v>
      </c>
      <c r="G288" s="65">
        <v>1</v>
      </c>
      <c r="H288" s="65">
        <v>2</v>
      </c>
      <c r="I288" s="65">
        <v>3</v>
      </c>
      <c r="J288" s="65">
        <v>1</v>
      </c>
      <c r="K288" s="66">
        <v>3</v>
      </c>
      <c r="L288" s="60">
        <f t="shared" si="5"/>
        <v>1.0725046436742278</v>
      </c>
    </row>
    <row r="289" spans="1:12" x14ac:dyDescent="0.2">
      <c r="A289" s="362" t="s">
        <v>41</v>
      </c>
      <c r="B289" s="18" t="s">
        <v>67</v>
      </c>
      <c r="C289" s="325" t="s">
        <v>813</v>
      </c>
      <c r="D289" s="402">
        <v>9.4320486815415827E-2</v>
      </c>
      <c r="E289" s="419" t="s">
        <v>103</v>
      </c>
      <c r="F289" s="412" t="s">
        <v>78</v>
      </c>
      <c r="G289" s="65">
        <v>1</v>
      </c>
      <c r="H289" s="65">
        <v>2</v>
      </c>
      <c r="I289" s="65">
        <v>1</v>
      </c>
      <c r="J289" s="65">
        <v>1</v>
      </c>
      <c r="K289" s="66">
        <v>1</v>
      </c>
      <c r="L289" s="60">
        <f t="shared" si="5"/>
        <v>0.16933510251023262</v>
      </c>
    </row>
    <row r="290" spans="1:12" x14ac:dyDescent="0.2">
      <c r="A290" s="362" t="s">
        <v>41</v>
      </c>
      <c r="B290" s="18" t="s">
        <v>46</v>
      </c>
      <c r="C290" s="430" t="s">
        <v>65</v>
      </c>
      <c r="D290" s="403">
        <v>0</v>
      </c>
      <c r="E290" s="419"/>
      <c r="F290" s="412" t="s">
        <v>78</v>
      </c>
      <c r="G290" s="74"/>
      <c r="H290" s="74"/>
      <c r="I290" s="74"/>
      <c r="J290" s="74"/>
      <c r="K290" s="85"/>
      <c r="L290" s="60" t="str">
        <f t="shared" si="5"/>
        <v/>
      </c>
    </row>
    <row r="291" spans="1:12" x14ac:dyDescent="0.2">
      <c r="A291" s="363" t="s">
        <v>41</v>
      </c>
      <c r="B291" s="2" t="s">
        <v>45</v>
      </c>
      <c r="C291" s="430" t="s">
        <v>65</v>
      </c>
      <c r="D291" s="401" t="s">
        <v>56</v>
      </c>
      <c r="E291" s="419"/>
      <c r="F291" s="414" t="s">
        <v>78</v>
      </c>
      <c r="G291" s="75"/>
      <c r="H291" s="75"/>
      <c r="I291" s="75"/>
      <c r="J291" s="75"/>
      <c r="K291" s="29"/>
      <c r="L291" s="60" t="str">
        <f t="shared" si="5"/>
        <v/>
      </c>
    </row>
    <row r="292" spans="1:12" x14ac:dyDescent="0.2">
      <c r="A292" s="361" t="s">
        <v>29</v>
      </c>
      <c r="B292" s="118" t="s">
        <v>46</v>
      </c>
      <c r="C292" s="430" t="s">
        <v>65</v>
      </c>
      <c r="D292" s="403">
        <v>0</v>
      </c>
      <c r="E292" s="419"/>
      <c r="F292" s="413" t="s">
        <v>78</v>
      </c>
      <c r="G292" s="61"/>
      <c r="H292" s="61"/>
      <c r="I292" s="61" t="str">
        <f>IF( OR( ISBLANK(#REF!),ISBLANK(E292), ISBLANK(#REF!), ISBLANK(G292), ISBLANK(H292) ), "", 1.5*SQRT(   EXP(2.21*(#REF!-1)) + EXP(2.21*(E292-1)) + EXP(2.21*(#REF!-1)) + EXP(2.21*(G292-1)) + EXP(2.21*H292)   )/100 )</f>
        <v/>
      </c>
      <c r="J292" s="61" t="s">
        <v>69</v>
      </c>
      <c r="K292" s="30"/>
      <c r="L292" s="60" t="str">
        <f t="shared" si="5"/>
        <v/>
      </c>
    </row>
    <row r="293" spans="1:12" x14ac:dyDescent="0.2">
      <c r="A293" s="363" t="s">
        <v>29</v>
      </c>
      <c r="B293" s="20" t="s">
        <v>47</v>
      </c>
      <c r="C293" s="430" t="s">
        <v>65</v>
      </c>
      <c r="D293" s="403">
        <v>1</v>
      </c>
      <c r="E293" s="419"/>
      <c r="F293" s="414" t="s">
        <v>78</v>
      </c>
      <c r="G293" s="75"/>
      <c r="H293" s="75"/>
      <c r="I293" s="75" t="str">
        <f>IF( OR( ISBLANK(#REF!),ISBLANK(E293), ISBLANK(#REF!), ISBLANK(G293), ISBLANK(H293) ), "", 1.5*SQRT(   EXP(2.21*(#REF!-1)) + EXP(2.21*(E293-1)) + EXP(2.21*(#REF!-1)) + EXP(2.21*(G293-1)) + EXP(2.21*H293)   )/100 )</f>
        <v/>
      </c>
      <c r="J293" s="75" t="s">
        <v>69</v>
      </c>
      <c r="K293" s="29"/>
      <c r="L293" s="60" t="str">
        <f t="shared" si="5"/>
        <v/>
      </c>
    </row>
    <row r="294" spans="1:12" x14ac:dyDescent="0.2">
      <c r="A294" s="362" t="s">
        <v>43</v>
      </c>
      <c r="B294" s="2" t="s">
        <v>48</v>
      </c>
      <c r="C294" s="318" t="s">
        <v>809</v>
      </c>
      <c r="D294" s="402">
        <v>0.12</v>
      </c>
      <c r="E294" s="419" t="s">
        <v>109</v>
      </c>
      <c r="F294" s="412" t="s">
        <v>78</v>
      </c>
      <c r="G294" s="65">
        <v>1</v>
      </c>
      <c r="H294" s="65">
        <v>2</v>
      </c>
      <c r="I294" s="65">
        <v>3</v>
      </c>
      <c r="J294" s="65">
        <v>3</v>
      </c>
      <c r="K294" s="66">
        <v>2</v>
      </c>
      <c r="L294" s="60">
        <f t="shared" si="5"/>
        <v>0.59189702474662764</v>
      </c>
    </row>
    <row r="295" spans="1:12" x14ac:dyDescent="0.2">
      <c r="A295" s="362" t="s">
        <v>43</v>
      </c>
      <c r="B295" s="2" t="s">
        <v>48</v>
      </c>
      <c r="C295" s="322" t="s">
        <v>810</v>
      </c>
      <c r="D295" s="402">
        <v>0.06</v>
      </c>
      <c r="E295" s="419" t="s">
        <v>109</v>
      </c>
      <c r="F295" s="412" t="s">
        <v>78</v>
      </c>
      <c r="G295" s="65">
        <v>1</v>
      </c>
      <c r="H295" s="65">
        <v>2</v>
      </c>
      <c r="I295" s="65">
        <v>3</v>
      </c>
      <c r="J295" s="65">
        <v>3</v>
      </c>
      <c r="K295" s="66">
        <v>2</v>
      </c>
      <c r="L295" s="60">
        <f t="shared" si="5"/>
        <v>0.59189702474662764</v>
      </c>
    </row>
    <row r="296" spans="1:12" x14ac:dyDescent="0.2">
      <c r="A296" s="362" t="s">
        <v>43</v>
      </c>
      <c r="B296" s="2" t="s">
        <v>48</v>
      </c>
      <c r="C296" s="323" t="s">
        <v>811</v>
      </c>
      <c r="D296" s="402">
        <v>0.06</v>
      </c>
      <c r="E296" s="419" t="s">
        <v>109</v>
      </c>
      <c r="F296" s="412" t="s">
        <v>78</v>
      </c>
      <c r="G296" s="65">
        <v>1</v>
      </c>
      <c r="H296" s="65">
        <v>2</v>
      </c>
      <c r="I296" s="65">
        <v>3</v>
      </c>
      <c r="J296" s="65">
        <v>3</v>
      </c>
      <c r="K296" s="66">
        <v>2</v>
      </c>
      <c r="L296" s="60">
        <f t="shared" si="5"/>
        <v>0.59189702474662764</v>
      </c>
    </row>
    <row r="297" spans="1:12" x14ac:dyDescent="0.2">
      <c r="A297" s="362" t="s">
        <v>43</v>
      </c>
      <c r="B297" s="2" t="s">
        <v>48</v>
      </c>
      <c r="C297" s="324" t="s">
        <v>812</v>
      </c>
      <c r="D297" s="402">
        <v>0.04</v>
      </c>
      <c r="E297" s="419" t="s">
        <v>109</v>
      </c>
      <c r="F297" s="412" t="s">
        <v>78</v>
      </c>
      <c r="G297" s="65">
        <v>1</v>
      </c>
      <c r="H297" s="65">
        <v>2</v>
      </c>
      <c r="I297" s="65">
        <v>3</v>
      </c>
      <c r="J297" s="65">
        <v>3</v>
      </c>
      <c r="K297" s="66">
        <v>2</v>
      </c>
      <c r="L297" s="60">
        <f t="shared" si="5"/>
        <v>0.59189702474662764</v>
      </c>
    </row>
    <row r="298" spans="1:12" x14ac:dyDescent="0.2">
      <c r="A298" s="362" t="s">
        <v>43</v>
      </c>
      <c r="B298" s="2" t="s">
        <v>48</v>
      </c>
      <c r="C298" s="325" t="s">
        <v>813</v>
      </c>
      <c r="D298" s="402">
        <v>0.04</v>
      </c>
      <c r="E298" s="419" t="s">
        <v>109</v>
      </c>
      <c r="F298" s="412" t="s">
        <v>78</v>
      </c>
      <c r="G298" s="65">
        <v>1</v>
      </c>
      <c r="H298" s="65">
        <v>2</v>
      </c>
      <c r="I298" s="65">
        <v>3</v>
      </c>
      <c r="J298" s="65">
        <v>3</v>
      </c>
      <c r="K298" s="66">
        <v>2</v>
      </c>
      <c r="L298" s="60">
        <f t="shared" si="5"/>
        <v>0.59189702474662764</v>
      </c>
    </row>
    <row r="299" spans="1:12" x14ac:dyDescent="0.2">
      <c r="A299" s="362" t="s">
        <v>43</v>
      </c>
      <c r="B299" s="52" t="s">
        <v>47</v>
      </c>
      <c r="C299" s="418" t="s">
        <v>65</v>
      </c>
      <c r="D299" s="401" t="s">
        <v>56</v>
      </c>
      <c r="E299" s="419"/>
      <c r="F299" s="412" t="s">
        <v>78</v>
      </c>
      <c r="G299" s="74"/>
      <c r="H299" s="74"/>
      <c r="I299" s="74"/>
      <c r="J299" s="74"/>
      <c r="K299" s="85"/>
      <c r="L299" s="60" t="str">
        <f t="shared" si="5"/>
        <v/>
      </c>
    </row>
    <row r="300" spans="1:12" x14ac:dyDescent="0.2">
      <c r="A300" s="363" t="s">
        <v>43</v>
      </c>
      <c r="B300" s="53" t="s">
        <v>46</v>
      </c>
      <c r="C300" s="418" t="s">
        <v>65</v>
      </c>
      <c r="D300" s="403">
        <v>0</v>
      </c>
      <c r="E300" s="419"/>
      <c r="F300" s="414" t="s">
        <v>78</v>
      </c>
      <c r="G300" s="75"/>
      <c r="H300" s="75"/>
      <c r="I300" s="75"/>
      <c r="J300" s="75"/>
      <c r="K300" s="29"/>
      <c r="L300" s="60" t="str">
        <f t="shared" si="5"/>
        <v/>
      </c>
    </row>
    <row r="301" spans="1:12" x14ac:dyDescent="0.2">
      <c r="A301" s="362" t="s">
        <v>101</v>
      </c>
      <c r="B301" s="52" t="s">
        <v>46</v>
      </c>
      <c r="C301" s="418" t="s">
        <v>65</v>
      </c>
      <c r="D301" s="403">
        <v>0</v>
      </c>
      <c r="E301" s="419" t="s">
        <v>71</v>
      </c>
      <c r="F301" s="412"/>
      <c r="G301" s="74"/>
      <c r="H301" s="74"/>
      <c r="I301" s="74"/>
      <c r="J301" s="74"/>
      <c r="K301" s="85"/>
      <c r="L301" s="60" t="str">
        <f t="shared" si="5"/>
        <v/>
      </c>
    </row>
    <row r="302" spans="1:12" x14ac:dyDescent="0.2">
      <c r="A302" s="362" t="s">
        <v>101</v>
      </c>
      <c r="B302" s="52" t="s">
        <v>47</v>
      </c>
      <c r="C302" s="418" t="s">
        <v>65</v>
      </c>
      <c r="D302" s="401" t="s">
        <v>56</v>
      </c>
      <c r="E302" s="419"/>
      <c r="F302" s="412"/>
      <c r="G302" s="74"/>
      <c r="H302" s="74"/>
      <c r="I302" s="74"/>
      <c r="J302" s="74"/>
      <c r="K302" s="85"/>
      <c r="L302" s="60" t="str">
        <f t="shared" si="5"/>
        <v/>
      </c>
    </row>
    <row r="303" spans="1:12" x14ac:dyDescent="0.2">
      <c r="A303" s="361" t="s">
        <v>28</v>
      </c>
      <c r="B303" s="23" t="s">
        <v>49</v>
      </c>
      <c r="C303" s="418" t="s">
        <v>65</v>
      </c>
      <c r="D303" s="402">
        <v>0.03</v>
      </c>
      <c r="E303" s="419" t="s">
        <v>109</v>
      </c>
      <c r="F303" s="413" t="s">
        <v>78</v>
      </c>
      <c r="G303" s="68">
        <v>1</v>
      </c>
      <c r="H303" s="68">
        <v>2</v>
      </c>
      <c r="I303" s="68">
        <v>3</v>
      </c>
      <c r="J303" s="68">
        <v>1</v>
      </c>
      <c r="K303" s="83">
        <v>2</v>
      </c>
      <c r="L303" s="60">
        <f t="shared" si="5"/>
        <v>0.48935255543384243</v>
      </c>
    </row>
    <row r="304" spans="1:12" x14ac:dyDescent="0.2">
      <c r="A304" s="363" t="s">
        <v>28</v>
      </c>
      <c r="B304" s="31" t="s">
        <v>50</v>
      </c>
      <c r="C304" s="418" t="s">
        <v>65</v>
      </c>
      <c r="D304" s="401" t="s">
        <v>56</v>
      </c>
      <c r="E304" s="419"/>
      <c r="F304" s="414" t="s">
        <v>78</v>
      </c>
      <c r="G304" s="75"/>
      <c r="H304" s="75"/>
      <c r="I304" s="75"/>
      <c r="J304" s="75"/>
      <c r="K304" s="29"/>
      <c r="L304" s="60" t="str">
        <f t="shared" si="5"/>
        <v/>
      </c>
    </row>
    <row r="305" spans="1:12" x14ac:dyDescent="0.2">
      <c r="A305" s="361" t="s">
        <v>100</v>
      </c>
      <c r="B305" s="113" t="s">
        <v>46</v>
      </c>
      <c r="C305" s="418" t="s">
        <v>65</v>
      </c>
      <c r="D305" s="403">
        <v>0</v>
      </c>
      <c r="E305" s="419"/>
      <c r="F305" s="413" t="s">
        <v>78</v>
      </c>
      <c r="G305" s="61"/>
      <c r="H305" s="61"/>
      <c r="I305" s="61"/>
      <c r="J305" s="61"/>
      <c r="K305" s="30"/>
      <c r="L305" s="60" t="str">
        <f t="shared" si="5"/>
        <v/>
      </c>
    </row>
    <row r="306" spans="1:12" x14ac:dyDescent="0.2">
      <c r="A306" s="363" t="s">
        <v>100</v>
      </c>
      <c r="B306" s="53" t="s">
        <v>47</v>
      </c>
      <c r="C306" s="418" t="s">
        <v>65</v>
      </c>
      <c r="D306" s="403">
        <v>1</v>
      </c>
      <c r="E306" s="419" t="s">
        <v>77</v>
      </c>
      <c r="F306" s="414" t="s">
        <v>78</v>
      </c>
      <c r="G306" s="75"/>
      <c r="H306" s="75"/>
      <c r="I306" s="75"/>
      <c r="J306" s="75"/>
      <c r="K306" s="29"/>
      <c r="L306" s="60" t="str">
        <f t="shared" si="5"/>
        <v/>
      </c>
    </row>
    <row r="307" spans="1:12" x14ac:dyDescent="0.2">
      <c r="A307" s="361" t="s">
        <v>30</v>
      </c>
      <c r="B307" s="23" t="s">
        <v>51</v>
      </c>
      <c r="C307" s="418" t="s">
        <v>65</v>
      </c>
      <c r="D307" s="402">
        <v>0.64</v>
      </c>
      <c r="E307" s="419" t="s">
        <v>80</v>
      </c>
      <c r="F307" s="413" t="s">
        <v>78</v>
      </c>
      <c r="G307" s="68">
        <v>1</v>
      </c>
      <c r="H307" s="68">
        <v>2</v>
      </c>
      <c r="I307" s="68">
        <v>3</v>
      </c>
      <c r="J307" s="68">
        <v>1</v>
      </c>
      <c r="K307" s="83">
        <v>2</v>
      </c>
      <c r="L307" s="60">
        <f t="shared" si="5"/>
        <v>0.48935255543384243</v>
      </c>
    </row>
    <row r="308" spans="1:12" x14ac:dyDescent="0.2">
      <c r="A308" s="362" t="s">
        <v>30</v>
      </c>
      <c r="B308" s="52" t="s">
        <v>46</v>
      </c>
      <c r="C308" s="418" t="s">
        <v>65</v>
      </c>
      <c r="D308" s="403">
        <v>0</v>
      </c>
      <c r="E308" s="419"/>
      <c r="F308" s="412" t="s">
        <v>78</v>
      </c>
      <c r="G308" s="74"/>
      <c r="H308" s="74"/>
      <c r="I308" s="74"/>
      <c r="J308" s="74"/>
      <c r="K308" s="85"/>
      <c r="L308" s="60" t="str">
        <f t="shared" si="5"/>
        <v/>
      </c>
    </row>
    <row r="309" spans="1:12" x14ac:dyDescent="0.2">
      <c r="A309" s="363" t="s">
        <v>30</v>
      </c>
      <c r="B309" s="53" t="s">
        <v>47</v>
      </c>
      <c r="C309" s="418" t="s">
        <v>65</v>
      </c>
      <c r="D309" s="401" t="s">
        <v>56</v>
      </c>
      <c r="E309" s="419"/>
      <c r="F309" s="414" t="s">
        <v>78</v>
      </c>
      <c r="G309" s="75"/>
      <c r="H309" s="75"/>
      <c r="I309" s="75"/>
      <c r="J309" s="75"/>
      <c r="K309" s="29"/>
      <c r="L309" s="60" t="str">
        <f t="shared" si="5"/>
        <v/>
      </c>
    </row>
    <row r="310" spans="1:12" x14ac:dyDescent="0.2">
      <c r="A310" s="361" t="s">
        <v>42</v>
      </c>
      <c r="B310" s="23" t="s">
        <v>52</v>
      </c>
      <c r="C310" s="430" t="s">
        <v>65</v>
      </c>
      <c r="D310" s="402">
        <v>0.12</v>
      </c>
      <c r="E310" s="419" t="s">
        <v>109</v>
      </c>
      <c r="F310" s="413" t="s">
        <v>78</v>
      </c>
      <c r="G310" s="68">
        <v>1</v>
      </c>
      <c r="H310" s="68">
        <v>2</v>
      </c>
      <c r="I310" s="68">
        <v>3</v>
      </c>
      <c r="J310" s="68">
        <v>1</v>
      </c>
      <c r="K310" s="83">
        <v>2</v>
      </c>
      <c r="L310" s="60">
        <f t="shared" si="5"/>
        <v>0.48935255543384243</v>
      </c>
    </row>
    <row r="311" spans="1:12" x14ac:dyDescent="0.2">
      <c r="A311" s="362" t="s">
        <v>42</v>
      </c>
      <c r="B311" s="2" t="s">
        <v>52</v>
      </c>
      <c r="C311" s="430" t="s">
        <v>65</v>
      </c>
      <c r="D311" s="402">
        <v>0.1333</v>
      </c>
      <c r="E311" s="419" t="s">
        <v>72</v>
      </c>
      <c r="F311" s="412" t="s">
        <v>78</v>
      </c>
      <c r="G311" s="65">
        <v>1</v>
      </c>
      <c r="H311" s="65">
        <v>2</v>
      </c>
      <c r="I311" s="65">
        <v>3</v>
      </c>
      <c r="J311" s="65">
        <v>1</v>
      </c>
      <c r="K311" s="66">
        <v>2</v>
      </c>
      <c r="L311" s="60">
        <f t="shared" si="5"/>
        <v>0.48935255543384243</v>
      </c>
    </row>
    <row r="312" spans="1:12" x14ac:dyDescent="0.2">
      <c r="A312" s="362" t="s">
        <v>42</v>
      </c>
      <c r="B312" s="2" t="s">
        <v>52</v>
      </c>
      <c r="C312" s="430" t="s">
        <v>65</v>
      </c>
      <c r="D312" s="402">
        <v>0.26669999999999999</v>
      </c>
      <c r="E312" s="419" t="s">
        <v>72</v>
      </c>
      <c r="F312" s="412" t="s">
        <v>78</v>
      </c>
      <c r="G312" s="65">
        <v>1</v>
      </c>
      <c r="H312" s="65">
        <v>2</v>
      </c>
      <c r="I312" s="65">
        <v>3</v>
      </c>
      <c r="J312" s="65">
        <v>1</v>
      </c>
      <c r="K312" s="66">
        <v>2</v>
      </c>
      <c r="L312" s="60">
        <f t="shared" si="5"/>
        <v>0.48935255543384243</v>
      </c>
    </row>
    <row r="313" spans="1:12" x14ac:dyDescent="0.2">
      <c r="A313" s="362" t="s">
        <v>42</v>
      </c>
      <c r="B313" s="2" t="s">
        <v>52</v>
      </c>
      <c r="C313" s="430" t="s">
        <v>65</v>
      </c>
      <c r="D313" s="402">
        <v>0.2</v>
      </c>
      <c r="E313" s="419" t="s">
        <v>108</v>
      </c>
      <c r="F313" s="412" t="s">
        <v>78</v>
      </c>
      <c r="G313" s="65">
        <v>1</v>
      </c>
      <c r="H313" s="65">
        <v>2</v>
      </c>
      <c r="I313" s="65">
        <v>3</v>
      </c>
      <c r="J313" s="65">
        <v>1</v>
      </c>
      <c r="K313" s="66">
        <v>2</v>
      </c>
      <c r="L313" s="60">
        <f t="shared" si="5"/>
        <v>0.48935255543384243</v>
      </c>
    </row>
    <row r="314" spans="1:12" x14ac:dyDescent="0.2">
      <c r="A314" s="362" t="s">
        <v>42</v>
      </c>
      <c r="B314" s="18" t="s">
        <v>46</v>
      </c>
      <c r="C314" s="430" t="s">
        <v>65</v>
      </c>
      <c r="D314" s="403">
        <v>0</v>
      </c>
      <c r="E314" s="419"/>
      <c r="F314" s="412" t="s">
        <v>78</v>
      </c>
      <c r="G314" s="74"/>
      <c r="H314" s="74"/>
      <c r="I314" s="74"/>
      <c r="J314" s="74"/>
      <c r="K314" s="85"/>
      <c r="L314" s="60" t="str">
        <f t="shared" si="5"/>
        <v/>
      </c>
    </row>
    <row r="315" spans="1:12" x14ac:dyDescent="0.2">
      <c r="A315" s="363" t="s">
        <v>42</v>
      </c>
      <c r="B315" s="20" t="s">
        <v>47</v>
      </c>
      <c r="C315" s="430" t="s">
        <v>65</v>
      </c>
      <c r="D315" s="401" t="s">
        <v>56</v>
      </c>
      <c r="E315" s="419"/>
      <c r="F315" s="414" t="s">
        <v>78</v>
      </c>
      <c r="G315" s="75"/>
      <c r="H315" s="75"/>
      <c r="I315" s="75"/>
      <c r="J315" s="75"/>
      <c r="K315" s="29"/>
      <c r="L315" s="60" t="str">
        <f t="shared" si="5"/>
        <v/>
      </c>
    </row>
    <row r="316" spans="1:12" x14ac:dyDescent="0.2">
      <c r="A316" s="361" t="s">
        <v>44</v>
      </c>
      <c r="B316" s="113" t="s">
        <v>53</v>
      </c>
      <c r="C316" s="430" t="s">
        <v>65</v>
      </c>
      <c r="D316" s="403">
        <v>0</v>
      </c>
      <c r="E316" s="419" t="s">
        <v>103</v>
      </c>
      <c r="F316" s="413" t="s">
        <v>78</v>
      </c>
      <c r="G316" s="61"/>
      <c r="H316" s="61"/>
      <c r="I316" s="61"/>
      <c r="J316" s="61"/>
      <c r="K316" s="30"/>
      <c r="L316" s="60" t="str">
        <f t="shared" si="5"/>
        <v/>
      </c>
    </row>
    <row r="317" spans="1:12" x14ac:dyDescent="0.2">
      <c r="A317" s="362" t="s">
        <v>44</v>
      </c>
      <c r="B317" s="52" t="s">
        <v>67</v>
      </c>
      <c r="C317" s="430" t="s">
        <v>65</v>
      </c>
      <c r="D317" s="402">
        <f>0.8129+0.1645</f>
        <v>0.97739999999999994</v>
      </c>
      <c r="E317" s="419" t="s">
        <v>103</v>
      </c>
      <c r="F317" s="412" t="s">
        <v>78</v>
      </c>
      <c r="G317" s="65">
        <v>1</v>
      </c>
      <c r="H317" s="65">
        <v>2</v>
      </c>
      <c r="I317" s="65">
        <v>3</v>
      </c>
      <c r="J317" s="65">
        <v>1</v>
      </c>
      <c r="K317" s="66">
        <v>1</v>
      </c>
      <c r="L317" s="60">
        <f t="shared" si="5"/>
        <v>0.37356464144298934</v>
      </c>
    </row>
    <row r="318" spans="1:12" x14ac:dyDescent="0.2">
      <c r="A318" s="362" t="s">
        <v>44</v>
      </c>
      <c r="B318" s="52" t="s">
        <v>79</v>
      </c>
      <c r="C318" s="430" t="s">
        <v>65</v>
      </c>
      <c r="D318" s="402">
        <v>3.8999999999999998E-3</v>
      </c>
      <c r="E318" s="419" t="s">
        <v>103</v>
      </c>
      <c r="F318" s="412" t="s">
        <v>78</v>
      </c>
      <c r="G318" s="65">
        <v>1</v>
      </c>
      <c r="H318" s="65">
        <v>2</v>
      </c>
      <c r="I318" s="65">
        <v>3</v>
      </c>
      <c r="J318" s="65">
        <v>1</v>
      </c>
      <c r="K318" s="66">
        <v>1</v>
      </c>
      <c r="L318" s="60">
        <f t="shared" si="5"/>
        <v>0.37356464144298934</v>
      </c>
    </row>
    <row r="319" spans="1:12" x14ac:dyDescent="0.2">
      <c r="A319" s="362" t="s">
        <v>44</v>
      </c>
      <c r="B319" s="52" t="s">
        <v>46</v>
      </c>
      <c r="C319" s="430" t="s">
        <v>65</v>
      </c>
      <c r="D319" s="403">
        <v>0</v>
      </c>
      <c r="E319" s="419"/>
      <c r="F319" s="412" t="s">
        <v>78</v>
      </c>
      <c r="G319" s="74"/>
      <c r="H319" s="74"/>
      <c r="I319" s="74"/>
      <c r="J319" s="74"/>
      <c r="K319" s="85"/>
      <c r="L319" s="60" t="str">
        <f t="shared" si="5"/>
        <v/>
      </c>
    </row>
    <row r="320" spans="1:12" x14ac:dyDescent="0.2">
      <c r="A320" s="363" t="s">
        <v>44</v>
      </c>
      <c r="B320" s="20" t="s">
        <v>47</v>
      </c>
      <c r="C320" s="430" t="s">
        <v>65</v>
      </c>
      <c r="D320" s="402">
        <v>1.8700000000000001E-2</v>
      </c>
      <c r="E320" s="419" t="s">
        <v>103</v>
      </c>
      <c r="F320" s="414" t="s">
        <v>78</v>
      </c>
      <c r="G320" s="70">
        <v>1</v>
      </c>
      <c r="H320" s="70">
        <v>2</v>
      </c>
      <c r="I320" s="70">
        <v>3</v>
      </c>
      <c r="J320" s="70">
        <v>1</v>
      </c>
      <c r="K320" s="84">
        <v>1</v>
      </c>
      <c r="L320" s="60">
        <f t="shared" si="5"/>
        <v>0.37356464144298934</v>
      </c>
    </row>
    <row r="321" spans="1:13" s="72" customFormat="1" x14ac:dyDescent="0.2">
      <c r="A321" s="361" t="s">
        <v>295</v>
      </c>
      <c r="B321" s="118" t="s">
        <v>53</v>
      </c>
      <c r="C321" s="430" t="s">
        <v>65</v>
      </c>
      <c r="D321" s="433">
        <v>0.89190000000000003</v>
      </c>
      <c r="E321" s="419" t="s">
        <v>102</v>
      </c>
      <c r="F321" s="413" t="s">
        <v>78</v>
      </c>
      <c r="G321" s="68">
        <v>2</v>
      </c>
      <c r="H321" s="68">
        <v>2</v>
      </c>
      <c r="I321" s="68">
        <v>3</v>
      </c>
      <c r="J321" s="68">
        <v>1</v>
      </c>
      <c r="K321" s="83">
        <v>2</v>
      </c>
      <c r="L321" s="60">
        <f t="shared" si="5"/>
        <v>0.50042652380814845</v>
      </c>
      <c r="M321" s="82"/>
    </row>
    <row r="322" spans="1:13" x14ac:dyDescent="0.2">
      <c r="A322" s="362" t="s">
        <v>295</v>
      </c>
      <c r="B322" s="18" t="s">
        <v>46</v>
      </c>
      <c r="C322" s="430" t="s">
        <v>65</v>
      </c>
      <c r="D322" s="403">
        <v>0</v>
      </c>
      <c r="E322" s="419"/>
      <c r="F322" s="412" t="s">
        <v>78</v>
      </c>
      <c r="G322" s="74"/>
      <c r="H322" s="74"/>
      <c r="I322" s="74"/>
      <c r="J322" s="74"/>
      <c r="K322" s="85"/>
      <c r="L322" s="60" t="str">
        <f t="shared" si="5"/>
        <v/>
      </c>
      <c r="M322" s="80"/>
    </row>
    <row r="323" spans="1:13" s="73" customFormat="1" x14ac:dyDescent="0.2">
      <c r="A323" s="363" t="s">
        <v>295</v>
      </c>
      <c r="B323" s="20" t="s">
        <v>47</v>
      </c>
      <c r="C323" s="430" t="s">
        <v>65</v>
      </c>
      <c r="D323" s="433">
        <v>0.1081</v>
      </c>
      <c r="E323" s="419" t="s">
        <v>102</v>
      </c>
      <c r="F323" s="414" t="s">
        <v>78</v>
      </c>
      <c r="G323" s="70">
        <v>2</v>
      </c>
      <c r="H323" s="70">
        <v>2</v>
      </c>
      <c r="I323" s="70">
        <v>3</v>
      </c>
      <c r="J323" s="70">
        <v>1</v>
      </c>
      <c r="K323" s="84">
        <v>2</v>
      </c>
      <c r="L323" s="60">
        <f t="shared" si="5"/>
        <v>0.50042652380814845</v>
      </c>
      <c r="M323" s="81"/>
    </row>
    <row r="324" spans="1:13" s="72" customFormat="1" x14ac:dyDescent="0.2">
      <c r="A324" s="361" t="s">
        <v>294</v>
      </c>
      <c r="B324" s="118" t="s">
        <v>53</v>
      </c>
      <c r="C324" s="430" t="s">
        <v>65</v>
      </c>
      <c r="D324" s="433">
        <v>0.89190000000000003</v>
      </c>
      <c r="E324" s="419" t="s">
        <v>102</v>
      </c>
      <c r="F324" s="413" t="s">
        <v>78</v>
      </c>
      <c r="G324" s="68">
        <v>2</v>
      </c>
      <c r="H324" s="68">
        <v>2</v>
      </c>
      <c r="I324" s="68">
        <v>3</v>
      </c>
      <c r="J324" s="68">
        <v>1</v>
      </c>
      <c r="K324" s="83">
        <v>2</v>
      </c>
      <c r="L324" s="60">
        <f t="shared" ref="L324:L355" si="7">IF( OR( ISBLANK(G324),ISBLANK(H324), ISBLANK(I324), ISBLANK(J324), ISBLANK(K324) ), "", 1.5*SQRT(   EXP(2.21*(G324-1)) + EXP(2.21*(H324-1)) + EXP(2.21*(I324-1)) + EXP(2.21*(J324-1)) + EXP(2.21*K324)   )/100*2.45 )</f>
        <v>0.50042652380814845</v>
      </c>
      <c r="M324" s="82"/>
    </row>
    <row r="325" spans="1:13" x14ac:dyDescent="0.2">
      <c r="A325" s="362" t="s">
        <v>294</v>
      </c>
      <c r="B325" s="18" t="s">
        <v>46</v>
      </c>
      <c r="C325" s="430" t="s">
        <v>65</v>
      </c>
      <c r="D325" s="403">
        <v>0</v>
      </c>
      <c r="E325" s="419"/>
      <c r="F325" s="412" t="s">
        <v>78</v>
      </c>
      <c r="G325" s="74"/>
      <c r="H325" s="74"/>
      <c r="I325" s="74"/>
      <c r="J325" s="74"/>
      <c r="K325" s="85"/>
      <c r="L325" s="60" t="str">
        <f t="shared" si="7"/>
        <v/>
      </c>
      <c r="M325" s="80"/>
    </row>
    <row r="326" spans="1:13" s="73" customFormat="1" x14ac:dyDescent="0.2">
      <c r="A326" s="363" t="s">
        <v>294</v>
      </c>
      <c r="B326" s="20" t="s">
        <v>47</v>
      </c>
      <c r="C326" s="430" t="s">
        <v>65</v>
      </c>
      <c r="D326" s="433">
        <v>0.1081</v>
      </c>
      <c r="E326" s="419" t="s">
        <v>102</v>
      </c>
      <c r="F326" s="414" t="s">
        <v>78</v>
      </c>
      <c r="G326" s="70">
        <v>2</v>
      </c>
      <c r="H326" s="70">
        <v>2</v>
      </c>
      <c r="I326" s="70">
        <v>3</v>
      </c>
      <c r="J326" s="70">
        <v>1</v>
      </c>
      <c r="K326" s="84">
        <v>2</v>
      </c>
      <c r="L326" s="60">
        <f t="shared" si="7"/>
        <v>0.50042652380814845</v>
      </c>
      <c r="M326" s="81"/>
    </row>
    <row r="327" spans="1:13" x14ac:dyDescent="0.2">
      <c r="A327" s="364" t="s">
        <v>45</v>
      </c>
      <c r="B327" s="118" t="s">
        <v>53</v>
      </c>
      <c r="C327" s="430" t="s">
        <v>65</v>
      </c>
      <c r="D327" s="401" t="s">
        <v>56</v>
      </c>
      <c r="E327" s="419"/>
      <c r="F327" s="413" t="s">
        <v>78</v>
      </c>
      <c r="G327" s="61"/>
      <c r="H327" s="61"/>
      <c r="I327" s="61"/>
      <c r="J327" s="61"/>
      <c r="K327" s="30"/>
      <c r="L327" s="60" t="str">
        <f t="shared" si="7"/>
        <v/>
      </c>
    </row>
    <row r="328" spans="1:13" x14ac:dyDescent="0.2">
      <c r="A328" s="365" t="s">
        <v>45</v>
      </c>
      <c r="B328" s="18" t="s">
        <v>46</v>
      </c>
      <c r="C328" s="430" t="s">
        <v>65</v>
      </c>
      <c r="D328" s="403">
        <v>0</v>
      </c>
      <c r="E328" s="419" t="s">
        <v>71</v>
      </c>
      <c r="F328" s="412" t="s">
        <v>78</v>
      </c>
      <c r="G328" s="74"/>
      <c r="H328" s="74"/>
      <c r="I328" s="74"/>
      <c r="J328" s="74"/>
      <c r="K328" s="85"/>
      <c r="L328" s="60" t="str">
        <f t="shared" si="7"/>
        <v/>
      </c>
    </row>
    <row r="329" spans="1:13" x14ac:dyDescent="0.2">
      <c r="A329" s="365" t="s">
        <v>45</v>
      </c>
      <c r="B329" s="18" t="s">
        <v>67</v>
      </c>
      <c r="C329" s="318" t="s">
        <v>809</v>
      </c>
      <c r="D329" s="402">
        <v>0.16159999999999999</v>
      </c>
      <c r="E329" s="419" t="s">
        <v>264</v>
      </c>
      <c r="F329" s="412" t="s">
        <v>78</v>
      </c>
      <c r="G329" s="65">
        <v>1</v>
      </c>
      <c r="H329" s="65">
        <v>2</v>
      </c>
      <c r="I329" s="65">
        <v>3</v>
      </c>
      <c r="J329" s="65">
        <v>1</v>
      </c>
      <c r="K329" s="66">
        <v>1</v>
      </c>
      <c r="L329" s="60">
        <f t="shared" si="7"/>
        <v>0.37356464144298934</v>
      </c>
    </row>
    <row r="330" spans="1:13" x14ac:dyDescent="0.2">
      <c r="A330" s="365" t="s">
        <v>45</v>
      </c>
      <c r="B330" s="18" t="s">
        <v>67</v>
      </c>
      <c r="C330" s="322" t="s">
        <v>810</v>
      </c>
      <c r="D330" s="402">
        <v>0.16159999999999999</v>
      </c>
      <c r="E330" s="419" t="s">
        <v>264</v>
      </c>
      <c r="F330" s="412" t="s">
        <v>78</v>
      </c>
      <c r="G330" s="65">
        <v>1</v>
      </c>
      <c r="H330" s="65">
        <v>2</v>
      </c>
      <c r="I330" s="65">
        <v>3</v>
      </c>
      <c r="J330" s="65">
        <v>1</v>
      </c>
      <c r="K330" s="66">
        <v>1</v>
      </c>
      <c r="L330" s="60">
        <f t="shared" si="7"/>
        <v>0.37356464144298934</v>
      </c>
    </row>
    <row r="331" spans="1:13" x14ac:dyDescent="0.2">
      <c r="A331" s="365" t="s">
        <v>45</v>
      </c>
      <c r="B331" s="18" t="s">
        <v>67</v>
      </c>
      <c r="C331" s="323" t="s">
        <v>811</v>
      </c>
      <c r="D331" s="402">
        <v>0.16159999999999999</v>
      </c>
      <c r="E331" s="419" t="s">
        <v>264</v>
      </c>
      <c r="F331" s="412" t="s">
        <v>78</v>
      </c>
      <c r="G331" s="65">
        <v>1</v>
      </c>
      <c r="H331" s="65">
        <v>2</v>
      </c>
      <c r="I331" s="65">
        <v>3</v>
      </c>
      <c r="J331" s="65">
        <v>1</v>
      </c>
      <c r="K331" s="66">
        <v>1</v>
      </c>
      <c r="L331" s="60">
        <f t="shared" si="7"/>
        <v>0.37356464144298934</v>
      </c>
    </row>
    <row r="332" spans="1:13" x14ac:dyDescent="0.2">
      <c r="A332" s="365" t="s">
        <v>45</v>
      </c>
      <c r="B332" s="18" t="s">
        <v>67</v>
      </c>
      <c r="C332" s="324" t="s">
        <v>812</v>
      </c>
      <c r="D332" s="402">
        <v>0.16159999999999999</v>
      </c>
      <c r="E332" s="419" t="s">
        <v>264</v>
      </c>
      <c r="F332" s="412" t="s">
        <v>78</v>
      </c>
      <c r="G332" s="65">
        <v>1</v>
      </c>
      <c r="H332" s="65">
        <v>2</v>
      </c>
      <c r="I332" s="65">
        <v>3</v>
      </c>
      <c r="J332" s="65">
        <v>1</v>
      </c>
      <c r="K332" s="66">
        <v>1</v>
      </c>
      <c r="L332" s="60">
        <f t="shared" si="7"/>
        <v>0.37356464144298934</v>
      </c>
    </row>
    <row r="333" spans="1:13" x14ac:dyDescent="0.2">
      <c r="A333" s="365" t="s">
        <v>45</v>
      </c>
      <c r="B333" s="18" t="s">
        <v>67</v>
      </c>
      <c r="C333" s="325" t="s">
        <v>813</v>
      </c>
      <c r="D333" s="402">
        <v>0.16159999999999999</v>
      </c>
      <c r="E333" s="419" t="s">
        <v>264</v>
      </c>
      <c r="F333" s="412" t="s">
        <v>78</v>
      </c>
      <c r="G333" s="65">
        <v>1</v>
      </c>
      <c r="H333" s="65">
        <v>2</v>
      </c>
      <c r="I333" s="65">
        <v>3</v>
      </c>
      <c r="J333" s="65">
        <v>1</v>
      </c>
      <c r="K333" s="66">
        <v>1</v>
      </c>
      <c r="L333" s="60">
        <f t="shared" si="7"/>
        <v>0.37356464144298934</v>
      </c>
    </row>
    <row r="334" spans="1:13" x14ac:dyDescent="0.2">
      <c r="A334" s="365" t="s">
        <v>45</v>
      </c>
      <c r="B334" s="18" t="s">
        <v>47</v>
      </c>
      <c r="C334" s="318" t="s">
        <v>809</v>
      </c>
      <c r="D334" s="402">
        <v>7.5999999999999998E-2</v>
      </c>
      <c r="E334" s="419" t="s">
        <v>105</v>
      </c>
      <c r="F334" s="412" t="s">
        <v>78</v>
      </c>
      <c r="G334" s="65">
        <v>2</v>
      </c>
      <c r="H334" s="65">
        <v>3</v>
      </c>
      <c r="I334" s="65">
        <v>3</v>
      </c>
      <c r="J334" s="65">
        <v>1</v>
      </c>
      <c r="K334" s="66">
        <v>2</v>
      </c>
      <c r="L334" s="60">
        <f t="shared" si="7"/>
        <v>0.59189702474662764</v>
      </c>
    </row>
    <row r="335" spans="1:13" x14ac:dyDescent="0.2">
      <c r="A335" s="365" t="s">
        <v>45</v>
      </c>
      <c r="B335" s="18" t="s">
        <v>47</v>
      </c>
      <c r="C335" s="322" t="s">
        <v>810</v>
      </c>
      <c r="D335" s="402">
        <v>7.5999999999999998E-2</v>
      </c>
      <c r="E335" s="419" t="s">
        <v>106</v>
      </c>
      <c r="F335" s="412" t="s">
        <v>78</v>
      </c>
      <c r="G335" s="65">
        <v>2</v>
      </c>
      <c r="H335" s="65">
        <v>3</v>
      </c>
      <c r="I335" s="65">
        <v>3</v>
      </c>
      <c r="J335" s="65">
        <v>1</v>
      </c>
      <c r="K335" s="66">
        <v>2</v>
      </c>
      <c r="L335" s="60">
        <f t="shared" si="7"/>
        <v>0.59189702474662764</v>
      </c>
    </row>
    <row r="336" spans="1:13" x14ac:dyDescent="0.2">
      <c r="A336" s="365" t="s">
        <v>45</v>
      </c>
      <c r="B336" s="18" t="s">
        <v>47</v>
      </c>
      <c r="C336" s="323" t="s">
        <v>811</v>
      </c>
      <c r="D336" s="402">
        <v>7.5999999999999998E-2</v>
      </c>
      <c r="E336" s="419" t="s">
        <v>107</v>
      </c>
      <c r="F336" s="412" t="s">
        <v>78</v>
      </c>
      <c r="G336" s="65">
        <v>2</v>
      </c>
      <c r="H336" s="65">
        <v>3</v>
      </c>
      <c r="I336" s="65">
        <v>3</v>
      </c>
      <c r="J336" s="65">
        <v>1</v>
      </c>
      <c r="K336" s="66">
        <v>2</v>
      </c>
      <c r="L336" s="60">
        <f t="shared" si="7"/>
        <v>0.59189702474662764</v>
      </c>
    </row>
    <row r="337" spans="1:12" x14ac:dyDescent="0.2">
      <c r="A337" s="365" t="s">
        <v>45</v>
      </c>
      <c r="B337" s="18" t="s">
        <v>47</v>
      </c>
      <c r="C337" s="324" t="s">
        <v>812</v>
      </c>
      <c r="D337" s="402">
        <v>7.5999999999999998E-2</v>
      </c>
      <c r="E337" s="419" t="s">
        <v>821</v>
      </c>
      <c r="F337" s="412" t="s">
        <v>78</v>
      </c>
      <c r="G337" s="65">
        <v>2</v>
      </c>
      <c r="H337" s="65">
        <v>3</v>
      </c>
      <c r="I337" s="65">
        <v>3</v>
      </c>
      <c r="J337" s="65">
        <v>1</v>
      </c>
      <c r="K337" s="66">
        <v>2</v>
      </c>
      <c r="L337" s="60">
        <f t="shared" si="7"/>
        <v>0.59189702474662764</v>
      </c>
    </row>
    <row r="338" spans="1:12" x14ac:dyDescent="0.2">
      <c r="A338" s="366" t="s">
        <v>45</v>
      </c>
      <c r="B338" s="20" t="s">
        <v>47</v>
      </c>
      <c r="C338" s="325" t="s">
        <v>813</v>
      </c>
      <c r="D338" s="402">
        <v>7.5999999999999998E-2</v>
      </c>
      <c r="E338" s="419" t="s">
        <v>82</v>
      </c>
      <c r="F338" s="414" t="s">
        <v>78</v>
      </c>
      <c r="G338" s="70">
        <v>1</v>
      </c>
      <c r="H338" s="70">
        <v>3</v>
      </c>
      <c r="I338" s="70">
        <v>1</v>
      </c>
      <c r="J338" s="70">
        <v>1</v>
      </c>
      <c r="K338" s="84">
        <v>2</v>
      </c>
      <c r="L338" s="60">
        <f t="shared" si="7"/>
        <v>0.47802211380704585</v>
      </c>
    </row>
    <row r="339" spans="1:12" x14ac:dyDescent="0.2">
      <c r="A339" s="364" t="s">
        <v>48</v>
      </c>
      <c r="B339" s="118" t="s">
        <v>47</v>
      </c>
      <c r="C339" s="430" t="s">
        <v>65</v>
      </c>
      <c r="D339" s="402">
        <v>0.1</v>
      </c>
      <c r="E339" s="419" t="s">
        <v>83</v>
      </c>
      <c r="F339" s="413" t="s">
        <v>78</v>
      </c>
      <c r="G339" s="68">
        <v>2</v>
      </c>
      <c r="H339" s="68">
        <v>2</v>
      </c>
      <c r="I339" s="68">
        <v>3</v>
      </c>
      <c r="J339" s="68">
        <v>1</v>
      </c>
      <c r="K339" s="83">
        <v>1</v>
      </c>
      <c r="L339" s="60">
        <f t="shared" si="7"/>
        <v>0.38795788889711302</v>
      </c>
    </row>
    <row r="340" spans="1:12" x14ac:dyDescent="0.2">
      <c r="A340" s="365" t="s">
        <v>48</v>
      </c>
      <c r="B340" s="18" t="s">
        <v>46</v>
      </c>
      <c r="C340" s="430" t="s">
        <v>65</v>
      </c>
      <c r="D340" s="403">
        <v>0</v>
      </c>
      <c r="E340" s="419"/>
      <c r="F340" s="412" t="s">
        <v>78</v>
      </c>
      <c r="G340" s="74"/>
      <c r="H340" s="74"/>
      <c r="I340" s="74"/>
      <c r="J340" s="74"/>
      <c r="K340" s="85"/>
      <c r="L340" s="60" t="str">
        <f t="shared" si="7"/>
        <v/>
      </c>
    </row>
    <row r="341" spans="1:12" x14ac:dyDescent="0.2">
      <c r="A341" s="366" t="s">
        <v>48</v>
      </c>
      <c r="B341" s="20" t="s">
        <v>53</v>
      </c>
      <c r="C341" s="430" t="s">
        <v>65</v>
      </c>
      <c r="D341" s="401" t="s">
        <v>56</v>
      </c>
      <c r="E341" s="419"/>
      <c r="F341" s="416" t="s">
        <v>78</v>
      </c>
      <c r="G341" s="75"/>
      <c r="H341" s="75"/>
      <c r="I341" s="75"/>
      <c r="J341" s="75"/>
      <c r="K341" s="29"/>
      <c r="L341" s="60" t="str">
        <f t="shared" si="7"/>
        <v/>
      </c>
    </row>
    <row r="342" spans="1:12" x14ac:dyDescent="0.2">
      <c r="A342" s="364" t="s">
        <v>49</v>
      </c>
      <c r="B342" s="118" t="s">
        <v>53</v>
      </c>
      <c r="C342" s="430" t="s">
        <v>65</v>
      </c>
      <c r="D342" s="430">
        <v>0.72319999999999995</v>
      </c>
      <c r="E342" s="419" t="s">
        <v>73</v>
      </c>
      <c r="F342" s="413" t="s">
        <v>78</v>
      </c>
      <c r="G342" s="68">
        <v>2</v>
      </c>
      <c r="H342" s="68">
        <v>2</v>
      </c>
      <c r="I342" s="68">
        <v>3</v>
      </c>
      <c r="J342" s="68">
        <v>1</v>
      </c>
      <c r="K342" s="83">
        <v>2</v>
      </c>
      <c r="L342" s="60">
        <f t="shared" si="7"/>
        <v>0.50042652380814845</v>
      </c>
    </row>
    <row r="343" spans="1:12" x14ac:dyDescent="0.2">
      <c r="A343" s="365" t="s">
        <v>49</v>
      </c>
      <c r="B343" s="18" t="s">
        <v>55</v>
      </c>
      <c r="C343" s="430" t="s">
        <v>65</v>
      </c>
      <c r="D343" s="430">
        <v>8.5400000000000004E-2</v>
      </c>
      <c r="E343" s="419" t="s">
        <v>73</v>
      </c>
      <c r="F343" s="412" t="s">
        <v>78</v>
      </c>
      <c r="G343" s="65">
        <v>2</v>
      </c>
      <c r="H343" s="65">
        <v>2</v>
      </c>
      <c r="I343" s="65">
        <v>3</v>
      </c>
      <c r="J343" s="65">
        <v>1</v>
      </c>
      <c r="K343" s="66">
        <v>2</v>
      </c>
      <c r="L343" s="60">
        <f t="shared" si="7"/>
        <v>0.50042652380814845</v>
      </c>
    </row>
    <row r="344" spans="1:12" x14ac:dyDescent="0.2">
      <c r="A344" s="365" t="s">
        <v>49</v>
      </c>
      <c r="B344" s="18" t="s">
        <v>46</v>
      </c>
      <c r="C344" s="430" t="s">
        <v>65</v>
      </c>
      <c r="D344" s="403">
        <v>0</v>
      </c>
      <c r="E344" s="419"/>
      <c r="F344" s="412" t="s">
        <v>78</v>
      </c>
      <c r="G344" s="74"/>
      <c r="H344" s="74"/>
      <c r="I344" s="74"/>
      <c r="J344" s="74"/>
      <c r="K344" s="85"/>
      <c r="L344" s="60" t="str">
        <f t="shared" si="7"/>
        <v/>
      </c>
    </row>
    <row r="345" spans="1:12" x14ac:dyDescent="0.2">
      <c r="A345" s="366" t="s">
        <v>49</v>
      </c>
      <c r="B345" s="20" t="s">
        <v>47</v>
      </c>
      <c r="C345" s="430" t="s">
        <v>65</v>
      </c>
      <c r="D345" s="401" t="s">
        <v>56</v>
      </c>
      <c r="E345" s="419"/>
      <c r="F345" s="414" t="s">
        <v>78</v>
      </c>
      <c r="G345" s="75"/>
      <c r="H345" s="75"/>
      <c r="I345" s="75"/>
      <c r="J345" s="75"/>
      <c r="K345" s="29"/>
      <c r="L345" s="60" t="str">
        <f t="shared" si="7"/>
        <v/>
      </c>
    </row>
    <row r="346" spans="1:12" x14ac:dyDescent="0.2">
      <c r="A346" s="364" t="s">
        <v>50</v>
      </c>
      <c r="B346" s="118" t="s">
        <v>53</v>
      </c>
      <c r="C346" s="430" t="s">
        <v>65</v>
      </c>
      <c r="D346" s="403">
        <v>0</v>
      </c>
      <c r="E346" s="419" t="s">
        <v>77</v>
      </c>
      <c r="F346" s="413" t="s">
        <v>78</v>
      </c>
      <c r="G346" s="61"/>
      <c r="H346" s="61"/>
      <c r="I346" s="61"/>
      <c r="J346" s="61"/>
      <c r="K346" s="30"/>
      <c r="L346" s="60" t="str">
        <f t="shared" si="7"/>
        <v/>
      </c>
    </row>
    <row r="347" spans="1:12" x14ac:dyDescent="0.2">
      <c r="A347" s="365" t="s">
        <v>50</v>
      </c>
      <c r="B347" s="18" t="s">
        <v>46</v>
      </c>
      <c r="C347" s="430" t="s">
        <v>65</v>
      </c>
      <c r="D347" s="403">
        <v>0</v>
      </c>
      <c r="E347" s="419"/>
      <c r="F347" s="412" t="s">
        <v>78</v>
      </c>
      <c r="G347" s="74"/>
      <c r="H347" s="74"/>
      <c r="I347" s="74"/>
      <c r="J347" s="74"/>
      <c r="K347" s="85"/>
      <c r="L347" s="60" t="str">
        <f t="shared" si="7"/>
        <v/>
      </c>
    </row>
    <row r="348" spans="1:12" x14ac:dyDescent="0.2">
      <c r="A348" s="366" t="s">
        <v>50</v>
      </c>
      <c r="B348" s="20" t="s">
        <v>47</v>
      </c>
      <c r="C348" s="430" t="s">
        <v>65</v>
      </c>
      <c r="D348" s="403">
        <v>1</v>
      </c>
      <c r="E348" s="419" t="s">
        <v>77</v>
      </c>
      <c r="F348" s="414" t="s">
        <v>78</v>
      </c>
      <c r="G348" s="75"/>
      <c r="H348" s="75"/>
      <c r="I348" s="75"/>
      <c r="J348" s="75"/>
      <c r="K348" s="29"/>
      <c r="L348" s="60" t="str">
        <f t="shared" si="7"/>
        <v/>
      </c>
    </row>
    <row r="349" spans="1:12" x14ac:dyDescent="0.2">
      <c r="A349" s="364" t="s">
        <v>51</v>
      </c>
      <c r="B349" s="118" t="s">
        <v>53</v>
      </c>
      <c r="C349" s="430" t="s">
        <v>65</v>
      </c>
      <c r="D349" s="402">
        <v>0.51</v>
      </c>
      <c r="E349" s="419" t="s">
        <v>80</v>
      </c>
      <c r="F349" s="413" t="s">
        <v>78</v>
      </c>
      <c r="G349" s="68">
        <v>1</v>
      </c>
      <c r="H349" s="68">
        <v>2</v>
      </c>
      <c r="I349" s="68">
        <v>3</v>
      </c>
      <c r="J349" s="68">
        <v>1</v>
      </c>
      <c r="K349" s="83">
        <v>3</v>
      </c>
      <c r="L349" s="60">
        <f t="shared" si="7"/>
        <v>1.0725046436742278</v>
      </c>
    </row>
    <row r="350" spans="1:12" x14ac:dyDescent="0.2">
      <c r="A350" s="365" t="s">
        <v>51</v>
      </c>
      <c r="B350" s="18" t="s">
        <v>46</v>
      </c>
      <c r="C350" s="430" t="s">
        <v>65</v>
      </c>
      <c r="D350" s="403">
        <v>0</v>
      </c>
      <c r="E350" s="419"/>
      <c r="F350" s="412" t="s">
        <v>78</v>
      </c>
      <c r="G350" s="74"/>
      <c r="H350" s="74"/>
      <c r="I350" s="74"/>
      <c r="J350" s="74"/>
      <c r="K350" s="85"/>
      <c r="L350" s="60" t="str">
        <f t="shared" si="7"/>
        <v/>
      </c>
    </row>
    <row r="351" spans="1:12" x14ac:dyDescent="0.2">
      <c r="A351" s="366" t="s">
        <v>51</v>
      </c>
      <c r="B351" s="20" t="s">
        <v>47</v>
      </c>
      <c r="C351" s="430" t="s">
        <v>65</v>
      </c>
      <c r="D351" s="401" t="s">
        <v>56</v>
      </c>
      <c r="E351" s="419"/>
      <c r="F351" s="414" t="s">
        <v>78</v>
      </c>
      <c r="G351" s="75"/>
      <c r="H351" s="75"/>
      <c r="I351" s="75"/>
      <c r="J351" s="75"/>
      <c r="K351" s="29"/>
      <c r="L351" s="60" t="str">
        <f t="shared" si="7"/>
        <v/>
      </c>
    </row>
    <row r="352" spans="1:12" x14ac:dyDescent="0.2">
      <c r="A352" s="364" t="s">
        <v>52</v>
      </c>
      <c r="B352" s="118" t="s">
        <v>53</v>
      </c>
      <c r="C352" s="430" t="s">
        <v>65</v>
      </c>
      <c r="D352" s="401" t="s">
        <v>56</v>
      </c>
      <c r="E352" s="423"/>
      <c r="F352" s="413" t="s">
        <v>78</v>
      </c>
      <c r="G352" s="61"/>
      <c r="H352" s="61"/>
      <c r="I352" s="61"/>
      <c r="J352" s="61"/>
      <c r="K352" s="30"/>
      <c r="L352" s="60" t="str">
        <f t="shared" si="7"/>
        <v/>
      </c>
    </row>
    <row r="353" spans="1:12" x14ac:dyDescent="0.2">
      <c r="A353" s="365" t="s">
        <v>52</v>
      </c>
      <c r="B353" s="18" t="s">
        <v>46</v>
      </c>
      <c r="C353" s="430" t="s">
        <v>65</v>
      </c>
      <c r="D353" s="403">
        <v>0</v>
      </c>
      <c r="E353" s="419"/>
      <c r="F353" s="412" t="s">
        <v>78</v>
      </c>
      <c r="G353" s="74"/>
      <c r="H353" s="74"/>
      <c r="I353" s="74"/>
      <c r="J353" s="74"/>
      <c r="K353" s="85"/>
      <c r="L353" s="60" t="str">
        <f t="shared" si="7"/>
        <v/>
      </c>
    </row>
    <row r="354" spans="1:12" x14ac:dyDescent="0.2">
      <c r="A354" s="366" t="s">
        <v>52</v>
      </c>
      <c r="B354" s="20" t="s">
        <v>47</v>
      </c>
      <c r="C354" s="430" t="s">
        <v>65</v>
      </c>
      <c r="D354" s="402">
        <v>0.1</v>
      </c>
      <c r="E354" s="419" t="s">
        <v>82</v>
      </c>
      <c r="F354" s="414" t="s">
        <v>78</v>
      </c>
      <c r="G354" s="65">
        <v>2</v>
      </c>
      <c r="H354" s="65">
        <v>2</v>
      </c>
      <c r="I354" s="65">
        <v>3</v>
      </c>
      <c r="J354" s="65">
        <v>1</v>
      </c>
      <c r="K354" s="66">
        <v>1</v>
      </c>
      <c r="L354" s="60">
        <f t="shared" si="7"/>
        <v>0.38795788889711302</v>
      </c>
    </row>
    <row r="355" spans="1:12" ht="16" thickBot="1" x14ac:dyDescent="0.25">
      <c r="A355" s="367" t="s">
        <v>47</v>
      </c>
      <c r="B355" s="410" t="s">
        <v>54</v>
      </c>
      <c r="C355" s="436" t="s">
        <v>65</v>
      </c>
      <c r="D355" s="437">
        <v>1</v>
      </c>
      <c r="E355" s="438"/>
      <c r="F355" s="417" t="s">
        <v>78</v>
      </c>
      <c r="G355" s="368"/>
      <c r="H355" s="368"/>
      <c r="I355" s="368"/>
      <c r="J355" s="368"/>
      <c r="K355" s="369"/>
      <c r="L355" s="439" t="str">
        <f t="shared" si="7"/>
        <v/>
      </c>
    </row>
  </sheetData>
  <conditionalFormatting sqref="G274:K274">
    <cfRule type="dataBar" priority="1450">
      <dataBar>
        <cfvo type="min"/>
        <cfvo type="max"/>
        <color rgb="FFFFB628"/>
      </dataBar>
      <extLst>
        <ext xmlns:x14="http://schemas.microsoft.com/office/spreadsheetml/2009/9/main" uri="{B025F937-C7B1-47D3-B67F-A62EFF666E3E}">
          <x14:id>{B5C77FB0-281E-9C4B-9FD3-61D572814B3A}</x14:id>
        </ext>
      </extLst>
    </cfRule>
  </conditionalFormatting>
  <conditionalFormatting sqref="G55:K55">
    <cfRule type="dataBar" priority="1451">
      <dataBar>
        <cfvo type="min"/>
        <cfvo type="max"/>
        <color rgb="FFFFB628"/>
      </dataBar>
      <extLst>
        <ext xmlns:x14="http://schemas.microsoft.com/office/spreadsheetml/2009/9/main" uri="{B025F937-C7B1-47D3-B67F-A62EFF666E3E}">
          <x14:id>{0EF66FF3-2011-3349-9219-4E59AE31CAE5}</x14:id>
        </ext>
      </extLst>
    </cfRule>
  </conditionalFormatting>
  <conditionalFormatting sqref="G180:K180">
    <cfRule type="dataBar" priority="1452">
      <dataBar>
        <cfvo type="min"/>
        <cfvo type="max"/>
        <color rgb="FFFFB628"/>
      </dataBar>
      <extLst>
        <ext xmlns:x14="http://schemas.microsoft.com/office/spreadsheetml/2009/9/main" uri="{B025F937-C7B1-47D3-B67F-A62EFF666E3E}">
          <x14:id>{D7B133FB-D7F8-EF41-B450-337958371A9F}</x14:id>
        </ext>
      </extLst>
    </cfRule>
  </conditionalFormatting>
  <conditionalFormatting sqref="G190:K190">
    <cfRule type="dataBar" priority="1453">
      <dataBar>
        <cfvo type="min"/>
        <cfvo type="max"/>
        <color rgb="FFFFB628"/>
      </dataBar>
      <extLst>
        <ext xmlns:x14="http://schemas.microsoft.com/office/spreadsheetml/2009/9/main" uri="{B025F937-C7B1-47D3-B67F-A62EFF666E3E}">
          <x14:id>{C3C19206-0B0C-4B40-8578-F84C6C0CF873}</x14:id>
        </ext>
      </extLst>
    </cfRule>
  </conditionalFormatting>
  <conditionalFormatting sqref="G200:K200">
    <cfRule type="dataBar" priority="1454">
      <dataBar>
        <cfvo type="min"/>
        <cfvo type="max"/>
        <color rgb="FFFFB628"/>
      </dataBar>
      <extLst>
        <ext xmlns:x14="http://schemas.microsoft.com/office/spreadsheetml/2009/9/main" uri="{B025F937-C7B1-47D3-B67F-A62EFF666E3E}">
          <x14:id>{AB4B7CDD-188C-D641-BFDB-9D46592226FB}</x14:id>
        </ext>
      </extLst>
    </cfRule>
  </conditionalFormatting>
  <conditionalFormatting sqref="G45:K45">
    <cfRule type="dataBar" priority="34">
      <dataBar>
        <cfvo type="min"/>
        <cfvo type="max"/>
        <color rgb="FFFFB628"/>
      </dataBar>
      <extLst>
        <ext xmlns:x14="http://schemas.microsoft.com/office/spreadsheetml/2009/9/main" uri="{B025F937-C7B1-47D3-B67F-A62EFF666E3E}">
          <x14:id>{608D6403-ECD6-BA4E-88F6-7A11F816F096}</x14:id>
        </ext>
      </extLst>
    </cfRule>
  </conditionalFormatting>
  <conditionalFormatting sqref="G168:K168">
    <cfRule type="dataBar" priority="32">
      <dataBar>
        <cfvo type="min"/>
        <cfvo type="max"/>
        <color rgb="FFFFB628"/>
      </dataBar>
      <extLst>
        <ext xmlns:x14="http://schemas.microsoft.com/office/spreadsheetml/2009/9/main" uri="{B025F937-C7B1-47D3-B67F-A62EFF666E3E}">
          <x14:id>{C99305BA-E41F-2F48-B581-586B5BCB22FA}</x14:id>
        </ext>
      </extLst>
    </cfRule>
  </conditionalFormatting>
  <conditionalFormatting sqref="G170:K170">
    <cfRule type="dataBar" priority="30">
      <dataBar>
        <cfvo type="min"/>
        <cfvo type="max"/>
        <color rgb="FFFFB628"/>
      </dataBar>
      <extLst>
        <ext xmlns:x14="http://schemas.microsoft.com/office/spreadsheetml/2009/9/main" uri="{B025F937-C7B1-47D3-B67F-A62EFF666E3E}">
          <x14:id>{7B881160-5EB2-8E4B-B4E4-EA027BC68F4D}</x14:id>
        </ext>
      </extLst>
    </cfRule>
  </conditionalFormatting>
  <conditionalFormatting sqref="G205:K205">
    <cfRule type="dataBar" priority="24">
      <dataBar>
        <cfvo type="min"/>
        <cfvo type="max"/>
        <color rgb="FFFFB628"/>
      </dataBar>
      <extLst>
        <ext xmlns:x14="http://schemas.microsoft.com/office/spreadsheetml/2009/9/main" uri="{B025F937-C7B1-47D3-B67F-A62EFF666E3E}">
          <x14:id>{39D1B4FF-C5DD-644C-88A1-63467B10F70D}</x14:id>
        </ext>
      </extLst>
    </cfRule>
  </conditionalFormatting>
  <conditionalFormatting sqref="G215:K215">
    <cfRule type="dataBar" priority="22">
      <dataBar>
        <cfvo type="min"/>
        <cfvo type="max"/>
        <color rgb="FFFFB628"/>
      </dataBar>
      <extLst>
        <ext xmlns:x14="http://schemas.microsoft.com/office/spreadsheetml/2009/9/main" uri="{B025F937-C7B1-47D3-B67F-A62EFF666E3E}">
          <x14:id>{65CEA108-B086-9E43-9D8D-EFFFC4F582F4}</x14:id>
        </ext>
      </extLst>
    </cfRule>
  </conditionalFormatting>
  <conditionalFormatting sqref="G321:K326">
    <cfRule type="dataBar" priority="20">
      <dataBar>
        <cfvo type="min"/>
        <cfvo type="max"/>
        <color rgb="FFFFB628"/>
      </dataBar>
      <extLst>
        <ext xmlns:x14="http://schemas.microsoft.com/office/spreadsheetml/2009/9/main" uri="{B025F937-C7B1-47D3-B67F-A62EFF666E3E}">
          <x14:id>{68CE6C7C-1BCD-4EA4-BF5D-E7D30A6F49E3}</x14:id>
        </ext>
      </extLst>
    </cfRule>
  </conditionalFormatting>
  <conditionalFormatting sqref="L2:L258 L261:L355">
    <cfRule type="dataBar" priority="1478">
      <dataBar>
        <cfvo type="min"/>
        <cfvo type="max"/>
        <color rgb="FF3FCDFF"/>
      </dataBar>
      <extLst>
        <ext xmlns:x14="http://schemas.microsoft.com/office/spreadsheetml/2009/9/main" uri="{B025F937-C7B1-47D3-B67F-A62EFF666E3E}">
          <x14:id>{B62E6C06-F010-C647-B181-75E3E510B556}</x14:id>
        </ext>
      </extLst>
    </cfRule>
  </conditionalFormatting>
  <conditionalFormatting sqref="G275:K320 G181:K189 G191:K199 G201:K204 G46:K54 G169:K169 G171:K179 G216:K258 G206:K209 G327:K355 G2:K44 G56:K114 G135:K147 G122:K131 G116:K120 G149:K150 G153:K162 G164:K167 G211:K214 G261:K273">
    <cfRule type="dataBar" priority="1480">
      <dataBar>
        <cfvo type="min"/>
        <cfvo type="max"/>
        <color rgb="FFFFB628"/>
      </dataBar>
      <extLst>
        <ext xmlns:x14="http://schemas.microsoft.com/office/spreadsheetml/2009/9/main" uri="{B025F937-C7B1-47D3-B67F-A62EFF666E3E}">
          <x14:id>{2F9951E6-9718-6649-A91A-AEC158B35C8A}</x14:id>
        </ext>
      </extLst>
    </cfRule>
  </conditionalFormatting>
  <conditionalFormatting sqref="G132:K134">
    <cfRule type="dataBar" priority="18">
      <dataBar>
        <cfvo type="min"/>
        <cfvo type="max"/>
        <color rgb="FFFFB628"/>
      </dataBar>
      <extLst>
        <ext xmlns:x14="http://schemas.microsoft.com/office/spreadsheetml/2009/9/main" uri="{B025F937-C7B1-47D3-B67F-A62EFF666E3E}">
          <x14:id>{3987B7E6-4D57-F942-A2FD-C5DD9455D845}</x14:id>
        </ext>
      </extLst>
    </cfRule>
  </conditionalFormatting>
  <conditionalFormatting sqref="G121:K121">
    <cfRule type="dataBar" priority="16">
      <dataBar>
        <cfvo type="min"/>
        <cfvo type="max"/>
        <color rgb="FFFFB628"/>
      </dataBar>
      <extLst>
        <ext xmlns:x14="http://schemas.microsoft.com/office/spreadsheetml/2009/9/main" uri="{B025F937-C7B1-47D3-B67F-A62EFF666E3E}">
          <x14:id>{F768429E-87F8-9B4A-AA78-D2F589123997}</x14:id>
        </ext>
      </extLst>
    </cfRule>
  </conditionalFormatting>
  <conditionalFormatting sqref="G115:K115">
    <cfRule type="dataBar" priority="14">
      <dataBar>
        <cfvo type="min"/>
        <cfvo type="max"/>
        <color rgb="FFFFB628"/>
      </dataBar>
      <extLst>
        <ext xmlns:x14="http://schemas.microsoft.com/office/spreadsheetml/2009/9/main" uri="{B025F937-C7B1-47D3-B67F-A62EFF666E3E}">
          <x14:id>{29B734BF-9E4A-ED48-8E2D-C214018B730B}</x14:id>
        </ext>
      </extLst>
    </cfRule>
  </conditionalFormatting>
  <conditionalFormatting sqref="G148:K148">
    <cfRule type="dataBar" priority="12">
      <dataBar>
        <cfvo type="min"/>
        <cfvo type="max"/>
        <color rgb="FFFFB628"/>
      </dataBar>
      <extLst>
        <ext xmlns:x14="http://schemas.microsoft.com/office/spreadsheetml/2009/9/main" uri="{B025F937-C7B1-47D3-B67F-A62EFF666E3E}">
          <x14:id>{70865B50-CDF1-7246-9389-9FEC7BFC6CB9}</x14:id>
        </ext>
      </extLst>
    </cfRule>
  </conditionalFormatting>
  <conditionalFormatting sqref="G151:K151">
    <cfRule type="dataBar" priority="10">
      <dataBar>
        <cfvo type="min"/>
        <cfvo type="max"/>
        <color rgb="FFFFB628"/>
      </dataBar>
      <extLst>
        <ext xmlns:x14="http://schemas.microsoft.com/office/spreadsheetml/2009/9/main" uri="{B025F937-C7B1-47D3-B67F-A62EFF666E3E}">
          <x14:id>{AE0A130C-811B-5F48-B11B-D11476E04A3A}</x14:id>
        </ext>
      </extLst>
    </cfRule>
  </conditionalFormatting>
  <conditionalFormatting sqref="G152:K152">
    <cfRule type="dataBar" priority="8">
      <dataBar>
        <cfvo type="min"/>
        <cfvo type="max"/>
        <color rgb="FFFFB628"/>
      </dataBar>
      <extLst>
        <ext xmlns:x14="http://schemas.microsoft.com/office/spreadsheetml/2009/9/main" uri="{B025F937-C7B1-47D3-B67F-A62EFF666E3E}">
          <x14:id>{6FE264B6-1385-E144-A388-59A97CF1362D}</x14:id>
        </ext>
      </extLst>
    </cfRule>
  </conditionalFormatting>
  <conditionalFormatting sqref="G163:K163">
    <cfRule type="dataBar" priority="6">
      <dataBar>
        <cfvo type="min"/>
        <cfvo type="max"/>
        <color rgb="FFFFB628"/>
      </dataBar>
      <extLst>
        <ext xmlns:x14="http://schemas.microsoft.com/office/spreadsheetml/2009/9/main" uri="{B025F937-C7B1-47D3-B67F-A62EFF666E3E}">
          <x14:id>{6EA89020-0E33-5642-B5FD-0F9E96C00E96}</x14:id>
        </ext>
      </extLst>
    </cfRule>
  </conditionalFormatting>
  <conditionalFormatting sqref="G210:K210">
    <cfRule type="dataBar" priority="4">
      <dataBar>
        <cfvo type="min"/>
        <cfvo type="max"/>
        <color rgb="FFFFB628"/>
      </dataBar>
      <extLst>
        <ext xmlns:x14="http://schemas.microsoft.com/office/spreadsheetml/2009/9/main" uri="{B025F937-C7B1-47D3-B67F-A62EFF666E3E}">
          <x14:id>{AC40FCCB-BB46-2141-9C50-244F85A4472E}</x14:id>
        </ext>
      </extLst>
    </cfRule>
  </conditionalFormatting>
  <conditionalFormatting sqref="L259:L260">
    <cfRule type="dataBar" priority="1">
      <dataBar>
        <cfvo type="min"/>
        <cfvo type="max"/>
        <color rgb="FF3FCDFF"/>
      </dataBar>
      <extLst>
        <ext xmlns:x14="http://schemas.microsoft.com/office/spreadsheetml/2009/9/main" uri="{B025F937-C7B1-47D3-B67F-A62EFF666E3E}">
          <x14:id>{693BE152-DF95-A94B-A826-819612166195}</x14:id>
        </ext>
      </extLst>
    </cfRule>
  </conditionalFormatting>
  <conditionalFormatting sqref="G259:K260">
    <cfRule type="dataBar" priority="2">
      <dataBar>
        <cfvo type="min"/>
        <cfvo type="max"/>
        <color rgb="FFFFB628"/>
      </dataBar>
      <extLst>
        <ext xmlns:x14="http://schemas.microsoft.com/office/spreadsheetml/2009/9/main" uri="{B025F937-C7B1-47D3-B67F-A62EFF666E3E}">
          <x14:id>{740268CA-9C8E-0141-8271-FEF305023EC5}</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B5C77FB0-281E-9C4B-9FD3-61D572814B3A}">
            <x14:dataBar minLength="0" maxLength="100" gradient="0">
              <x14:cfvo type="autoMin"/>
              <x14:cfvo type="autoMax"/>
              <x14:negativeFillColor rgb="FFFF0000"/>
              <x14:axisColor rgb="FF000000"/>
            </x14:dataBar>
          </x14:cfRule>
          <xm:sqref>G274:K274</xm:sqref>
        </x14:conditionalFormatting>
        <x14:conditionalFormatting xmlns:xm="http://schemas.microsoft.com/office/excel/2006/main">
          <x14:cfRule type="dataBar" id="{0EF66FF3-2011-3349-9219-4E59AE31CAE5}">
            <x14:dataBar minLength="0" maxLength="100" gradient="0">
              <x14:cfvo type="autoMin"/>
              <x14:cfvo type="autoMax"/>
              <x14:negativeFillColor rgb="FFFF0000"/>
              <x14:axisColor rgb="FF000000"/>
            </x14:dataBar>
          </x14:cfRule>
          <xm:sqref>G55:K55</xm:sqref>
        </x14:conditionalFormatting>
        <x14:conditionalFormatting xmlns:xm="http://schemas.microsoft.com/office/excel/2006/main">
          <x14:cfRule type="dataBar" id="{D7B133FB-D7F8-EF41-B450-337958371A9F}">
            <x14:dataBar minLength="0" maxLength="100" gradient="0">
              <x14:cfvo type="autoMin"/>
              <x14:cfvo type="autoMax"/>
              <x14:negativeFillColor rgb="FFFF0000"/>
              <x14:axisColor rgb="FF000000"/>
            </x14:dataBar>
          </x14:cfRule>
          <xm:sqref>G180:K180</xm:sqref>
        </x14:conditionalFormatting>
        <x14:conditionalFormatting xmlns:xm="http://schemas.microsoft.com/office/excel/2006/main">
          <x14:cfRule type="dataBar" id="{C3C19206-0B0C-4B40-8578-F84C6C0CF873}">
            <x14:dataBar minLength="0" maxLength="100" gradient="0">
              <x14:cfvo type="autoMin"/>
              <x14:cfvo type="autoMax"/>
              <x14:negativeFillColor rgb="FFFF0000"/>
              <x14:axisColor rgb="FF000000"/>
            </x14:dataBar>
          </x14:cfRule>
          <xm:sqref>G190:K190</xm:sqref>
        </x14:conditionalFormatting>
        <x14:conditionalFormatting xmlns:xm="http://schemas.microsoft.com/office/excel/2006/main">
          <x14:cfRule type="dataBar" id="{AB4B7CDD-188C-D641-BFDB-9D46592226FB}">
            <x14:dataBar minLength="0" maxLength="100" gradient="0">
              <x14:cfvo type="autoMin"/>
              <x14:cfvo type="autoMax"/>
              <x14:negativeFillColor rgb="FFFF0000"/>
              <x14:axisColor rgb="FF000000"/>
            </x14:dataBar>
          </x14:cfRule>
          <xm:sqref>G200:K200</xm:sqref>
        </x14:conditionalFormatting>
        <x14:conditionalFormatting xmlns:xm="http://schemas.microsoft.com/office/excel/2006/main">
          <x14:cfRule type="dataBar" id="{608D6403-ECD6-BA4E-88F6-7A11F816F096}">
            <x14:dataBar minLength="0" maxLength="100" gradient="0">
              <x14:cfvo type="autoMin"/>
              <x14:cfvo type="autoMax"/>
              <x14:negativeFillColor rgb="FFFF0000"/>
              <x14:axisColor rgb="FF000000"/>
            </x14:dataBar>
          </x14:cfRule>
          <xm:sqref>G45:K45</xm:sqref>
        </x14:conditionalFormatting>
        <x14:conditionalFormatting xmlns:xm="http://schemas.microsoft.com/office/excel/2006/main">
          <x14:cfRule type="dataBar" id="{C99305BA-E41F-2F48-B581-586B5BCB22FA}">
            <x14:dataBar minLength="0" maxLength="100" gradient="0">
              <x14:cfvo type="autoMin"/>
              <x14:cfvo type="autoMax"/>
              <x14:negativeFillColor rgb="FFFF0000"/>
              <x14:axisColor rgb="FF000000"/>
            </x14:dataBar>
          </x14:cfRule>
          <xm:sqref>G168:K168</xm:sqref>
        </x14:conditionalFormatting>
        <x14:conditionalFormatting xmlns:xm="http://schemas.microsoft.com/office/excel/2006/main">
          <x14:cfRule type="dataBar" id="{7B881160-5EB2-8E4B-B4E4-EA027BC68F4D}">
            <x14:dataBar minLength="0" maxLength="100" gradient="0">
              <x14:cfvo type="autoMin"/>
              <x14:cfvo type="autoMax"/>
              <x14:negativeFillColor rgb="FFFF0000"/>
              <x14:axisColor rgb="FF000000"/>
            </x14:dataBar>
          </x14:cfRule>
          <xm:sqref>G170:K170</xm:sqref>
        </x14:conditionalFormatting>
        <x14:conditionalFormatting xmlns:xm="http://schemas.microsoft.com/office/excel/2006/main">
          <x14:cfRule type="dataBar" id="{39D1B4FF-C5DD-644C-88A1-63467B10F70D}">
            <x14:dataBar minLength="0" maxLength="100" gradient="0">
              <x14:cfvo type="autoMin"/>
              <x14:cfvo type="autoMax"/>
              <x14:negativeFillColor rgb="FFFF0000"/>
              <x14:axisColor rgb="FF000000"/>
            </x14:dataBar>
          </x14:cfRule>
          <xm:sqref>G205:K205</xm:sqref>
        </x14:conditionalFormatting>
        <x14:conditionalFormatting xmlns:xm="http://schemas.microsoft.com/office/excel/2006/main">
          <x14:cfRule type="dataBar" id="{65CEA108-B086-9E43-9D8D-EFFFC4F582F4}">
            <x14:dataBar minLength="0" maxLength="100" gradient="0">
              <x14:cfvo type="autoMin"/>
              <x14:cfvo type="autoMax"/>
              <x14:negativeFillColor rgb="FFFF0000"/>
              <x14:axisColor rgb="FF000000"/>
            </x14:dataBar>
          </x14:cfRule>
          <xm:sqref>G215:K215</xm:sqref>
        </x14:conditionalFormatting>
        <x14:conditionalFormatting xmlns:xm="http://schemas.microsoft.com/office/excel/2006/main">
          <x14:cfRule type="dataBar" id="{68CE6C7C-1BCD-4EA4-BF5D-E7D30A6F49E3}">
            <x14:dataBar minLength="0" maxLength="100" gradient="0">
              <x14:cfvo type="autoMin"/>
              <x14:cfvo type="autoMax"/>
              <x14:negativeFillColor rgb="FFFF0000"/>
              <x14:axisColor rgb="FF000000"/>
            </x14:dataBar>
          </x14:cfRule>
          <xm:sqref>G321:K326</xm:sqref>
        </x14:conditionalFormatting>
        <x14:conditionalFormatting xmlns:xm="http://schemas.microsoft.com/office/excel/2006/main">
          <x14:cfRule type="dataBar" id="{B62E6C06-F010-C647-B181-75E3E510B556}">
            <x14:dataBar minLength="0" maxLength="100" gradient="0">
              <x14:cfvo type="autoMin"/>
              <x14:cfvo type="autoMax"/>
              <x14:negativeFillColor rgb="FFFF0000"/>
              <x14:axisColor rgb="FF000000"/>
            </x14:dataBar>
          </x14:cfRule>
          <xm:sqref>L2:L258 L261:L355</xm:sqref>
        </x14:conditionalFormatting>
        <x14:conditionalFormatting xmlns:xm="http://schemas.microsoft.com/office/excel/2006/main">
          <x14:cfRule type="dataBar" id="{2F9951E6-9718-6649-A91A-AEC158B35C8A}">
            <x14:dataBar minLength="0" maxLength="100" gradient="0">
              <x14:cfvo type="autoMin"/>
              <x14:cfvo type="autoMax"/>
              <x14:negativeFillColor rgb="FFFF0000"/>
              <x14:axisColor rgb="FF000000"/>
            </x14:dataBar>
          </x14:cfRule>
          <xm:sqref>G275:K320 G181:K189 G191:K199 G201:K204 G46:K54 G169:K169 G171:K179 G216:K258 G206:K209 G327:K355 G2:K44 G56:K114 G135:K147 G122:K131 G116:K120 G149:K150 G153:K162 G164:K167 G211:K214 G261:K273</xm:sqref>
        </x14:conditionalFormatting>
        <x14:conditionalFormatting xmlns:xm="http://schemas.microsoft.com/office/excel/2006/main">
          <x14:cfRule type="dataBar" id="{3987B7E6-4D57-F942-A2FD-C5DD9455D845}">
            <x14:dataBar minLength="0" maxLength="100" gradient="0">
              <x14:cfvo type="autoMin"/>
              <x14:cfvo type="autoMax"/>
              <x14:negativeFillColor rgb="FFFF0000"/>
              <x14:axisColor rgb="FF000000"/>
            </x14:dataBar>
          </x14:cfRule>
          <xm:sqref>G132:K134</xm:sqref>
        </x14:conditionalFormatting>
        <x14:conditionalFormatting xmlns:xm="http://schemas.microsoft.com/office/excel/2006/main">
          <x14:cfRule type="dataBar" id="{F768429E-87F8-9B4A-AA78-D2F589123997}">
            <x14:dataBar minLength="0" maxLength="100" gradient="0">
              <x14:cfvo type="autoMin"/>
              <x14:cfvo type="autoMax"/>
              <x14:negativeFillColor rgb="FFFF0000"/>
              <x14:axisColor rgb="FF000000"/>
            </x14:dataBar>
          </x14:cfRule>
          <xm:sqref>G121:K121</xm:sqref>
        </x14:conditionalFormatting>
        <x14:conditionalFormatting xmlns:xm="http://schemas.microsoft.com/office/excel/2006/main">
          <x14:cfRule type="dataBar" id="{29B734BF-9E4A-ED48-8E2D-C214018B730B}">
            <x14:dataBar minLength="0" maxLength="100" gradient="0">
              <x14:cfvo type="autoMin"/>
              <x14:cfvo type="autoMax"/>
              <x14:negativeFillColor rgb="FFFF0000"/>
              <x14:axisColor rgb="FF000000"/>
            </x14:dataBar>
          </x14:cfRule>
          <xm:sqref>G115:K115</xm:sqref>
        </x14:conditionalFormatting>
        <x14:conditionalFormatting xmlns:xm="http://schemas.microsoft.com/office/excel/2006/main">
          <x14:cfRule type="dataBar" id="{70865B50-CDF1-7246-9389-9FEC7BFC6CB9}">
            <x14:dataBar minLength="0" maxLength="100" gradient="0">
              <x14:cfvo type="autoMin"/>
              <x14:cfvo type="autoMax"/>
              <x14:negativeFillColor rgb="FFFF0000"/>
              <x14:axisColor rgb="FF000000"/>
            </x14:dataBar>
          </x14:cfRule>
          <xm:sqref>G148:K148</xm:sqref>
        </x14:conditionalFormatting>
        <x14:conditionalFormatting xmlns:xm="http://schemas.microsoft.com/office/excel/2006/main">
          <x14:cfRule type="dataBar" id="{AE0A130C-811B-5F48-B11B-D11476E04A3A}">
            <x14:dataBar minLength="0" maxLength="100" gradient="0">
              <x14:cfvo type="autoMin"/>
              <x14:cfvo type="autoMax"/>
              <x14:negativeFillColor rgb="FFFF0000"/>
              <x14:axisColor rgb="FF000000"/>
            </x14:dataBar>
          </x14:cfRule>
          <xm:sqref>G151:K151</xm:sqref>
        </x14:conditionalFormatting>
        <x14:conditionalFormatting xmlns:xm="http://schemas.microsoft.com/office/excel/2006/main">
          <x14:cfRule type="dataBar" id="{6FE264B6-1385-E144-A388-59A97CF1362D}">
            <x14:dataBar minLength="0" maxLength="100" gradient="0">
              <x14:cfvo type="autoMin"/>
              <x14:cfvo type="autoMax"/>
              <x14:negativeFillColor rgb="FFFF0000"/>
              <x14:axisColor rgb="FF000000"/>
            </x14:dataBar>
          </x14:cfRule>
          <xm:sqref>G152:K152</xm:sqref>
        </x14:conditionalFormatting>
        <x14:conditionalFormatting xmlns:xm="http://schemas.microsoft.com/office/excel/2006/main">
          <x14:cfRule type="dataBar" id="{6EA89020-0E33-5642-B5FD-0F9E96C00E96}">
            <x14:dataBar minLength="0" maxLength="100" gradient="0">
              <x14:cfvo type="autoMin"/>
              <x14:cfvo type="autoMax"/>
              <x14:negativeFillColor rgb="FFFF0000"/>
              <x14:axisColor rgb="FF000000"/>
            </x14:dataBar>
          </x14:cfRule>
          <xm:sqref>G163:K163</xm:sqref>
        </x14:conditionalFormatting>
        <x14:conditionalFormatting xmlns:xm="http://schemas.microsoft.com/office/excel/2006/main">
          <x14:cfRule type="dataBar" id="{AC40FCCB-BB46-2141-9C50-244F85A4472E}">
            <x14:dataBar minLength="0" maxLength="100" gradient="0">
              <x14:cfvo type="autoMin"/>
              <x14:cfvo type="autoMax"/>
              <x14:negativeFillColor rgb="FFFF0000"/>
              <x14:axisColor rgb="FF000000"/>
            </x14:dataBar>
          </x14:cfRule>
          <xm:sqref>G210:K210</xm:sqref>
        </x14:conditionalFormatting>
        <x14:conditionalFormatting xmlns:xm="http://schemas.microsoft.com/office/excel/2006/main">
          <x14:cfRule type="dataBar" id="{693BE152-DF95-A94B-A826-819612166195}">
            <x14:dataBar minLength="0" maxLength="100" gradient="0">
              <x14:cfvo type="autoMin"/>
              <x14:cfvo type="autoMax"/>
              <x14:negativeFillColor rgb="FFFF0000"/>
              <x14:axisColor rgb="FF000000"/>
            </x14:dataBar>
          </x14:cfRule>
          <xm:sqref>L259:L260</xm:sqref>
        </x14:conditionalFormatting>
        <x14:conditionalFormatting xmlns:xm="http://schemas.microsoft.com/office/excel/2006/main">
          <x14:cfRule type="dataBar" id="{740268CA-9C8E-0141-8271-FEF305023EC5}">
            <x14:dataBar minLength="0" maxLength="100" gradient="0">
              <x14:cfvo type="autoMin"/>
              <x14:cfvo type="autoMax"/>
              <x14:negativeFillColor rgb="FFFF0000"/>
              <x14:axisColor rgb="FF000000"/>
            </x14:dataBar>
          </x14:cfRule>
          <xm:sqref>G259:K260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M12"/>
  <sheetViews>
    <sheetView zoomScale="125" workbookViewId="0">
      <selection activeCell="E19" sqref="E19"/>
    </sheetView>
  </sheetViews>
  <sheetFormatPr baseColWidth="10" defaultColWidth="9.1640625" defaultRowHeight="15" x14ac:dyDescent="0.2"/>
  <cols>
    <col min="1" max="1" width="19.83203125" style="135" bestFit="1" customWidth="1"/>
    <col min="2" max="2" width="27.83203125" style="103" customWidth="1"/>
    <col min="3" max="3" width="10.33203125" style="135" customWidth="1"/>
    <col min="4" max="4" width="13.5" style="27" customWidth="1"/>
    <col min="5" max="5" width="18.5" style="103" customWidth="1"/>
    <col min="6" max="6" width="1.83203125" style="136" customWidth="1"/>
    <col min="7" max="10" width="6.1640625" style="27" customWidth="1"/>
    <col min="11" max="11" width="6.1640625" style="134" customWidth="1"/>
    <col min="12" max="12" width="7" style="134" customWidth="1"/>
    <col min="13" max="13" width="42.6640625" style="133" customWidth="1"/>
    <col min="14" max="16384" width="9.1640625" style="26"/>
  </cols>
  <sheetData>
    <row r="1" spans="1:13" s="159" customFormat="1" ht="16" x14ac:dyDescent="0.2">
      <c r="A1" s="169" t="s">
        <v>0</v>
      </c>
      <c r="B1" s="168" t="s">
        <v>1</v>
      </c>
      <c r="C1" s="167" t="s">
        <v>58</v>
      </c>
      <c r="D1" s="166" t="s">
        <v>304</v>
      </c>
      <c r="E1" s="165" t="s">
        <v>57</v>
      </c>
      <c r="F1" s="164"/>
      <c r="G1" s="163" t="s">
        <v>64</v>
      </c>
      <c r="H1" s="163" t="s">
        <v>60</v>
      </c>
      <c r="I1" s="163" t="s">
        <v>61</v>
      </c>
      <c r="J1" s="163" t="s">
        <v>62</v>
      </c>
      <c r="K1" s="162" t="s">
        <v>63</v>
      </c>
      <c r="L1" s="161" t="s">
        <v>116</v>
      </c>
      <c r="M1" s="160" t="s">
        <v>68</v>
      </c>
    </row>
    <row r="2" spans="1:13" s="28" customFormat="1" x14ac:dyDescent="0.2">
      <c r="A2" s="3" t="s">
        <v>12</v>
      </c>
      <c r="B2" s="25" t="s">
        <v>37</v>
      </c>
      <c r="C2" s="157" t="s">
        <v>809</v>
      </c>
      <c r="D2" s="345">
        <v>6.0000000000000002E-5</v>
      </c>
      <c r="E2" s="156" t="s">
        <v>71</v>
      </c>
      <c r="F2" s="155" t="s">
        <v>78</v>
      </c>
      <c r="G2" s="188">
        <v>2</v>
      </c>
      <c r="H2" s="188">
        <v>2</v>
      </c>
      <c r="I2" s="188">
        <v>1</v>
      </c>
      <c r="J2" s="188">
        <v>2</v>
      </c>
      <c r="K2" s="134">
        <v>2</v>
      </c>
      <c r="L2" s="147">
        <f t="shared" ref="L2" si="0">IF( OR( ISBLANK(G2),ISBLANK(H2), ISBLANK(I2), ISBLANK(J2), ISBLANK(K2) ), "", 1.5*SQRT(   EXP(2.21*(G2-1)) + EXP(2.21*(H2-1)) + EXP(2.21*(I2-1)) + EXP(2.21*(J2-1)) + EXP(2.21*K2)   )/100*2.45 )</f>
        <v>0.38795788889711302</v>
      </c>
      <c r="M2" s="152"/>
    </row>
    <row r="3" spans="1:13" s="27" customFormat="1" x14ac:dyDescent="0.2">
      <c r="A3" s="4" t="s">
        <v>12</v>
      </c>
      <c r="B3" s="21" t="s">
        <v>37</v>
      </c>
      <c r="C3" s="151" t="s">
        <v>810</v>
      </c>
      <c r="D3" s="344">
        <v>0</v>
      </c>
      <c r="E3" s="156" t="s">
        <v>71</v>
      </c>
      <c r="F3" s="136" t="s">
        <v>78</v>
      </c>
      <c r="G3" s="61"/>
      <c r="H3" s="61"/>
      <c r="I3" s="61"/>
      <c r="J3" s="61"/>
      <c r="K3" s="154"/>
      <c r="L3" s="153"/>
      <c r="M3" s="103"/>
    </row>
    <row r="4" spans="1:13" s="27" customFormat="1" x14ac:dyDescent="0.2">
      <c r="A4" s="4" t="s">
        <v>12</v>
      </c>
      <c r="B4" s="21" t="s">
        <v>37</v>
      </c>
      <c r="C4" s="148" t="s">
        <v>811</v>
      </c>
      <c r="D4" s="345">
        <v>6.0000000000000002E-5</v>
      </c>
      <c r="E4" s="156" t="s">
        <v>71</v>
      </c>
      <c r="F4" s="136" t="s">
        <v>78</v>
      </c>
      <c r="G4" s="188">
        <v>2</v>
      </c>
      <c r="H4" s="188">
        <v>2</v>
      </c>
      <c r="I4" s="188">
        <v>1</v>
      </c>
      <c r="J4" s="188">
        <v>2</v>
      </c>
      <c r="K4" s="134">
        <v>2</v>
      </c>
      <c r="L4" s="147">
        <f t="shared" ref="L4" si="1">IF( OR( ISBLANK(G4),ISBLANK(H4), ISBLANK(I4), ISBLANK(J4), ISBLANK(K4) ), "", 1.5*SQRT(   EXP(2.21*(G4-1)) + EXP(2.21*(H4-1)) + EXP(2.21*(I4-1)) + EXP(2.21*(J4-1)) + EXP(2.21*K4)   )/100*2.45 )</f>
        <v>0.38795788889711302</v>
      </c>
      <c r="M4" s="103"/>
    </row>
    <row r="5" spans="1:13" s="27" customFormat="1" x14ac:dyDescent="0.2">
      <c r="A5" s="4" t="s">
        <v>12</v>
      </c>
      <c r="B5" s="21" t="s">
        <v>37</v>
      </c>
      <c r="C5" s="146" t="s">
        <v>812</v>
      </c>
      <c r="D5" s="344">
        <v>0</v>
      </c>
      <c r="E5" s="144" t="s">
        <v>71</v>
      </c>
      <c r="F5" s="136" t="s">
        <v>78</v>
      </c>
      <c r="G5" s="142"/>
      <c r="H5" s="142"/>
      <c r="I5" s="142"/>
      <c r="J5" s="142"/>
      <c r="K5" s="143"/>
      <c r="L5" s="141"/>
      <c r="M5" s="103"/>
    </row>
    <row r="6" spans="1:13" s="27" customFormat="1" x14ac:dyDescent="0.2">
      <c r="A6" s="4" t="s">
        <v>12</v>
      </c>
      <c r="B6" s="21" t="s">
        <v>37</v>
      </c>
      <c r="C6" s="334" t="s">
        <v>813</v>
      </c>
      <c r="D6" s="346">
        <v>0</v>
      </c>
      <c r="E6" s="144" t="s">
        <v>71</v>
      </c>
      <c r="F6" s="136" t="s">
        <v>78</v>
      </c>
      <c r="G6" s="142"/>
      <c r="H6" s="142"/>
      <c r="I6" s="142"/>
      <c r="J6" s="142"/>
      <c r="K6" s="143"/>
      <c r="L6" s="141"/>
      <c r="M6" s="103"/>
    </row>
    <row r="7" spans="1:13" s="27" customFormat="1" x14ac:dyDescent="0.2">
      <c r="A7" s="135"/>
      <c r="B7" s="103"/>
      <c r="C7" s="135"/>
      <c r="D7" s="347"/>
      <c r="E7" s="103"/>
      <c r="F7" s="136"/>
      <c r="K7" s="134"/>
      <c r="L7" s="134"/>
      <c r="M7" s="103"/>
    </row>
    <row r="8" spans="1:13" s="137" customFormat="1" x14ac:dyDescent="0.2">
      <c r="A8" s="135"/>
      <c r="B8" s="103"/>
      <c r="C8" s="135"/>
      <c r="D8" s="27"/>
      <c r="E8" s="103"/>
      <c r="F8" s="136"/>
      <c r="G8" s="27"/>
      <c r="H8" s="27"/>
      <c r="I8" s="27"/>
      <c r="J8" s="27"/>
      <c r="K8" s="134"/>
      <c r="L8" s="134"/>
      <c r="M8" s="138"/>
    </row>
    <row r="9" spans="1:13" ht="18" customHeight="1" x14ac:dyDescent="0.2">
      <c r="B9" s="339"/>
    </row>
    <row r="12" spans="1:13" ht="19" customHeight="1" x14ac:dyDescent="0.2">
      <c r="B12" s="339"/>
    </row>
  </sheetData>
  <conditionalFormatting sqref="D3:D4">
    <cfRule type="dataBar" priority="8">
      <dataBar>
        <cfvo type="min"/>
        <cfvo type="max"/>
        <color rgb="FFFF555A"/>
      </dataBar>
      <extLst>
        <ext xmlns:x14="http://schemas.microsoft.com/office/spreadsheetml/2009/9/main" uri="{B025F937-C7B1-47D3-B67F-A62EFF666E3E}">
          <x14:id>{D07B424B-E0D0-AA48-9DBB-E7F5A7342202}</x14:id>
        </ext>
      </extLst>
    </cfRule>
  </conditionalFormatting>
  <conditionalFormatting sqref="L5:L6 L3">
    <cfRule type="dataBar" priority="1419">
      <dataBar>
        <cfvo type="min"/>
        <cfvo type="max"/>
        <color rgb="FF3FCDFF"/>
      </dataBar>
      <extLst>
        <ext xmlns:x14="http://schemas.microsoft.com/office/spreadsheetml/2009/9/main" uri="{B025F937-C7B1-47D3-B67F-A62EFF666E3E}">
          <x14:id>{88CEB064-D844-4C5C-AE40-7A991CA9104B}</x14:id>
        </ext>
      </extLst>
    </cfRule>
  </conditionalFormatting>
  <conditionalFormatting sqref="G3:K3 G5:K6">
    <cfRule type="dataBar" priority="1421">
      <dataBar>
        <cfvo type="min"/>
        <cfvo type="max"/>
        <color rgb="FFFFB628"/>
      </dataBar>
      <extLst>
        <ext xmlns:x14="http://schemas.microsoft.com/office/spreadsheetml/2009/9/main" uri="{B025F937-C7B1-47D3-B67F-A62EFF666E3E}">
          <x14:id>{3CA9F554-3D17-4387-AF74-D21350909F52}</x14:id>
        </ext>
      </extLst>
    </cfRule>
  </conditionalFormatting>
  <conditionalFormatting sqref="G2:K2">
    <cfRule type="dataBar" priority="4">
      <dataBar>
        <cfvo type="min"/>
        <cfvo type="max"/>
        <color rgb="FFFFB628"/>
      </dataBar>
      <extLst>
        <ext xmlns:x14="http://schemas.microsoft.com/office/spreadsheetml/2009/9/main" uri="{B025F937-C7B1-47D3-B67F-A62EFF666E3E}">
          <x14:id>{903578F8-B9AB-564F-95AF-6755FF827A33}</x14:id>
        </ext>
      </extLst>
    </cfRule>
  </conditionalFormatting>
  <conditionalFormatting sqref="L2">
    <cfRule type="dataBar" priority="5">
      <dataBar>
        <cfvo type="min"/>
        <cfvo type="max"/>
        <color rgb="FF3FCDFF"/>
      </dataBar>
      <extLst>
        <ext xmlns:x14="http://schemas.microsoft.com/office/spreadsheetml/2009/9/main" uri="{B025F937-C7B1-47D3-B67F-A62EFF666E3E}">
          <x14:id>{7D25AF83-4773-5B45-926C-40187F4AA67E}</x14:id>
        </ext>
      </extLst>
    </cfRule>
  </conditionalFormatting>
  <conditionalFormatting sqref="G4:K4">
    <cfRule type="dataBar" priority="2">
      <dataBar>
        <cfvo type="min"/>
        <cfvo type="max"/>
        <color rgb="FFFFB628"/>
      </dataBar>
      <extLst>
        <ext xmlns:x14="http://schemas.microsoft.com/office/spreadsheetml/2009/9/main" uri="{B025F937-C7B1-47D3-B67F-A62EFF666E3E}">
          <x14:id>{02219FB3-52C2-4147-BEEC-4E32AAE0EA16}</x14:id>
        </ext>
      </extLst>
    </cfRule>
  </conditionalFormatting>
  <conditionalFormatting sqref="L4">
    <cfRule type="dataBar" priority="3">
      <dataBar>
        <cfvo type="min"/>
        <cfvo type="max"/>
        <color rgb="FF3FCDFF"/>
      </dataBar>
      <extLst>
        <ext xmlns:x14="http://schemas.microsoft.com/office/spreadsheetml/2009/9/main" uri="{B025F937-C7B1-47D3-B67F-A62EFF666E3E}">
          <x14:id>{E2272B1E-E67E-484F-A16F-D750A3918A00}</x14:id>
        </ext>
      </extLst>
    </cfRule>
  </conditionalFormatting>
  <conditionalFormatting sqref="D2">
    <cfRule type="dataBar" priority="1">
      <dataBar>
        <cfvo type="min"/>
        <cfvo type="max"/>
        <color rgb="FFFF555A"/>
      </dataBar>
      <extLst>
        <ext xmlns:x14="http://schemas.microsoft.com/office/spreadsheetml/2009/9/main" uri="{B025F937-C7B1-47D3-B67F-A62EFF666E3E}">
          <x14:id>{F4CE599D-882A-7548-B667-092A60AD60B2}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07B424B-E0D0-AA48-9DBB-E7F5A7342202}">
            <x14:dataBar minLength="0" maxLength="100" border="1" negativeBarBorderColorSameAsPositive="0">
              <x14:cfvo type="autoMin"/>
              <x14:cfvo type="autoMax"/>
              <x14:borderColor rgb="FFFF555A"/>
              <x14:negativeFillColor rgb="FFFF0000"/>
              <x14:negativeBorderColor rgb="FFFF0000"/>
              <x14:axisColor rgb="FF000000"/>
            </x14:dataBar>
          </x14:cfRule>
          <xm:sqref>D3:D4</xm:sqref>
        </x14:conditionalFormatting>
        <x14:conditionalFormatting xmlns:xm="http://schemas.microsoft.com/office/excel/2006/main">
          <x14:cfRule type="dataBar" id="{88CEB064-D844-4C5C-AE40-7A991CA9104B}">
            <x14:dataBar minLength="0" maxLength="100" gradient="0">
              <x14:cfvo type="autoMin"/>
              <x14:cfvo type="autoMax"/>
              <x14:negativeFillColor rgb="FFFF0000"/>
              <x14:axisColor rgb="FF000000"/>
            </x14:dataBar>
          </x14:cfRule>
          <xm:sqref>L5:L6 L3</xm:sqref>
        </x14:conditionalFormatting>
        <x14:conditionalFormatting xmlns:xm="http://schemas.microsoft.com/office/excel/2006/main">
          <x14:cfRule type="dataBar" id="{3CA9F554-3D17-4387-AF74-D21350909F52}">
            <x14:dataBar minLength="0" maxLength="100" gradient="0">
              <x14:cfvo type="autoMin"/>
              <x14:cfvo type="autoMax"/>
              <x14:negativeFillColor rgb="FFFF0000"/>
              <x14:axisColor rgb="FF000000"/>
            </x14:dataBar>
          </x14:cfRule>
          <xm:sqref>G3:K3 G5:K6</xm:sqref>
        </x14:conditionalFormatting>
        <x14:conditionalFormatting xmlns:xm="http://schemas.microsoft.com/office/excel/2006/main">
          <x14:cfRule type="dataBar" id="{903578F8-B9AB-564F-95AF-6755FF827A33}">
            <x14:dataBar minLength="0" maxLength="100" gradient="0">
              <x14:cfvo type="autoMin"/>
              <x14:cfvo type="autoMax"/>
              <x14:negativeFillColor rgb="FFFF0000"/>
              <x14:axisColor rgb="FF000000"/>
            </x14:dataBar>
          </x14:cfRule>
          <xm:sqref>G2:K2</xm:sqref>
        </x14:conditionalFormatting>
        <x14:conditionalFormatting xmlns:xm="http://schemas.microsoft.com/office/excel/2006/main">
          <x14:cfRule type="dataBar" id="{7D25AF83-4773-5B45-926C-40187F4AA67E}">
            <x14:dataBar minLength="0" maxLength="100" gradient="0">
              <x14:cfvo type="autoMin"/>
              <x14:cfvo type="autoMax"/>
              <x14:negativeFillColor rgb="FFFF0000"/>
              <x14:axisColor rgb="FF000000"/>
            </x14:dataBar>
          </x14:cfRule>
          <xm:sqref>L2</xm:sqref>
        </x14:conditionalFormatting>
        <x14:conditionalFormatting xmlns:xm="http://schemas.microsoft.com/office/excel/2006/main">
          <x14:cfRule type="dataBar" id="{02219FB3-52C2-4147-BEEC-4E32AAE0EA16}">
            <x14:dataBar minLength="0" maxLength="100" gradient="0">
              <x14:cfvo type="autoMin"/>
              <x14:cfvo type="autoMax"/>
              <x14:negativeFillColor rgb="FFFF0000"/>
              <x14:axisColor rgb="FF000000"/>
            </x14:dataBar>
          </x14:cfRule>
          <xm:sqref>G4:K4</xm:sqref>
        </x14:conditionalFormatting>
        <x14:conditionalFormatting xmlns:xm="http://schemas.microsoft.com/office/excel/2006/main">
          <x14:cfRule type="dataBar" id="{E2272B1E-E67E-484F-A16F-D750A3918A00}">
            <x14:dataBar minLength="0" maxLength="100" gradient="0">
              <x14:cfvo type="autoMin"/>
              <x14:cfvo type="autoMax"/>
              <x14:negativeFillColor rgb="FFFF0000"/>
              <x14:axisColor rgb="FF000000"/>
            </x14:dataBar>
          </x14:cfRule>
          <xm:sqref>L4</xm:sqref>
        </x14:conditionalFormatting>
        <x14:conditionalFormatting xmlns:xm="http://schemas.microsoft.com/office/excel/2006/main">
          <x14:cfRule type="dataBar" id="{F4CE599D-882A-7548-B667-092A60AD60B2}">
            <x14:dataBar minLength="0" maxLength="100" border="1" negativeBarBorderColorSameAsPositive="0">
              <x14:cfvo type="autoMin"/>
              <x14:cfvo type="autoMax"/>
              <x14:borderColor rgb="FFFF555A"/>
              <x14:negativeFillColor rgb="FFFF0000"/>
              <x14:negativeBorderColor rgb="FFFF0000"/>
              <x14:axisColor rgb="FF000000"/>
            </x14:dataBar>
          </x14:cfRule>
          <xm:sqref>D2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R360"/>
  <sheetViews>
    <sheetView zoomScale="110" zoomScaleNormal="160" workbookViewId="0">
      <pane xSplit="2" ySplit="1" topLeftCell="C2" activePane="bottomRight" state="frozen"/>
      <selection pane="topRight" activeCell="C1" sqref="C1"/>
      <selection pane="bottomLeft" activeCell="A3" sqref="A3"/>
      <selection pane="bottomRight" activeCell="E20" sqref="E20"/>
    </sheetView>
  </sheetViews>
  <sheetFormatPr baseColWidth="10" defaultColWidth="9.1640625" defaultRowHeight="15" x14ac:dyDescent="0.2"/>
  <cols>
    <col min="1" max="1" width="23.6640625" style="18" customWidth="1"/>
    <col min="2" max="2" width="22.1640625" style="18" customWidth="1"/>
    <col min="3" max="3" width="5.33203125" style="64" customWidth="1"/>
    <col min="4" max="4" width="9.33203125" style="8" customWidth="1"/>
    <col min="5" max="5" width="62.83203125" style="77" customWidth="1"/>
    <col min="6" max="6" width="1.5" style="94" customWidth="1"/>
    <col min="7" max="10" width="6.1640625" style="65" customWidth="1"/>
    <col min="11" max="11" width="6.1640625" style="66" customWidth="1"/>
    <col min="12" max="12" width="7" style="66" customWidth="1"/>
    <col min="13" max="13" width="9.33203125" style="80" customWidth="1"/>
    <col min="14" max="15" width="9.1640625" style="71"/>
    <col min="16" max="16" width="13.83203125" style="71" customWidth="1"/>
    <col min="17" max="16384" width="9.1640625" style="71"/>
  </cols>
  <sheetData>
    <row r="1" spans="1:18" s="214" customFormat="1" ht="32" x14ac:dyDescent="0.2">
      <c r="A1" s="222" t="s">
        <v>0</v>
      </c>
      <c r="B1" s="222" t="s">
        <v>1</v>
      </c>
      <c r="C1" s="221" t="s">
        <v>58</v>
      </c>
      <c r="D1" s="220" t="s">
        <v>66</v>
      </c>
      <c r="E1" s="219" t="s">
        <v>57</v>
      </c>
      <c r="F1" s="268" t="s">
        <v>78</v>
      </c>
      <c r="G1" s="218" t="s">
        <v>64</v>
      </c>
      <c r="H1" s="218" t="s">
        <v>60</v>
      </c>
      <c r="I1" s="218" t="s">
        <v>61</v>
      </c>
      <c r="J1" s="218" t="s">
        <v>62</v>
      </c>
      <c r="K1" s="217" t="s">
        <v>63</v>
      </c>
      <c r="L1" s="216" t="s">
        <v>116</v>
      </c>
      <c r="M1" s="215" t="s">
        <v>68</v>
      </c>
      <c r="O1" s="337"/>
      <c r="P1" s="71" t="s">
        <v>823</v>
      </c>
      <c r="Q1" s="338"/>
      <c r="R1" s="71" t="s">
        <v>824</v>
      </c>
    </row>
    <row r="2" spans="1:18" x14ac:dyDescent="0.2">
      <c r="A2" s="19" t="s">
        <v>2</v>
      </c>
      <c r="B2" s="175" t="s">
        <v>397</v>
      </c>
      <c r="C2" s="42" t="s">
        <v>65</v>
      </c>
      <c r="D2" s="44">
        <f>0.004*0.001/100</f>
        <v>4.0000000000000001E-8</v>
      </c>
      <c r="E2" s="32" t="s">
        <v>430</v>
      </c>
      <c r="F2" s="99" t="s">
        <v>78</v>
      </c>
      <c r="G2" s="57">
        <v>2</v>
      </c>
      <c r="H2" s="57">
        <v>2</v>
      </c>
      <c r="I2" s="57">
        <v>3</v>
      </c>
      <c r="J2" s="57">
        <v>2</v>
      </c>
      <c r="K2" s="11">
        <v>2</v>
      </c>
      <c r="L2" s="63">
        <f t="shared" ref="L2:L32" si="0">IF( OR( ISBLANK(G2),ISBLANK(H2), ISBLANK(I2), ISBLANK(J2), ISBLANK(K2) ), "", 1.5*SQRT(   EXP(2.21*(G2-1)) + EXP(2.21*(H2-1)) + EXP(2.21*(I2-1)) + EXP(2.21*(J2-1)) + EXP(2.21*K2)   )/100*2.45 )</f>
        <v>0.51126068492676302</v>
      </c>
    </row>
    <row r="3" spans="1:18" x14ac:dyDescent="0.2">
      <c r="A3" s="19" t="s">
        <v>2</v>
      </c>
      <c r="B3" s="175" t="s">
        <v>397</v>
      </c>
      <c r="C3" s="42" t="s">
        <v>65</v>
      </c>
      <c r="D3" s="44">
        <f>0.004*0.01/100</f>
        <v>4.0000000000000003E-7</v>
      </c>
      <c r="E3" s="32" t="s">
        <v>430</v>
      </c>
      <c r="F3" s="99" t="s">
        <v>78</v>
      </c>
      <c r="G3" s="57">
        <v>2</v>
      </c>
      <c r="H3" s="57">
        <v>2</v>
      </c>
      <c r="I3" s="57">
        <v>3</v>
      </c>
      <c r="J3" s="57">
        <v>2</v>
      </c>
      <c r="K3" s="11">
        <v>2</v>
      </c>
      <c r="L3" s="63">
        <f t="shared" si="0"/>
        <v>0.51126068492676302</v>
      </c>
    </row>
    <row r="4" spans="1:18" x14ac:dyDescent="0.2">
      <c r="A4" s="19" t="s">
        <v>2</v>
      </c>
      <c r="B4" s="178" t="s">
        <v>328</v>
      </c>
      <c r="C4" s="42" t="s">
        <v>65</v>
      </c>
      <c r="D4" s="44">
        <f>(1-0.004)*0.001/100</f>
        <v>9.9599999999999995E-6</v>
      </c>
      <c r="E4" s="32" t="str">
        <f>E2</f>
        <v>Cole, G. &amp; Sherrington, C. Study to Quantify Pellet Emissions in the UK. (2016).</v>
      </c>
      <c r="F4" s="99" t="s">
        <v>78</v>
      </c>
      <c r="G4" s="57">
        <f t="shared" ref="G4:I5" si="1">G2</f>
        <v>2</v>
      </c>
      <c r="H4" s="57">
        <f t="shared" si="1"/>
        <v>2</v>
      </c>
      <c r="I4" s="57">
        <f t="shared" si="1"/>
        <v>3</v>
      </c>
      <c r="J4" s="57">
        <f>J2+1</f>
        <v>3</v>
      </c>
      <c r="K4" s="11">
        <f>K2</f>
        <v>2</v>
      </c>
      <c r="L4" s="63">
        <f t="shared" si="0"/>
        <v>0.60108474454521421</v>
      </c>
      <c r="O4" s="12"/>
    </row>
    <row r="5" spans="1:18" x14ac:dyDescent="0.2">
      <c r="A5" s="19" t="s">
        <v>2</v>
      </c>
      <c r="B5" s="178" t="s">
        <v>328</v>
      </c>
      <c r="C5" s="42" t="s">
        <v>65</v>
      </c>
      <c r="D5" s="44">
        <f>(1-0.004)*0.01/100</f>
        <v>9.9599999999999995E-5</v>
      </c>
      <c r="E5" s="32" t="str">
        <f>E3</f>
        <v>Cole, G. &amp; Sherrington, C. Study to Quantify Pellet Emissions in the UK. (2016).</v>
      </c>
      <c r="F5" s="99" t="s">
        <v>78</v>
      </c>
      <c r="G5" s="57">
        <f t="shared" si="1"/>
        <v>2</v>
      </c>
      <c r="H5" s="57">
        <f t="shared" si="1"/>
        <v>2</v>
      </c>
      <c r="I5" s="57">
        <f t="shared" si="1"/>
        <v>3</v>
      </c>
      <c r="J5" s="57">
        <f>J3+1</f>
        <v>3</v>
      </c>
      <c r="K5" s="11">
        <f>K3</f>
        <v>2</v>
      </c>
      <c r="L5" s="63">
        <f t="shared" si="0"/>
        <v>0.60108474454521421</v>
      </c>
    </row>
    <row r="6" spans="1:18" s="72" customFormat="1" x14ac:dyDescent="0.2">
      <c r="A6" s="132" t="s">
        <v>104</v>
      </c>
      <c r="B6" s="276" t="s">
        <v>397</v>
      </c>
      <c r="C6" s="38" t="s">
        <v>65</v>
      </c>
      <c r="D6" s="45">
        <f t="shared" ref="D6:E9" si="2">D2</f>
        <v>4.0000000000000001E-8</v>
      </c>
      <c r="E6" s="46" t="str">
        <f t="shared" si="2"/>
        <v>Cole, G. &amp; Sherrington, C. Study to Quantify Pellet Emissions in the UK. (2016).</v>
      </c>
      <c r="F6" s="101" t="s">
        <v>78</v>
      </c>
      <c r="G6" s="58">
        <f t="shared" ref="G6:K9" si="3">G2</f>
        <v>2</v>
      </c>
      <c r="H6" s="58">
        <f t="shared" si="3"/>
        <v>2</v>
      </c>
      <c r="I6" s="58">
        <f t="shared" si="3"/>
        <v>3</v>
      </c>
      <c r="J6" s="58">
        <f t="shared" si="3"/>
        <v>2</v>
      </c>
      <c r="K6" s="14">
        <f t="shared" si="3"/>
        <v>2</v>
      </c>
      <c r="L6" s="98">
        <f t="shared" si="0"/>
        <v>0.51126068492676302</v>
      </c>
      <c r="M6" s="82"/>
    </row>
    <row r="7" spans="1:18" x14ac:dyDescent="0.2">
      <c r="A7" s="88" t="s">
        <v>104</v>
      </c>
      <c r="B7" s="213" t="s">
        <v>397</v>
      </c>
      <c r="C7" s="42" t="s">
        <v>65</v>
      </c>
      <c r="D7" s="44">
        <f t="shared" si="2"/>
        <v>4.0000000000000003E-7</v>
      </c>
      <c r="E7" s="32" t="str">
        <f t="shared" si="2"/>
        <v>Cole, G. &amp; Sherrington, C. Study to Quantify Pellet Emissions in the UK. (2016).</v>
      </c>
      <c r="F7" s="99" t="s">
        <v>78</v>
      </c>
      <c r="G7" s="57">
        <f t="shared" si="3"/>
        <v>2</v>
      </c>
      <c r="H7" s="57">
        <f t="shared" si="3"/>
        <v>2</v>
      </c>
      <c r="I7" s="57">
        <f t="shared" si="3"/>
        <v>3</v>
      </c>
      <c r="J7" s="57">
        <f t="shared" si="3"/>
        <v>2</v>
      </c>
      <c r="K7" s="11">
        <f t="shared" si="3"/>
        <v>2</v>
      </c>
      <c r="L7" s="63">
        <f t="shared" si="0"/>
        <v>0.51126068492676302</v>
      </c>
    </row>
    <row r="8" spans="1:18" x14ac:dyDescent="0.2">
      <c r="A8" s="88" t="s">
        <v>104</v>
      </c>
      <c r="B8" s="178" t="s">
        <v>328</v>
      </c>
      <c r="C8" s="42" t="s">
        <v>65</v>
      </c>
      <c r="D8" s="44">
        <f t="shared" si="2"/>
        <v>9.9599999999999995E-6</v>
      </c>
      <c r="E8" s="32" t="str">
        <f t="shared" si="2"/>
        <v>Cole, G. &amp; Sherrington, C. Study to Quantify Pellet Emissions in the UK. (2016).</v>
      </c>
      <c r="F8" s="99" t="s">
        <v>78</v>
      </c>
      <c r="G8" s="57">
        <f t="shared" si="3"/>
        <v>2</v>
      </c>
      <c r="H8" s="57">
        <f t="shared" si="3"/>
        <v>2</v>
      </c>
      <c r="I8" s="57">
        <f t="shared" si="3"/>
        <v>3</v>
      </c>
      <c r="J8" s="57">
        <f t="shared" si="3"/>
        <v>3</v>
      </c>
      <c r="K8" s="11">
        <f t="shared" si="3"/>
        <v>2</v>
      </c>
      <c r="L8" s="63">
        <f t="shared" si="0"/>
        <v>0.60108474454521421</v>
      </c>
    </row>
    <row r="9" spans="1:18" x14ac:dyDescent="0.2">
      <c r="A9" s="88" t="s">
        <v>104</v>
      </c>
      <c r="B9" s="178" t="s">
        <v>328</v>
      </c>
      <c r="C9" s="42" t="s">
        <v>65</v>
      </c>
      <c r="D9" s="44">
        <f t="shared" si="2"/>
        <v>9.9599999999999995E-5</v>
      </c>
      <c r="E9" s="32" t="str">
        <f t="shared" si="2"/>
        <v>Cole, G. &amp; Sherrington, C. Study to Quantify Pellet Emissions in the UK. (2016).</v>
      </c>
      <c r="F9" s="99" t="s">
        <v>78</v>
      </c>
      <c r="G9" s="57">
        <f t="shared" si="3"/>
        <v>2</v>
      </c>
      <c r="H9" s="57">
        <f t="shared" si="3"/>
        <v>2</v>
      </c>
      <c r="I9" s="57">
        <f t="shared" si="3"/>
        <v>3</v>
      </c>
      <c r="J9" s="57">
        <f t="shared" si="3"/>
        <v>3</v>
      </c>
      <c r="K9" s="11">
        <f t="shared" si="3"/>
        <v>2</v>
      </c>
      <c r="L9" s="63">
        <f t="shared" si="0"/>
        <v>0.60108474454521421</v>
      </c>
    </row>
    <row r="10" spans="1:18" s="72" customFormat="1" x14ac:dyDescent="0.2">
      <c r="A10" s="132" t="s">
        <v>3</v>
      </c>
      <c r="B10" s="191" t="s">
        <v>397</v>
      </c>
      <c r="C10" s="38" t="s">
        <v>65</v>
      </c>
      <c r="D10" s="45">
        <f>0.25*0.001/100</f>
        <v>2.5000000000000002E-6</v>
      </c>
      <c r="E10" s="46" t="str">
        <f>E2</f>
        <v>Cole, G. &amp; Sherrington, C. Study to Quantify Pellet Emissions in the UK. (2016).</v>
      </c>
      <c r="F10" s="101" t="s">
        <v>78</v>
      </c>
      <c r="G10" s="58">
        <f t="shared" ref="G10:I11" si="4">G2</f>
        <v>2</v>
      </c>
      <c r="H10" s="58">
        <f t="shared" si="4"/>
        <v>2</v>
      </c>
      <c r="I10" s="58">
        <f t="shared" si="4"/>
        <v>3</v>
      </c>
      <c r="J10" s="58">
        <f>J2+1</f>
        <v>3</v>
      </c>
      <c r="K10" s="14">
        <f>K2</f>
        <v>2</v>
      </c>
      <c r="L10" s="98">
        <f t="shared" si="0"/>
        <v>0.60108474454521421</v>
      </c>
      <c r="M10" s="82"/>
    </row>
    <row r="11" spans="1:18" x14ac:dyDescent="0.2">
      <c r="A11" s="88" t="s">
        <v>3</v>
      </c>
      <c r="B11" s="175" t="s">
        <v>397</v>
      </c>
      <c r="C11" s="42" t="s">
        <v>65</v>
      </c>
      <c r="D11" s="44">
        <f>0.25*0.01/100</f>
        <v>2.5000000000000001E-5</v>
      </c>
      <c r="E11" s="32" t="str">
        <f>E3</f>
        <v>Cole, G. &amp; Sherrington, C. Study to Quantify Pellet Emissions in the UK. (2016).</v>
      </c>
      <c r="F11" s="99" t="s">
        <v>78</v>
      </c>
      <c r="G11" s="57">
        <f t="shared" si="4"/>
        <v>2</v>
      </c>
      <c r="H11" s="57">
        <f t="shared" si="4"/>
        <v>2</v>
      </c>
      <c r="I11" s="57">
        <f t="shared" si="4"/>
        <v>3</v>
      </c>
      <c r="J11" s="57">
        <f>J3+1</f>
        <v>3</v>
      </c>
      <c r="K11" s="11">
        <f>K3</f>
        <v>2</v>
      </c>
      <c r="L11" s="63">
        <f t="shared" si="0"/>
        <v>0.60108474454521421</v>
      </c>
    </row>
    <row r="12" spans="1:18" x14ac:dyDescent="0.2">
      <c r="A12" s="88" t="s">
        <v>3</v>
      </c>
      <c r="B12" s="178" t="s">
        <v>328</v>
      </c>
      <c r="C12" s="42" t="s">
        <v>65</v>
      </c>
      <c r="D12" s="44">
        <f>(1-0.25)*0.001/100</f>
        <v>7.5000000000000002E-6</v>
      </c>
      <c r="E12" s="32" t="s">
        <v>430</v>
      </c>
      <c r="F12" s="99" t="s">
        <v>78</v>
      </c>
      <c r="G12" s="57">
        <v>2</v>
      </c>
      <c r="H12" s="57">
        <v>2</v>
      </c>
      <c r="I12" s="57">
        <v>3</v>
      </c>
      <c r="J12" s="57">
        <v>3</v>
      </c>
      <c r="K12" s="11">
        <v>2</v>
      </c>
      <c r="L12" s="63">
        <v>0.60108474454521421</v>
      </c>
    </row>
    <row r="13" spans="1:18" x14ac:dyDescent="0.2">
      <c r="A13" s="88" t="s">
        <v>3</v>
      </c>
      <c r="B13" s="178" t="s">
        <v>328</v>
      </c>
      <c r="C13" s="42" t="s">
        <v>65</v>
      </c>
      <c r="D13" s="44">
        <f>(1-0.25)*0.01/100</f>
        <v>7.4999999999999993E-5</v>
      </c>
      <c r="E13" s="32" t="s">
        <v>430</v>
      </c>
      <c r="F13" s="99" t="s">
        <v>78</v>
      </c>
      <c r="G13" s="57">
        <v>2</v>
      </c>
      <c r="H13" s="57">
        <v>2</v>
      </c>
      <c r="I13" s="57">
        <v>3</v>
      </c>
      <c r="J13" s="57">
        <v>3</v>
      </c>
      <c r="K13" s="11">
        <v>2</v>
      </c>
      <c r="L13" s="63">
        <v>0.60108474454521421</v>
      </c>
    </row>
    <row r="14" spans="1:18" s="72" customFormat="1" x14ac:dyDescent="0.2">
      <c r="A14" s="132" t="s">
        <v>4</v>
      </c>
      <c r="B14" s="191" t="s">
        <v>301</v>
      </c>
      <c r="C14" s="211" t="s">
        <v>65</v>
      </c>
      <c r="D14" s="58">
        <f t="shared" ref="D14:E17" si="5">D2</f>
        <v>4.0000000000000001E-8</v>
      </c>
      <c r="E14" s="46" t="str">
        <f t="shared" si="5"/>
        <v>Cole, G. &amp; Sherrington, C. Study to Quantify Pellet Emissions in the UK. (2016).</v>
      </c>
      <c r="F14" s="101" t="s">
        <v>78</v>
      </c>
      <c r="G14" s="58">
        <f t="shared" ref="G14:K17" si="6">G2</f>
        <v>2</v>
      </c>
      <c r="H14" s="58">
        <f t="shared" si="6"/>
        <v>2</v>
      </c>
      <c r="I14" s="58">
        <f t="shared" si="6"/>
        <v>3</v>
      </c>
      <c r="J14" s="58">
        <f t="shared" si="6"/>
        <v>2</v>
      </c>
      <c r="K14" s="14">
        <f t="shared" si="6"/>
        <v>2</v>
      </c>
      <c r="L14" s="98">
        <f t="shared" si="0"/>
        <v>0.51126068492676302</v>
      </c>
      <c r="M14" s="82"/>
    </row>
    <row r="15" spans="1:18" x14ac:dyDescent="0.2">
      <c r="A15" s="88" t="s">
        <v>4</v>
      </c>
      <c r="B15" s="175" t="s">
        <v>301</v>
      </c>
      <c r="C15" s="206" t="s">
        <v>65</v>
      </c>
      <c r="D15" s="57">
        <f t="shared" si="5"/>
        <v>4.0000000000000003E-7</v>
      </c>
      <c r="E15" s="32" t="str">
        <f t="shared" si="5"/>
        <v>Cole, G. &amp; Sherrington, C. Study to Quantify Pellet Emissions in the UK. (2016).</v>
      </c>
      <c r="F15" s="99" t="s">
        <v>78</v>
      </c>
      <c r="G15" s="57">
        <f t="shared" si="6"/>
        <v>2</v>
      </c>
      <c r="H15" s="57">
        <f t="shared" si="6"/>
        <v>2</v>
      </c>
      <c r="I15" s="57">
        <f t="shared" si="6"/>
        <v>3</v>
      </c>
      <c r="J15" s="57">
        <f t="shared" si="6"/>
        <v>2</v>
      </c>
      <c r="K15" s="11">
        <f t="shared" si="6"/>
        <v>2</v>
      </c>
      <c r="L15" s="63">
        <f t="shared" si="0"/>
        <v>0.51126068492676302</v>
      </c>
    </row>
    <row r="16" spans="1:18" x14ac:dyDescent="0.2">
      <c r="A16" s="88" t="s">
        <v>4</v>
      </c>
      <c r="B16" s="212" t="s">
        <v>328</v>
      </c>
      <c r="C16" s="206" t="s">
        <v>65</v>
      </c>
      <c r="D16" s="57">
        <f t="shared" si="5"/>
        <v>9.9599999999999995E-6</v>
      </c>
      <c r="E16" s="32" t="str">
        <f t="shared" si="5"/>
        <v>Cole, G. &amp; Sherrington, C. Study to Quantify Pellet Emissions in the UK. (2016).</v>
      </c>
      <c r="F16" s="99" t="s">
        <v>78</v>
      </c>
      <c r="G16" s="57">
        <f t="shared" si="6"/>
        <v>2</v>
      </c>
      <c r="H16" s="57">
        <f t="shared" si="6"/>
        <v>2</v>
      </c>
      <c r="I16" s="57">
        <f t="shared" si="6"/>
        <v>3</v>
      </c>
      <c r="J16" s="57">
        <f t="shared" si="6"/>
        <v>3</v>
      </c>
      <c r="K16" s="11">
        <f t="shared" si="6"/>
        <v>2</v>
      </c>
      <c r="L16" s="63">
        <f t="shared" si="0"/>
        <v>0.60108474454521421</v>
      </c>
    </row>
    <row r="17" spans="1:13" x14ac:dyDescent="0.2">
      <c r="A17" s="88" t="s">
        <v>4</v>
      </c>
      <c r="B17" s="178" t="s">
        <v>328</v>
      </c>
      <c r="C17" s="206" t="s">
        <v>65</v>
      </c>
      <c r="D17" s="57">
        <f t="shared" si="5"/>
        <v>9.9599999999999995E-5</v>
      </c>
      <c r="E17" s="32" t="str">
        <f t="shared" si="5"/>
        <v>Cole, G. &amp; Sherrington, C. Study to Quantify Pellet Emissions in the UK. (2016).</v>
      </c>
      <c r="F17" s="99" t="s">
        <v>78</v>
      </c>
      <c r="G17" s="57">
        <f t="shared" si="6"/>
        <v>2</v>
      </c>
      <c r="H17" s="57">
        <f t="shared" si="6"/>
        <v>2</v>
      </c>
      <c r="I17" s="57">
        <f t="shared" si="6"/>
        <v>3</v>
      </c>
      <c r="J17" s="57">
        <f t="shared" si="6"/>
        <v>3</v>
      </c>
      <c r="K17" s="11">
        <f t="shared" si="6"/>
        <v>2</v>
      </c>
      <c r="L17" s="63">
        <f t="shared" si="0"/>
        <v>0.60108474454521421</v>
      </c>
    </row>
    <row r="18" spans="1:13" s="72" customFormat="1" x14ac:dyDescent="0.2">
      <c r="A18" s="36" t="s">
        <v>6</v>
      </c>
      <c r="B18" s="191" t="s">
        <v>397</v>
      </c>
      <c r="C18" s="211" t="s">
        <v>65</v>
      </c>
      <c r="D18" s="58">
        <f t="shared" ref="D18:E21" si="7">D2</f>
        <v>4.0000000000000001E-8</v>
      </c>
      <c r="E18" s="46" t="str">
        <f t="shared" si="7"/>
        <v>Cole, G. &amp; Sherrington, C. Study to Quantify Pellet Emissions in the UK. (2016).</v>
      </c>
      <c r="F18" s="101" t="s">
        <v>78</v>
      </c>
      <c r="G18" s="58">
        <f t="shared" ref="G18:K21" si="8">G2</f>
        <v>2</v>
      </c>
      <c r="H18" s="58">
        <f t="shared" si="8"/>
        <v>2</v>
      </c>
      <c r="I18" s="58">
        <f t="shared" si="8"/>
        <v>3</v>
      </c>
      <c r="J18" s="58">
        <f t="shared" si="8"/>
        <v>2</v>
      </c>
      <c r="K18" s="14">
        <f t="shared" si="8"/>
        <v>2</v>
      </c>
      <c r="L18" s="98">
        <f t="shared" si="0"/>
        <v>0.51126068492676302</v>
      </c>
      <c r="M18" s="82"/>
    </row>
    <row r="19" spans="1:13" x14ac:dyDescent="0.2">
      <c r="A19" s="100" t="s">
        <v>6</v>
      </c>
      <c r="B19" s="175" t="s">
        <v>397</v>
      </c>
      <c r="C19" s="206" t="s">
        <v>65</v>
      </c>
      <c r="D19" s="57">
        <f t="shared" si="7"/>
        <v>4.0000000000000003E-7</v>
      </c>
      <c r="E19" s="32" t="str">
        <f t="shared" si="7"/>
        <v>Cole, G. &amp; Sherrington, C. Study to Quantify Pellet Emissions in the UK. (2016).</v>
      </c>
      <c r="F19" s="99" t="s">
        <v>78</v>
      </c>
      <c r="G19" s="57">
        <f t="shared" si="8"/>
        <v>2</v>
      </c>
      <c r="H19" s="57">
        <f t="shared" si="8"/>
        <v>2</v>
      </c>
      <c r="I19" s="57">
        <f t="shared" si="8"/>
        <v>3</v>
      </c>
      <c r="J19" s="57">
        <f t="shared" si="8"/>
        <v>2</v>
      </c>
      <c r="K19" s="11">
        <f t="shared" si="8"/>
        <v>2</v>
      </c>
      <c r="L19" s="63">
        <f t="shared" si="0"/>
        <v>0.51126068492676302</v>
      </c>
    </row>
    <row r="20" spans="1:13" x14ac:dyDescent="0.2">
      <c r="A20" s="100" t="s">
        <v>6</v>
      </c>
      <c r="B20" s="178" t="s">
        <v>328</v>
      </c>
      <c r="C20" s="206" t="s">
        <v>65</v>
      </c>
      <c r="D20" s="57">
        <f t="shared" si="7"/>
        <v>9.9599999999999995E-6</v>
      </c>
      <c r="E20" s="32" t="str">
        <f t="shared" si="7"/>
        <v>Cole, G. &amp; Sherrington, C. Study to Quantify Pellet Emissions in the UK. (2016).</v>
      </c>
      <c r="F20" s="99" t="s">
        <v>78</v>
      </c>
      <c r="G20" s="57">
        <f t="shared" si="8"/>
        <v>2</v>
      </c>
      <c r="H20" s="57">
        <f t="shared" si="8"/>
        <v>2</v>
      </c>
      <c r="I20" s="57">
        <f t="shared" si="8"/>
        <v>3</v>
      </c>
      <c r="J20" s="57">
        <f t="shared" si="8"/>
        <v>3</v>
      </c>
      <c r="K20" s="11">
        <f t="shared" si="8"/>
        <v>2</v>
      </c>
      <c r="L20" s="63">
        <f t="shared" si="0"/>
        <v>0.60108474454521421</v>
      </c>
    </row>
    <row r="21" spans="1:13" s="73" customFormat="1" x14ac:dyDescent="0.2">
      <c r="A21" s="210" t="s">
        <v>6</v>
      </c>
      <c r="B21" s="183" t="s">
        <v>328</v>
      </c>
      <c r="C21" s="209" t="s">
        <v>65</v>
      </c>
      <c r="D21" s="59">
        <f t="shared" si="7"/>
        <v>9.9599999999999995E-5</v>
      </c>
      <c r="E21" s="33" t="str">
        <f t="shared" si="7"/>
        <v>Cole, G. &amp; Sherrington, C. Study to Quantify Pellet Emissions in the UK. (2016).</v>
      </c>
      <c r="F21" s="102" t="s">
        <v>78</v>
      </c>
      <c r="G21" s="59">
        <f t="shared" si="8"/>
        <v>2</v>
      </c>
      <c r="H21" s="59">
        <f t="shared" si="8"/>
        <v>2</v>
      </c>
      <c r="I21" s="59">
        <f t="shared" si="8"/>
        <v>3</v>
      </c>
      <c r="J21" s="59">
        <f t="shared" si="8"/>
        <v>3</v>
      </c>
      <c r="K21" s="15">
        <f t="shared" si="8"/>
        <v>2</v>
      </c>
      <c r="L21" s="37">
        <f t="shared" si="0"/>
        <v>0.60108474454521421</v>
      </c>
      <c r="M21" s="81"/>
    </row>
    <row r="22" spans="1:13" x14ac:dyDescent="0.2">
      <c r="A22" s="100" t="s">
        <v>5</v>
      </c>
      <c r="B22" s="175" t="s">
        <v>301</v>
      </c>
      <c r="C22" s="206" t="s">
        <v>65</v>
      </c>
      <c r="D22" s="57">
        <f>0.025/1000</f>
        <v>2.5000000000000001E-5</v>
      </c>
      <c r="E22" s="32" t="s">
        <v>463</v>
      </c>
      <c r="F22" s="99" t="s">
        <v>78</v>
      </c>
      <c r="G22" s="57">
        <v>2</v>
      </c>
      <c r="H22" s="57">
        <v>2</v>
      </c>
      <c r="I22" s="57">
        <v>3</v>
      </c>
      <c r="J22" s="57">
        <v>2</v>
      </c>
      <c r="K22" s="11">
        <v>1</v>
      </c>
      <c r="L22" s="63">
        <f t="shared" si="0"/>
        <v>0.40183591897512122</v>
      </c>
    </row>
    <row r="23" spans="1:13" x14ac:dyDescent="0.2">
      <c r="A23" s="100" t="s">
        <v>5</v>
      </c>
      <c r="B23" s="175" t="s">
        <v>301</v>
      </c>
      <c r="C23" s="206" t="s">
        <v>65</v>
      </c>
      <c r="D23" s="57">
        <f>0.008/100</f>
        <v>8.0000000000000007E-5</v>
      </c>
      <c r="E23" s="32" t="s">
        <v>456</v>
      </c>
      <c r="F23" s="99" t="s">
        <v>78</v>
      </c>
      <c r="G23" s="57">
        <v>2</v>
      </c>
      <c r="H23" s="57">
        <v>2</v>
      </c>
      <c r="I23" s="57">
        <v>3</v>
      </c>
      <c r="J23" s="57">
        <v>2</v>
      </c>
      <c r="K23" s="11">
        <v>1</v>
      </c>
      <c r="L23" s="63">
        <f t="shared" si="0"/>
        <v>0.40183591897512122</v>
      </c>
    </row>
    <row r="24" spans="1:13" x14ac:dyDescent="0.2">
      <c r="A24" s="100" t="s">
        <v>5</v>
      </c>
      <c r="B24" s="175" t="s">
        <v>301</v>
      </c>
      <c r="C24" s="206" t="s">
        <v>65</v>
      </c>
      <c r="D24" s="57">
        <f>0.021/100</f>
        <v>2.1000000000000001E-4</v>
      </c>
      <c r="E24" s="32" t="s">
        <v>456</v>
      </c>
      <c r="F24" s="99" t="s">
        <v>78</v>
      </c>
      <c r="G24" s="57">
        <v>2</v>
      </c>
      <c r="H24" s="57">
        <v>2</v>
      </c>
      <c r="I24" s="57">
        <v>3</v>
      </c>
      <c r="J24" s="57">
        <v>2</v>
      </c>
      <c r="K24" s="11">
        <v>1</v>
      </c>
      <c r="L24" s="63">
        <f t="shared" si="0"/>
        <v>0.40183591897512122</v>
      </c>
    </row>
    <row r="25" spans="1:13" s="72" customFormat="1" x14ac:dyDescent="0.2">
      <c r="A25" s="54" t="s">
        <v>295</v>
      </c>
      <c r="B25" s="191" t="s">
        <v>397</v>
      </c>
      <c r="C25" s="38" t="s">
        <v>65</v>
      </c>
      <c r="D25" s="45">
        <f t="shared" ref="D25:E28" si="9">D2</f>
        <v>4.0000000000000001E-8</v>
      </c>
      <c r="E25" s="46" t="str">
        <f t="shared" si="9"/>
        <v>Cole, G. &amp; Sherrington, C. Study to Quantify Pellet Emissions in the UK. (2016).</v>
      </c>
      <c r="F25" s="101" t="s">
        <v>78</v>
      </c>
      <c r="G25" s="58">
        <f t="shared" ref="G25:K28" si="10">G2</f>
        <v>2</v>
      </c>
      <c r="H25" s="58">
        <f t="shared" si="10"/>
        <v>2</v>
      </c>
      <c r="I25" s="58">
        <f t="shared" si="10"/>
        <v>3</v>
      </c>
      <c r="J25" s="58">
        <f t="shared" si="10"/>
        <v>2</v>
      </c>
      <c r="K25" s="14">
        <f t="shared" si="10"/>
        <v>2</v>
      </c>
      <c r="L25" s="98">
        <f t="shared" si="0"/>
        <v>0.51126068492676302</v>
      </c>
      <c r="M25" s="115"/>
    </row>
    <row r="26" spans="1:13" x14ac:dyDescent="0.2">
      <c r="A26" s="56" t="s">
        <v>295</v>
      </c>
      <c r="B26" s="175" t="s">
        <v>397</v>
      </c>
      <c r="C26" s="42" t="s">
        <v>65</v>
      </c>
      <c r="D26" s="44">
        <f t="shared" si="9"/>
        <v>4.0000000000000003E-7</v>
      </c>
      <c r="E26" s="32" t="str">
        <f t="shared" si="9"/>
        <v>Cole, G. &amp; Sherrington, C. Study to Quantify Pellet Emissions in the UK. (2016).</v>
      </c>
      <c r="F26" s="99" t="s">
        <v>78</v>
      </c>
      <c r="G26" s="57">
        <f t="shared" si="10"/>
        <v>2</v>
      </c>
      <c r="H26" s="57">
        <f t="shared" si="10"/>
        <v>2</v>
      </c>
      <c r="I26" s="57">
        <f t="shared" si="10"/>
        <v>3</v>
      </c>
      <c r="J26" s="57">
        <f t="shared" si="10"/>
        <v>2</v>
      </c>
      <c r="K26" s="11">
        <f t="shared" si="10"/>
        <v>2</v>
      </c>
      <c r="L26" s="63">
        <f t="shared" si="0"/>
        <v>0.51126068492676302</v>
      </c>
      <c r="M26" s="114"/>
    </row>
    <row r="27" spans="1:13" x14ac:dyDescent="0.2">
      <c r="A27" s="56" t="s">
        <v>295</v>
      </c>
      <c r="B27" s="178" t="s">
        <v>328</v>
      </c>
      <c r="C27" s="42" t="s">
        <v>65</v>
      </c>
      <c r="D27" s="44">
        <f t="shared" si="9"/>
        <v>9.9599999999999995E-6</v>
      </c>
      <c r="E27" s="32" t="str">
        <f t="shared" si="9"/>
        <v>Cole, G. &amp; Sherrington, C. Study to Quantify Pellet Emissions in the UK. (2016).</v>
      </c>
      <c r="F27" s="99" t="s">
        <v>78</v>
      </c>
      <c r="G27" s="57">
        <f t="shared" si="10"/>
        <v>2</v>
      </c>
      <c r="H27" s="57">
        <f t="shared" si="10"/>
        <v>2</v>
      </c>
      <c r="I27" s="57">
        <f t="shared" si="10"/>
        <v>3</v>
      </c>
      <c r="J27" s="57">
        <f t="shared" si="10"/>
        <v>3</v>
      </c>
      <c r="K27" s="11">
        <f t="shared" si="10"/>
        <v>2</v>
      </c>
      <c r="L27" s="63">
        <f t="shared" si="0"/>
        <v>0.60108474454521421</v>
      </c>
      <c r="M27" s="114"/>
    </row>
    <row r="28" spans="1:13" x14ac:dyDescent="0.2">
      <c r="A28" s="56" t="s">
        <v>295</v>
      </c>
      <c r="B28" s="178" t="s">
        <v>328</v>
      </c>
      <c r="C28" s="42" t="s">
        <v>65</v>
      </c>
      <c r="D28" s="44">
        <f t="shared" si="9"/>
        <v>9.9599999999999995E-5</v>
      </c>
      <c r="E28" s="32" t="str">
        <f t="shared" si="9"/>
        <v>Cole, G. &amp; Sherrington, C. Study to Quantify Pellet Emissions in the UK. (2016).</v>
      </c>
      <c r="F28" s="99" t="s">
        <v>78</v>
      </c>
      <c r="G28" s="57">
        <f t="shared" si="10"/>
        <v>2</v>
      </c>
      <c r="H28" s="57">
        <f t="shared" si="10"/>
        <v>2</v>
      </c>
      <c r="I28" s="57">
        <f t="shared" si="10"/>
        <v>3</v>
      </c>
      <c r="J28" s="57">
        <f t="shared" si="10"/>
        <v>3</v>
      </c>
      <c r="K28" s="11">
        <f t="shared" si="10"/>
        <v>2</v>
      </c>
      <c r="L28" s="63">
        <f t="shared" si="0"/>
        <v>0.60108474454521421</v>
      </c>
      <c r="M28" s="114"/>
    </row>
    <row r="29" spans="1:13" s="72" customFormat="1" x14ac:dyDescent="0.2">
      <c r="A29" s="54" t="s">
        <v>294</v>
      </c>
      <c r="B29" s="191" t="s">
        <v>301</v>
      </c>
      <c r="C29" s="38" t="s">
        <v>65</v>
      </c>
      <c r="D29" s="45">
        <f>0.01/100</f>
        <v>1E-4</v>
      </c>
      <c r="E29" s="46" t="s">
        <v>71</v>
      </c>
      <c r="F29" s="101" t="s">
        <v>78</v>
      </c>
      <c r="G29" s="58">
        <v>1</v>
      </c>
      <c r="H29" s="58">
        <v>1</v>
      </c>
      <c r="I29" s="58">
        <v>1</v>
      </c>
      <c r="J29" s="58">
        <v>1</v>
      </c>
      <c r="K29" s="14">
        <v>3</v>
      </c>
      <c r="L29" s="98">
        <f t="shared" si="0"/>
        <v>1.0141150152164344</v>
      </c>
      <c r="M29" s="115"/>
    </row>
    <row r="30" spans="1:13" s="73" customFormat="1" x14ac:dyDescent="0.2">
      <c r="A30" s="55" t="s">
        <v>294</v>
      </c>
      <c r="B30" s="183" t="s">
        <v>328</v>
      </c>
      <c r="C30" s="86" t="s">
        <v>65</v>
      </c>
      <c r="D30" s="43">
        <f t="shared" ref="D30:D32" si="11">0.01/100</f>
        <v>1E-4</v>
      </c>
      <c r="E30" s="33" t="s">
        <v>71</v>
      </c>
      <c r="F30" s="102" t="s">
        <v>78</v>
      </c>
      <c r="G30" s="59">
        <v>1</v>
      </c>
      <c r="H30" s="59">
        <v>1</v>
      </c>
      <c r="I30" s="59">
        <v>1</v>
      </c>
      <c r="J30" s="59">
        <v>1</v>
      </c>
      <c r="K30" s="15">
        <v>3</v>
      </c>
      <c r="L30" s="37">
        <f t="shared" si="0"/>
        <v>1.0141150152164344</v>
      </c>
      <c r="M30" s="97"/>
    </row>
    <row r="31" spans="1:13" s="72" customFormat="1" x14ac:dyDescent="0.2">
      <c r="A31" s="54" t="s">
        <v>41</v>
      </c>
      <c r="B31" s="208" t="s">
        <v>398</v>
      </c>
      <c r="C31" s="13" t="s">
        <v>65</v>
      </c>
      <c r="D31" s="45">
        <f t="shared" si="11"/>
        <v>1E-4</v>
      </c>
      <c r="E31" s="46" t="s">
        <v>71</v>
      </c>
      <c r="F31" s="101" t="s">
        <v>78</v>
      </c>
      <c r="G31" s="58">
        <v>1</v>
      </c>
      <c r="H31" s="58">
        <v>1</v>
      </c>
      <c r="I31" s="58">
        <v>1</v>
      </c>
      <c r="J31" s="58">
        <v>1</v>
      </c>
      <c r="K31" s="14">
        <v>3</v>
      </c>
      <c r="L31" s="98">
        <f t="shared" si="0"/>
        <v>1.0141150152164344</v>
      </c>
      <c r="M31" s="82"/>
    </row>
    <row r="32" spans="1:13" x14ac:dyDescent="0.2">
      <c r="A32" s="56" t="s">
        <v>29</v>
      </c>
      <c r="B32" s="172" t="s">
        <v>398</v>
      </c>
      <c r="C32" s="10" t="s">
        <v>65</v>
      </c>
      <c r="D32" s="44">
        <f t="shared" si="11"/>
        <v>1E-4</v>
      </c>
      <c r="E32" s="32" t="s">
        <v>71</v>
      </c>
      <c r="F32" s="99" t="s">
        <v>78</v>
      </c>
      <c r="G32" s="57">
        <v>1</v>
      </c>
      <c r="H32" s="57">
        <v>1</v>
      </c>
      <c r="I32" s="57">
        <v>1</v>
      </c>
      <c r="J32" s="57">
        <v>1</v>
      </c>
      <c r="K32" s="11">
        <v>3</v>
      </c>
      <c r="L32" s="63">
        <f t="shared" si="0"/>
        <v>1.0141150152164344</v>
      </c>
    </row>
    <row r="33" spans="1:13" x14ac:dyDescent="0.2">
      <c r="A33" s="56" t="s">
        <v>42</v>
      </c>
      <c r="B33" s="172" t="s">
        <v>398</v>
      </c>
      <c r="C33" s="10" t="s">
        <v>65</v>
      </c>
      <c r="D33" s="44">
        <f t="shared" ref="D33:D34" si="12">0.01/100</f>
        <v>1E-4</v>
      </c>
      <c r="E33" s="32" t="s">
        <v>71</v>
      </c>
      <c r="F33" s="99" t="s">
        <v>78</v>
      </c>
      <c r="G33" s="57">
        <v>1</v>
      </c>
      <c r="H33" s="57">
        <v>1</v>
      </c>
      <c r="I33" s="57">
        <v>1</v>
      </c>
      <c r="J33" s="57">
        <v>1</v>
      </c>
      <c r="K33" s="11">
        <v>3</v>
      </c>
      <c r="L33" s="63">
        <f t="shared" ref="L33:L68" si="13">IF( OR( ISBLANK(G33),ISBLANK(H33), ISBLANK(I33), ISBLANK(J33), ISBLANK(K33) ), "", 1.5*SQRT(   EXP(2.21*(G33-1)) + EXP(2.21*(H33-1)) + EXP(2.21*(I33-1)) + EXP(2.21*(J33-1)) + EXP(2.21*K33)   )/100*2.45 )</f>
        <v>1.0141150152164344</v>
      </c>
    </row>
    <row r="34" spans="1:13" x14ac:dyDescent="0.2">
      <c r="A34" s="56" t="s">
        <v>44</v>
      </c>
      <c r="B34" s="172" t="s">
        <v>398</v>
      </c>
      <c r="C34" s="10" t="s">
        <v>65</v>
      </c>
      <c r="D34" s="44">
        <f t="shared" si="12"/>
        <v>1E-4</v>
      </c>
      <c r="E34" s="32" t="s">
        <v>71</v>
      </c>
      <c r="F34" s="99" t="s">
        <v>78</v>
      </c>
      <c r="G34" s="57">
        <v>1</v>
      </c>
      <c r="H34" s="57">
        <v>1</v>
      </c>
      <c r="I34" s="57">
        <v>1</v>
      </c>
      <c r="J34" s="57">
        <v>1</v>
      </c>
      <c r="K34" s="11">
        <v>3</v>
      </c>
      <c r="L34" s="63">
        <f t="shared" si="13"/>
        <v>1.0141150152164344</v>
      </c>
    </row>
    <row r="35" spans="1:13" s="72" customFormat="1" x14ac:dyDescent="0.2">
      <c r="A35" s="54" t="s">
        <v>43</v>
      </c>
      <c r="B35" s="297" t="s">
        <v>403</v>
      </c>
      <c r="C35" s="211" t="s">
        <v>65</v>
      </c>
      <c r="D35" s="298">
        <f>0.0013</f>
        <v>1.2999999999999999E-3</v>
      </c>
      <c r="E35" s="46" t="s">
        <v>428</v>
      </c>
      <c r="F35" s="101" t="s">
        <v>78</v>
      </c>
      <c r="G35" s="58">
        <f t="shared" ref="G35:K36" si="14">G110</f>
        <v>2</v>
      </c>
      <c r="H35" s="58">
        <f t="shared" si="14"/>
        <v>2</v>
      </c>
      <c r="I35" s="58">
        <f t="shared" si="14"/>
        <v>3</v>
      </c>
      <c r="J35" s="58">
        <f t="shared" si="14"/>
        <v>2</v>
      </c>
      <c r="K35" s="14">
        <f t="shared" si="14"/>
        <v>2</v>
      </c>
      <c r="L35" s="98">
        <f>IF( OR( ISBLANK(G35),ISBLANK(H35), ISBLANK(I35), ISBLANK(J35), ISBLANK(K35) ), "", 1.5*SQRT(   EXP(2.21*(G35-1)) + EXP(2.21*(H35-1)) + EXP(2.21*(I35-1)) + EXP(2.21*(J35-1)) + EXP(2.21*K35)   )/100*2.45 )</f>
        <v>0.51126068492676302</v>
      </c>
      <c r="M35" s="82"/>
    </row>
    <row r="36" spans="1:13" x14ac:dyDescent="0.2">
      <c r="A36" s="56" t="s">
        <v>43</v>
      </c>
      <c r="B36" s="207" t="s">
        <v>403</v>
      </c>
      <c r="C36" s="206" t="s">
        <v>65</v>
      </c>
      <c r="D36" s="293">
        <f>0.0147</f>
        <v>1.47E-2</v>
      </c>
      <c r="E36" s="32" t="s">
        <v>427</v>
      </c>
      <c r="F36" s="99" t="s">
        <v>78</v>
      </c>
      <c r="G36" s="57">
        <f t="shared" si="14"/>
        <v>2</v>
      </c>
      <c r="H36" s="57">
        <f t="shared" si="14"/>
        <v>2</v>
      </c>
      <c r="I36" s="57">
        <f t="shared" si="14"/>
        <v>3</v>
      </c>
      <c r="J36" s="57">
        <f t="shared" si="14"/>
        <v>2</v>
      </c>
      <c r="K36" s="11">
        <f t="shared" si="14"/>
        <v>2</v>
      </c>
      <c r="L36" s="63">
        <f>IF( OR( ISBLANK(G36),ISBLANK(H36), ISBLANK(I36), ISBLANK(J36), ISBLANK(K36) ), "", 1.5*SQRT(   EXP(2.21*(G36-1)) + EXP(2.21*(H36-1)) + EXP(2.21*(I36-1)) + EXP(2.21*(J36-1)) + EXP(2.21*K36)   )/100*2.45 )</f>
        <v>0.51126068492676302</v>
      </c>
    </row>
    <row r="37" spans="1:13" x14ac:dyDescent="0.2">
      <c r="A37" s="56" t="s">
        <v>101</v>
      </c>
      <c r="B37" s="207" t="s">
        <v>403</v>
      </c>
      <c r="C37" s="206" t="s">
        <v>65</v>
      </c>
      <c r="D37" s="293">
        <f>0.0013</f>
        <v>1.2999999999999999E-3</v>
      </c>
      <c r="E37" s="32" t="s">
        <v>428</v>
      </c>
      <c r="F37" s="99" t="s">
        <v>78</v>
      </c>
      <c r="G37" s="57">
        <f t="shared" ref="G37:K38" si="15">G35</f>
        <v>2</v>
      </c>
      <c r="H37" s="57">
        <f t="shared" si="15"/>
        <v>2</v>
      </c>
      <c r="I37" s="57">
        <f t="shared" si="15"/>
        <v>3</v>
      </c>
      <c r="J37" s="57">
        <f t="shared" si="15"/>
        <v>2</v>
      </c>
      <c r="K37" s="11">
        <f t="shared" si="15"/>
        <v>2</v>
      </c>
      <c r="L37" s="63">
        <f>IF( OR( ISBLANK(G37),ISBLANK(H37), ISBLANK(I37), ISBLANK(J37), ISBLANK(K37) ), "", 1.5*SQRT(   EXP(2.21*(G37-1)) + EXP(2.21*(H37-1)) + EXP(2.21*(I37-1)) + EXP(2.21*(J37-1)) + EXP(2.21*K37)   )/100*2.45 )</f>
        <v>0.51126068492676302</v>
      </c>
    </row>
    <row r="38" spans="1:13" s="73" customFormat="1" x14ac:dyDescent="0.2">
      <c r="A38" s="55" t="s">
        <v>101</v>
      </c>
      <c r="B38" s="299" t="s">
        <v>403</v>
      </c>
      <c r="C38" s="209" t="s">
        <v>65</v>
      </c>
      <c r="D38" s="294">
        <f>0.0147</f>
        <v>1.47E-2</v>
      </c>
      <c r="E38" s="33" t="s">
        <v>427</v>
      </c>
      <c r="F38" s="102" t="s">
        <v>78</v>
      </c>
      <c r="G38" s="59">
        <f t="shared" si="15"/>
        <v>2</v>
      </c>
      <c r="H38" s="59">
        <f t="shared" si="15"/>
        <v>2</v>
      </c>
      <c r="I38" s="59">
        <f t="shared" si="15"/>
        <v>3</v>
      </c>
      <c r="J38" s="59">
        <f t="shared" si="15"/>
        <v>2</v>
      </c>
      <c r="K38" s="15">
        <f t="shared" si="15"/>
        <v>2</v>
      </c>
      <c r="L38" s="37">
        <f>IF( OR( ISBLANK(G38),ISBLANK(H38), ISBLANK(I38), ISBLANK(J38), ISBLANK(K38) ), "", 1.5*SQRT(   EXP(2.21*(G38-1)) + EXP(2.21*(H38-1)) + EXP(2.21*(I38-1)) + EXP(2.21*(J38-1)) + EXP(2.21*K38)   )/100*2.45 )</f>
        <v>0.51126068492676302</v>
      </c>
      <c r="M38" s="81"/>
    </row>
    <row r="39" spans="1:13" s="72" customFormat="1" x14ac:dyDescent="0.2">
      <c r="A39" s="5" t="s">
        <v>45</v>
      </c>
      <c r="B39" s="191" t="s">
        <v>397</v>
      </c>
      <c r="C39" s="38" t="s">
        <v>65</v>
      </c>
      <c r="D39" s="45">
        <f t="shared" ref="D39:E42" si="16">D2</f>
        <v>4.0000000000000001E-8</v>
      </c>
      <c r="E39" s="46" t="str">
        <f t="shared" si="16"/>
        <v>Cole, G. &amp; Sherrington, C. Study to Quantify Pellet Emissions in the UK. (2016).</v>
      </c>
      <c r="F39" s="101" t="s">
        <v>78</v>
      </c>
      <c r="G39" s="58">
        <f t="shared" ref="G39:K42" si="17">G2</f>
        <v>2</v>
      </c>
      <c r="H39" s="58">
        <f t="shared" si="17"/>
        <v>2</v>
      </c>
      <c r="I39" s="58">
        <f t="shared" si="17"/>
        <v>3</v>
      </c>
      <c r="J39" s="58">
        <f t="shared" si="17"/>
        <v>2</v>
      </c>
      <c r="K39" s="14">
        <f t="shared" si="17"/>
        <v>2</v>
      </c>
      <c r="L39" s="98">
        <f t="shared" si="13"/>
        <v>0.51126068492676302</v>
      </c>
      <c r="M39" s="115"/>
    </row>
    <row r="40" spans="1:13" x14ac:dyDescent="0.2">
      <c r="A40" s="6" t="s">
        <v>45</v>
      </c>
      <c r="B40" s="175" t="s">
        <v>397</v>
      </c>
      <c r="C40" s="42" t="s">
        <v>65</v>
      </c>
      <c r="D40" s="44">
        <f t="shared" si="16"/>
        <v>4.0000000000000003E-7</v>
      </c>
      <c r="E40" s="32" t="str">
        <f t="shared" si="16"/>
        <v>Cole, G. &amp; Sherrington, C. Study to Quantify Pellet Emissions in the UK. (2016).</v>
      </c>
      <c r="F40" s="99" t="s">
        <v>78</v>
      </c>
      <c r="G40" s="57">
        <f t="shared" si="17"/>
        <v>2</v>
      </c>
      <c r="H40" s="57">
        <f t="shared" si="17"/>
        <v>2</v>
      </c>
      <c r="I40" s="57">
        <f t="shared" si="17"/>
        <v>3</v>
      </c>
      <c r="J40" s="57">
        <f t="shared" si="17"/>
        <v>2</v>
      </c>
      <c r="K40" s="11">
        <f t="shared" si="17"/>
        <v>2</v>
      </c>
      <c r="L40" s="63">
        <f t="shared" si="13"/>
        <v>0.51126068492676302</v>
      </c>
      <c r="M40" s="114"/>
    </row>
    <row r="41" spans="1:13" x14ac:dyDescent="0.2">
      <c r="A41" s="6" t="s">
        <v>45</v>
      </c>
      <c r="B41" s="178" t="s">
        <v>328</v>
      </c>
      <c r="C41" s="42" t="s">
        <v>65</v>
      </c>
      <c r="D41" s="44">
        <f t="shared" si="16"/>
        <v>9.9599999999999995E-6</v>
      </c>
      <c r="E41" s="32" t="str">
        <f t="shared" si="16"/>
        <v>Cole, G. &amp; Sherrington, C. Study to Quantify Pellet Emissions in the UK. (2016).</v>
      </c>
      <c r="F41" s="99" t="s">
        <v>78</v>
      </c>
      <c r="G41" s="57">
        <f t="shared" si="17"/>
        <v>2</v>
      </c>
      <c r="H41" s="57">
        <f t="shared" si="17"/>
        <v>2</v>
      </c>
      <c r="I41" s="57">
        <f t="shared" si="17"/>
        <v>3</v>
      </c>
      <c r="J41" s="57">
        <f t="shared" si="17"/>
        <v>3</v>
      </c>
      <c r="K41" s="11">
        <f t="shared" si="17"/>
        <v>2</v>
      </c>
      <c r="L41" s="63">
        <f t="shared" si="13"/>
        <v>0.60108474454521421</v>
      </c>
      <c r="M41" s="114"/>
    </row>
    <row r="42" spans="1:13" x14ac:dyDescent="0.2">
      <c r="A42" s="6" t="s">
        <v>45</v>
      </c>
      <c r="B42" s="178" t="s">
        <v>328</v>
      </c>
      <c r="C42" s="42" t="s">
        <v>65</v>
      </c>
      <c r="D42" s="44">
        <f t="shared" si="16"/>
        <v>9.9599999999999995E-5</v>
      </c>
      <c r="E42" s="32" t="str">
        <f t="shared" si="16"/>
        <v>Cole, G. &amp; Sherrington, C. Study to Quantify Pellet Emissions in the UK. (2016).</v>
      </c>
      <c r="F42" s="99" t="s">
        <v>78</v>
      </c>
      <c r="G42" s="57">
        <f t="shared" si="17"/>
        <v>2</v>
      </c>
      <c r="H42" s="57">
        <f t="shared" si="17"/>
        <v>2</v>
      </c>
      <c r="I42" s="57">
        <f t="shared" si="17"/>
        <v>3</v>
      </c>
      <c r="J42" s="57">
        <f t="shared" si="17"/>
        <v>3</v>
      </c>
      <c r="K42" s="11">
        <f t="shared" si="17"/>
        <v>2</v>
      </c>
      <c r="L42" s="63">
        <f t="shared" si="13"/>
        <v>0.60108474454521421</v>
      </c>
      <c r="M42" s="114"/>
    </row>
    <row r="43" spans="1:13" s="72" customFormat="1" x14ac:dyDescent="0.2">
      <c r="A43" s="5" t="s">
        <v>48</v>
      </c>
      <c r="B43" s="191" t="s">
        <v>397</v>
      </c>
      <c r="C43" s="38" t="s">
        <v>65</v>
      </c>
      <c r="D43" s="45">
        <f t="shared" ref="D43:E46" si="18">D2</f>
        <v>4.0000000000000001E-8</v>
      </c>
      <c r="E43" s="46" t="str">
        <f t="shared" si="18"/>
        <v>Cole, G. &amp; Sherrington, C. Study to Quantify Pellet Emissions in the UK. (2016).</v>
      </c>
      <c r="F43" s="101" t="s">
        <v>78</v>
      </c>
      <c r="G43" s="58">
        <f t="shared" ref="G43:K46" si="19">G2</f>
        <v>2</v>
      </c>
      <c r="H43" s="58">
        <f t="shared" si="19"/>
        <v>2</v>
      </c>
      <c r="I43" s="58">
        <f t="shared" si="19"/>
        <v>3</v>
      </c>
      <c r="J43" s="58">
        <f t="shared" si="19"/>
        <v>2</v>
      </c>
      <c r="K43" s="14">
        <f t="shared" si="19"/>
        <v>2</v>
      </c>
      <c r="L43" s="98">
        <f t="shared" si="13"/>
        <v>0.51126068492676302</v>
      </c>
      <c r="M43" s="115"/>
    </row>
    <row r="44" spans="1:13" x14ac:dyDescent="0.2">
      <c r="A44" s="6" t="s">
        <v>48</v>
      </c>
      <c r="B44" s="175" t="s">
        <v>397</v>
      </c>
      <c r="C44" s="42" t="s">
        <v>65</v>
      </c>
      <c r="D44" s="44">
        <f t="shared" si="18"/>
        <v>4.0000000000000003E-7</v>
      </c>
      <c r="E44" s="32" t="str">
        <f t="shared" si="18"/>
        <v>Cole, G. &amp; Sherrington, C. Study to Quantify Pellet Emissions in the UK. (2016).</v>
      </c>
      <c r="F44" s="99" t="s">
        <v>78</v>
      </c>
      <c r="G44" s="57">
        <f t="shared" si="19"/>
        <v>2</v>
      </c>
      <c r="H44" s="57">
        <f t="shared" si="19"/>
        <v>2</v>
      </c>
      <c r="I44" s="57">
        <f t="shared" si="19"/>
        <v>3</v>
      </c>
      <c r="J44" s="57">
        <f t="shared" si="19"/>
        <v>2</v>
      </c>
      <c r="K44" s="11">
        <f t="shared" si="19"/>
        <v>2</v>
      </c>
      <c r="L44" s="63">
        <f t="shared" si="13"/>
        <v>0.51126068492676302</v>
      </c>
      <c r="M44" s="114"/>
    </row>
    <row r="45" spans="1:13" x14ac:dyDescent="0.2">
      <c r="A45" s="6" t="s">
        <v>48</v>
      </c>
      <c r="B45" s="178" t="s">
        <v>328</v>
      </c>
      <c r="C45" s="42" t="s">
        <v>65</v>
      </c>
      <c r="D45" s="44">
        <f t="shared" si="18"/>
        <v>9.9599999999999995E-6</v>
      </c>
      <c r="E45" s="32" t="str">
        <f t="shared" si="18"/>
        <v>Cole, G. &amp; Sherrington, C. Study to Quantify Pellet Emissions in the UK. (2016).</v>
      </c>
      <c r="F45" s="99" t="s">
        <v>78</v>
      </c>
      <c r="G45" s="57">
        <f t="shared" si="19"/>
        <v>2</v>
      </c>
      <c r="H45" s="57">
        <f t="shared" si="19"/>
        <v>2</v>
      </c>
      <c r="I45" s="57">
        <f t="shared" si="19"/>
        <v>3</v>
      </c>
      <c r="J45" s="57">
        <f t="shared" si="19"/>
        <v>3</v>
      </c>
      <c r="K45" s="11">
        <f t="shared" si="19"/>
        <v>2</v>
      </c>
      <c r="L45" s="63">
        <f t="shared" si="13"/>
        <v>0.60108474454521421</v>
      </c>
      <c r="M45" s="114"/>
    </row>
    <row r="46" spans="1:13" s="73" customFormat="1" x14ac:dyDescent="0.2">
      <c r="A46" s="7" t="s">
        <v>48</v>
      </c>
      <c r="B46" s="183" t="s">
        <v>328</v>
      </c>
      <c r="C46" s="86" t="s">
        <v>65</v>
      </c>
      <c r="D46" s="43">
        <f t="shared" si="18"/>
        <v>9.9599999999999995E-5</v>
      </c>
      <c r="E46" s="33" t="str">
        <f t="shared" si="18"/>
        <v>Cole, G. &amp; Sherrington, C. Study to Quantify Pellet Emissions in the UK. (2016).</v>
      </c>
      <c r="F46" s="102" t="s">
        <v>78</v>
      </c>
      <c r="G46" s="59">
        <f t="shared" si="19"/>
        <v>2</v>
      </c>
      <c r="H46" s="59">
        <f t="shared" si="19"/>
        <v>2</v>
      </c>
      <c r="I46" s="59">
        <f t="shared" si="19"/>
        <v>3</v>
      </c>
      <c r="J46" s="59">
        <f t="shared" si="19"/>
        <v>3</v>
      </c>
      <c r="K46" s="15">
        <f t="shared" si="19"/>
        <v>2</v>
      </c>
      <c r="L46" s="37">
        <f t="shared" si="13"/>
        <v>0.60108474454521421</v>
      </c>
      <c r="M46" s="97"/>
    </row>
    <row r="47" spans="1:13" x14ac:dyDescent="0.2">
      <c r="A47" s="6" t="s">
        <v>49</v>
      </c>
      <c r="B47" s="175" t="s">
        <v>397</v>
      </c>
      <c r="C47" s="42" t="s">
        <v>65</v>
      </c>
      <c r="D47" s="44">
        <f t="shared" ref="D47:E50" si="20">D2</f>
        <v>4.0000000000000001E-8</v>
      </c>
      <c r="E47" s="32" t="str">
        <f t="shared" si="20"/>
        <v>Cole, G. &amp; Sherrington, C. Study to Quantify Pellet Emissions in the UK. (2016).</v>
      </c>
      <c r="F47" s="99" t="s">
        <v>78</v>
      </c>
      <c r="G47" s="57">
        <f t="shared" ref="G47:K50" si="21">G2</f>
        <v>2</v>
      </c>
      <c r="H47" s="57">
        <f t="shared" si="21"/>
        <v>2</v>
      </c>
      <c r="I47" s="57">
        <f t="shared" si="21"/>
        <v>3</v>
      </c>
      <c r="J47" s="57">
        <f t="shared" si="21"/>
        <v>2</v>
      </c>
      <c r="K47" s="11">
        <f t="shared" si="21"/>
        <v>2</v>
      </c>
      <c r="L47" s="63">
        <f t="shared" si="13"/>
        <v>0.51126068492676302</v>
      </c>
      <c r="M47" s="114"/>
    </row>
    <row r="48" spans="1:13" x14ac:dyDescent="0.2">
      <c r="A48" s="6" t="s">
        <v>49</v>
      </c>
      <c r="B48" s="175" t="s">
        <v>397</v>
      </c>
      <c r="C48" s="42" t="s">
        <v>65</v>
      </c>
      <c r="D48" s="44">
        <f t="shared" si="20"/>
        <v>4.0000000000000003E-7</v>
      </c>
      <c r="E48" s="32" t="str">
        <f t="shared" si="20"/>
        <v>Cole, G. &amp; Sherrington, C. Study to Quantify Pellet Emissions in the UK. (2016).</v>
      </c>
      <c r="F48" s="99" t="s">
        <v>78</v>
      </c>
      <c r="G48" s="57">
        <f t="shared" si="21"/>
        <v>2</v>
      </c>
      <c r="H48" s="57">
        <f t="shared" si="21"/>
        <v>2</v>
      </c>
      <c r="I48" s="57">
        <f t="shared" si="21"/>
        <v>3</v>
      </c>
      <c r="J48" s="57">
        <f t="shared" si="21"/>
        <v>2</v>
      </c>
      <c r="K48" s="11">
        <f t="shared" si="21"/>
        <v>2</v>
      </c>
      <c r="L48" s="63">
        <f t="shared" si="13"/>
        <v>0.51126068492676302</v>
      </c>
      <c r="M48" s="114"/>
    </row>
    <row r="49" spans="1:13" x14ac:dyDescent="0.2">
      <c r="A49" s="6" t="s">
        <v>49</v>
      </c>
      <c r="B49" s="178" t="s">
        <v>328</v>
      </c>
      <c r="C49" s="42" t="s">
        <v>65</v>
      </c>
      <c r="D49" s="44">
        <f t="shared" si="20"/>
        <v>9.9599999999999995E-6</v>
      </c>
      <c r="E49" s="32" t="str">
        <f t="shared" si="20"/>
        <v>Cole, G. &amp; Sherrington, C. Study to Quantify Pellet Emissions in the UK. (2016).</v>
      </c>
      <c r="F49" s="99" t="s">
        <v>78</v>
      </c>
      <c r="G49" s="57">
        <f t="shared" si="21"/>
        <v>2</v>
      </c>
      <c r="H49" s="57">
        <f t="shared" si="21"/>
        <v>2</v>
      </c>
      <c r="I49" s="57">
        <f t="shared" si="21"/>
        <v>3</v>
      </c>
      <c r="J49" s="57">
        <f t="shared" si="21"/>
        <v>3</v>
      </c>
      <c r="K49" s="11">
        <f t="shared" si="21"/>
        <v>2</v>
      </c>
      <c r="L49" s="63">
        <f t="shared" si="13"/>
        <v>0.60108474454521421</v>
      </c>
      <c r="M49" s="114"/>
    </row>
    <row r="50" spans="1:13" x14ac:dyDescent="0.2">
      <c r="A50" s="6" t="s">
        <v>49</v>
      </c>
      <c r="B50" s="178" t="s">
        <v>328</v>
      </c>
      <c r="C50" s="42" t="s">
        <v>65</v>
      </c>
      <c r="D50" s="44">
        <f t="shared" si="20"/>
        <v>9.9599999999999995E-5</v>
      </c>
      <c r="E50" s="32" t="str">
        <f t="shared" si="20"/>
        <v>Cole, G. &amp; Sherrington, C. Study to Quantify Pellet Emissions in the UK. (2016).</v>
      </c>
      <c r="F50" s="99" t="s">
        <v>78</v>
      </c>
      <c r="G50" s="57">
        <f t="shared" si="21"/>
        <v>2</v>
      </c>
      <c r="H50" s="57">
        <f t="shared" si="21"/>
        <v>2</v>
      </c>
      <c r="I50" s="57">
        <f t="shared" si="21"/>
        <v>3</v>
      </c>
      <c r="J50" s="57">
        <f t="shared" si="21"/>
        <v>3</v>
      </c>
      <c r="K50" s="11">
        <f t="shared" si="21"/>
        <v>2</v>
      </c>
      <c r="L50" s="63">
        <f t="shared" si="13"/>
        <v>0.60108474454521421</v>
      </c>
      <c r="M50" s="114"/>
    </row>
    <row r="51" spans="1:13" s="72" customFormat="1" x14ac:dyDescent="0.2">
      <c r="A51" s="5" t="s">
        <v>52</v>
      </c>
      <c r="B51" s="191" t="s">
        <v>397</v>
      </c>
      <c r="C51" s="38" t="s">
        <v>65</v>
      </c>
      <c r="D51" s="45">
        <f t="shared" ref="D51:E54" si="22">D2</f>
        <v>4.0000000000000001E-8</v>
      </c>
      <c r="E51" s="46" t="str">
        <f t="shared" si="22"/>
        <v>Cole, G. &amp; Sherrington, C. Study to Quantify Pellet Emissions in the UK. (2016).</v>
      </c>
      <c r="F51" s="101" t="s">
        <v>78</v>
      </c>
      <c r="G51" s="58">
        <f t="shared" ref="G51:K54" si="23">G2</f>
        <v>2</v>
      </c>
      <c r="H51" s="58">
        <f t="shared" si="23"/>
        <v>2</v>
      </c>
      <c r="I51" s="58">
        <f t="shared" si="23"/>
        <v>3</v>
      </c>
      <c r="J51" s="58">
        <f t="shared" si="23"/>
        <v>2</v>
      </c>
      <c r="K51" s="14">
        <f t="shared" si="23"/>
        <v>2</v>
      </c>
      <c r="L51" s="98">
        <f t="shared" si="13"/>
        <v>0.51126068492676302</v>
      </c>
      <c r="M51" s="115"/>
    </row>
    <row r="52" spans="1:13" x14ac:dyDescent="0.2">
      <c r="A52" s="6" t="s">
        <v>52</v>
      </c>
      <c r="B52" s="175" t="s">
        <v>397</v>
      </c>
      <c r="C52" s="42" t="s">
        <v>65</v>
      </c>
      <c r="D52" s="44">
        <f t="shared" si="22"/>
        <v>4.0000000000000003E-7</v>
      </c>
      <c r="E52" s="32" t="str">
        <f t="shared" si="22"/>
        <v>Cole, G. &amp; Sherrington, C. Study to Quantify Pellet Emissions in the UK. (2016).</v>
      </c>
      <c r="F52" s="99" t="s">
        <v>78</v>
      </c>
      <c r="G52" s="57">
        <f t="shared" si="23"/>
        <v>2</v>
      </c>
      <c r="H52" s="57">
        <f t="shared" si="23"/>
        <v>2</v>
      </c>
      <c r="I52" s="57">
        <f t="shared" si="23"/>
        <v>3</v>
      </c>
      <c r="J52" s="57">
        <f t="shared" si="23"/>
        <v>2</v>
      </c>
      <c r="K52" s="11">
        <f t="shared" si="23"/>
        <v>2</v>
      </c>
      <c r="L52" s="63">
        <f t="shared" si="13"/>
        <v>0.51126068492676302</v>
      </c>
      <c r="M52" s="114"/>
    </row>
    <row r="53" spans="1:13" x14ac:dyDescent="0.2">
      <c r="A53" s="6" t="s">
        <v>52</v>
      </c>
      <c r="B53" s="178" t="s">
        <v>328</v>
      </c>
      <c r="C53" s="42" t="s">
        <v>65</v>
      </c>
      <c r="D53" s="44">
        <f t="shared" si="22"/>
        <v>9.9599999999999995E-6</v>
      </c>
      <c r="E53" s="32" t="str">
        <f t="shared" si="22"/>
        <v>Cole, G. &amp; Sherrington, C. Study to Quantify Pellet Emissions in the UK. (2016).</v>
      </c>
      <c r="F53" s="99" t="s">
        <v>78</v>
      </c>
      <c r="G53" s="57">
        <f t="shared" si="23"/>
        <v>2</v>
      </c>
      <c r="H53" s="57">
        <f t="shared" si="23"/>
        <v>2</v>
      </c>
      <c r="I53" s="57">
        <f t="shared" si="23"/>
        <v>3</v>
      </c>
      <c r="J53" s="57">
        <f t="shared" si="23"/>
        <v>3</v>
      </c>
      <c r="K53" s="11">
        <f t="shared" si="23"/>
        <v>2</v>
      </c>
      <c r="L53" s="63">
        <f t="shared" si="13"/>
        <v>0.60108474454521421</v>
      </c>
      <c r="M53" s="114"/>
    </row>
    <row r="54" spans="1:13" s="73" customFormat="1" x14ac:dyDescent="0.2">
      <c r="A54" s="7" t="s">
        <v>52</v>
      </c>
      <c r="B54" s="183" t="s">
        <v>328</v>
      </c>
      <c r="C54" s="86" t="s">
        <v>65</v>
      </c>
      <c r="D54" s="43">
        <f t="shared" si="22"/>
        <v>9.9599999999999995E-5</v>
      </c>
      <c r="E54" s="33" t="str">
        <f t="shared" si="22"/>
        <v>Cole, G. &amp; Sherrington, C. Study to Quantify Pellet Emissions in the UK. (2016).</v>
      </c>
      <c r="F54" s="102" t="s">
        <v>78</v>
      </c>
      <c r="G54" s="59">
        <f t="shared" si="23"/>
        <v>2</v>
      </c>
      <c r="H54" s="59">
        <f t="shared" si="23"/>
        <v>2</v>
      </c>
      <c r="I54" s="59">
        <f t="shared" si="23"/>
        <v>3</v>
      </c>
      <c r="J54" s="59">
        <f t="shared" si="23"/>
        <v>3</v>
      </c>
      <c r="K54" s="15">
        <f t="shared" si="23"/>
        <v>2</v>
      </c>
      <c r="L54" s="37">
        <f t="shared" si="13"/>
        <v>0.60108474454521421</v>
      </c>
      <c r="M54" s="97"/>
    </row>
    <row r="55" spans="1:13" s="72" customFormat="1" x14ac:dyDescent="0.2">
      <c r="A55" s="5" t="s">
        <v>50</v>
      </c>
      <c r="B55" s="191" t="s">
        <v>301</v>
      </c>
      <c r="C55" s="38" t="s">
        <v>65</v>
      </c>
      <c r="D55" s="45">
        <v>1E-3</v>
      </c>
      <c r="E55" s="46" t="s">
        <v>71</v>
      </c>
      <c r="F55" s="101" t="s">
        <v>78</v>
      </c>
      <c r="G55" s="58">
        <v>3</v>
      </c>
      <c r="H55" s="58">
        <v>3</v>
      </c>
      <c r="I55" s="58">
        <v>3</v>
      </c>
      <c r="J55" s="58">
        <v>3</v>
      </c>
      <c r="K55" s="14">
        <v>3</v>
      </c>
      <c r="L55" s="98">
        <f t="shared" ref="L55:L62" si="24">IF( OR( ISBLANK(G55),ISBLANK(H55), ISBLANK(I55), ISBLANK(J55), ISBLANK(K55) ), "", 1.5*SQRT(   EXP(2.21*(G55-1)) + EXP(2.21*(H55-1)) + EXP(2.21*(I55-1)) + EXP(2.21*(J55-1)) + EXP(2.21*K55)   )/100*2.45 )</f>
        <v>1.2132328390150593</v>
      </c>
      <c r="M55" s="115"/>
    </row>
    <row r="56" spans="1:13" x14ac:dyDescent="0.2">
      <c r="A56" s="6" t="s">
        <v>50</v>
      </c>
      <c r="B56" s="178" t="s">
        <v>328</v>
      </c>
      <c r="C56" s="42" t="s">
        <v>65</v>
      </c>
      <c r="D56" s="44">
        <v>1E-3</v>
      </c>
      <c r="E56" s="32" t="s">
        <v>71</v>
      </c>
      <c r="F56" s="99" t="s">
        <v>78</v>
      </c>
      <c r="G56" s="57">
        <v>3</v>
      </c>
      <c r="H56" s="57">
        <v>3</v>
      </c>
      <c r="I56" s="57">
        <v>3</v>
      </c>
      <c r="J56" s="57">
        <v>3</v>
      </c>
      <c r="K56" s="11">
        <v>3</v>
      </c>
      <c r="L56" s="63">
        <f t="shared" si="24"/>
        <v>1.2132328390150593</v>
      </c>
      <c r="M56" s="114"/>
    </row>
    <row r="57" spans="1:13" s="73" customFormat="1" x14ac:dyDescent="0.2">
      <c r="A57" s="7" t="s">
        <v>50</v>
      </c>
      <c r="B57" s="183" t="s">
        <v>321</v>
      </c>
      <c r="C57" s="86" t="s">
        <v>65</v>
      </c>
      <c r="D57" s="43">
        <v>1E-3</v>
      </c>
      <c r="E57" s="33" t="s">
        <v>71</v>
      </c>
      <c r="F57" s="102" t="s">
        <v>78</v>
      </c>
      <c r="G57" s="59">
        <v>3</v>
      </c>
      <c r="H57" s="59">
        <v>3</v>
      </c>
      <c r="I57" s="59">
        <v>3</v>
      </c>
      <c r="J57" s="59">
        <v>3</v>
      </c>
      <c r="K57" s="15">
        <v>3</v>
      </c>
      <c r="L57" s="37">
        <f t="shared" si="24"/>
        <v>1.2132328390150593</v>
      </c>
      <c r="M57" s="97"/>
    </row>
    <row r="58" spans="1:13" s="72" customFormat="1" x14ac:dyDescent="0.2">
      <c r="A58" s="5" t="s">
        <v>51</v>
      </c>
      <c r="B58" s="191" t="s">
        <v>301</v>
      </c>
      <c r="C58" s="38" t="s">
        <v>65</v>
      </c>
      <c r="D58" s="45">
        <v>1E-3</v>
      </c>
      <c r="E58" s="46" t="s">
        <v>71</v>
      </c>
      <c r="F58" s="101" t="s">
        <v>78</v>
      </c>
      <c r="G58" s="58">
        <v>3</v>
      </c>
      <c r="H58" s="58">
        <v>3</v>
      </c>
      <c r="I58" s="58">
        <v>3</v>
      </c>
      <c r="J58" s="58">
        <v>3</v>
      </c>
      <c r="K58" s="14">
        <v>3</v>
      </c>
      <c r="L58" s="98">
        <f t="shared" si="24"/>
        <v>1.2132328390150593</v>
      </c>
      <c r="M58" s="115"/>
    </row>
    <row r="59" spans="1:13" x14ac:dyDescent="0.2">
      <c r="A59" s="6" t="s">
        <v>51</v>
      </c>
      <c r="B59" s="178" t="s">
        <v>328</v>
      </c>
      <c r="C59" s="42" t="s">
        <v>65</v>
      </c>
      <c r="D59" s="44">
        <v>1E-3</v>
      </c>
      <c r="E59" s="32" t="s">
        <v>71</v>
      </c>
      <c r="F59" s="99" t="s">
        <v>78</v>
      </c>
      <c r="G59" s="57">
        <v>3</v>
      </c>
      <c r="H59" s="57">
        <v>3</v>
      </c>
      <c r="I59" s="57">
        <v>3</v>
      </c>
      <c r="J59" s="57">
        <v>3</v>
      </c>
      <c r="K59" s="11">
        <v>3</v>
      </c>
      <c r="L59" s="63">
        <f t="shared" si="24"/>
        <v>1.2132328390150593</v>
      </c>
      <c r="M59" s="114"/>
    </row>
    <row r="60" spans="1:13" s="73" customFormat="1" x14ac:dyDescent="0.2">
      <c r="A60" s="7" t="s">
        <v>51</v>
      </c>
      <c r="B60" s="183" t="s">
        <v>321</v>
      </c>
      <c r="C60" s="86" t="s">
        <v>65</v>
      </c>
      <c r="D60" s="43">
        <v>1E-3</v>
      </c>
      <c r="E60" s="33" t="s">
        <v>71</v>
      </c>
      <c r="F60" s="102" t="s">
        <v>78</v>
      </c>
      <c r="G60" s="59">
        <v>3</v>
      </c>
      <c r="H60" s="59">
        <v>3</v>
      </c>
      <c r="I60" s="59">
        <v>3</v>
      </c>
      <c r="J60" s="59">
        <v>3</v>
      </c>
      <c r="K60" s="15">
        <v>3</v>
      </c>
      <c r="L60" s="37">
        <f t="shared" si="24"/>
        <v>1.2132328390150593</v>
      </c>
      <c r="M60" s="97"/>
    </row>
    <row r="61" spans="1:13" s="72" customFormat="1" x14ac:dyDescent="0.2">
      <c r="A61" s="49" t="s">
        <v>13</v>
      </c>
      <c r="B61" s="204" t="s">
        <v>420</v>
      </c>
      <c r="C61" s="157" t="s">
        <v>809</v>
      </c>
      <c r="D61" s="335">
        <v>0</v>
      </c>
      <c r="E61" s="46" t="s">
        <v>822</v>
      </c>
      <c r="F61" s="101" t="s">
        <v>78</v>
      </c>
      <c r="G61" s="74"/>
      <c r="H61" s="74"/>
      <c r="I61" s="74"/>
      <c r="J61" s="74"/>
      <c r="K61" s="85"/>
      <c r="L61" s="60" t="str">
        <f t="shared" si="24"/>
        <v/>
      </c>
      <c r="M61" s="82"/>
    </row>
    <row r="62" spans="1:13" x14ac:dyDescent="0.2">
      <c r="A62" s="50" t="s">
        <v>13</v>
      </c>
      <c r="B62" s="203" t="s">
        <v>420</v>
      </c>
      <c r="C62" s="151" t="s">
        <v>810</v>
      </c>
      <c r="D62" s="336">
        <v>0</v>
      </c>
      <c r="E62" s="46" t="s">
        <v>822</v>
      </c>
      <c r="F62" s="99" t="s">
        <v>78</v>
      </c>
      <c r="G62" s="74"/>
      <c r="H62" s="74"/>
      <c r="I62" s="74"/>
      <c r="J62" s="74"/>
      <c r="K62" s="85"/>
      <c r="L62" s="60" t="str">
        <f t="shared" si="24"/>
        <v/>
      </c>
    </row>
    <row r="63" spans="1:13" x14ac:dyDescent="0.2">
      <c r="A63" s="50" t="s">
        <v>13</v>
      </c>
      <c r="B63" s="203" t="s">
        <v>420</v>
      </c>
      <c r="C63" s="148" t="s">
        <v>811</v>
      </c>
      <c r="D63" s="336">
        <v>0.64300000000000002</v>
      </c>
      <c r="E63" s="46" t="s">
        <v>822</v>
      </c>
      <c r="F63" s="99" t="s">
        <v>78</v>
      </c>
      <c r="G63" s="57">
        <v>2</v>
      </c>
      <c r="H63" s="57">
        <v>2</v>
      </c>
      <c r="I63" s="57">
        <v>1</v>
      </c>
      <c r="J63" s="57">
        <v>1</v>
      </c>
      <c r="K63" s="11">
        <v>2</v>
      </c>
      <c r="L63" s="63">
        <f t="shared" si="13"/>
        <v>0.37356464144298934</v>
      </c>
    </row>
    <row r="64" spans="1:13" x14ac:dyDescent="0.2">
      <c r="A64" s="50" t="s">
        <v>13</v>
      </c>
      <c r="B64" s="203" t="s">
        <v>420</v>
      </c>
      <c r="C64" s="146" t="s">
        <v>812</v>
      </c>
      <c r="D64" s="336">
        <v>0</v>
      </c>
      <c r="E64" s="46" t="s">
        <v>822</v>
      </c>
      <c r="F64" s="99" t="s">
        <v>78</v>
      </c>
      <c r="G64" s="74"/>
      <c r="H64" s="74"/>
      <c r="I64" s="74"/>
      <c r="J64" s="74"/>
      <c r="K64" s="85"/>
      <c r="L64" s="60" t="str">
        <f t="shared" si="13"/>
        <v/>
      </c>
    </row>
    <row r="65" spans="1:13" x14ac:dyDescent="0.2">
      <c r="A65" s="50" t="s">
        <v>13</v>
      </c>
      <c r="B65" s="203" t="s">
        <v>420</v>
      </c>
      <c r="C65" s="334" t="s">
        <v>813</v>
      </c>
      <c r="D65" s="336">
        <v>0</v>
      </c>
      <c r="E65" s="46" t="s">
        <v>822</v>
      </c>
      <c r="F65" s="99" t="s">
        <v>78</v>
      </c>
      <c r="G65" s="74"/>
      <c r="H65" s="74"/>
      <c r="I65" s="74"/>
      <c r="J65" s="74"/>
      <c r="K65" s="85"/>
      <c r="L65" s="60" t="str">
        <f t="shared" si="13"/>
        <v/>
      </c>
    </row>
    <row r="66" spans="1:13" x14ac:dyDescent="0.2">
      <c r="A66" s="50" t="s">
        <v>13</v>
      </c>
      <c r="B66" s="181" t="s">
        <v>409</v>
      </c>
      <c r="C66" s="42" t="s">
        <v>65</v>
      </c>
      <c r="D66" s="44">
        <f>0.027/100</f>
        <v>2.7E-4</v>
      </c>
      <c r="E66" s="32" t="s">
        <v>402</v>
      </c>
      <c r="F66" s="99" t="s">
        <v>78</v>
      </c>
      <c r="G66" s="57">
        <v>1</v>
      </c>
      <c r="H66" s="57">
        <v>1</v>
      </c>
      <c r="I66" s="57">
        <v>3</v>
      </c>
      <c r="J66" s="57">
        <v>3</v>
      </c>
      <c r="K66" s="11">
        <v>3</v>
      </c>
      <c r="L66" s="63">
        <f t="shared" si="13"/>
        <v>1.1181151966036349</v>
      </c>
    </row>
    <row r="67" spans="1:13" x14ac:dyDescent="0.2">
      <c r="A67" s="50" t="s">
        <v>13</v>
      </c>
      <c r="B67" s="181" t="s">
        <v>745</v>
      </c>
      <c r="C67" s="42" t="s">
        <v>65</v>
      </c>
      <c r="D67" s="282">
        <v>0</v>
      </c>
      <c r="E67" s="32" t="s">
        <v>402</v>
      </c>
      <c r="F67" s="99" t="s">
        <v>78</v>
      </c>
      <c r="G67" s="74"/>
      <c r="H67" s="74"/>
      <c r="I67" s="74"/>
      <c r="J67" s="74"/>
      <c r="K67" s="85"/>
      <c r="L67" s="60" t="str">
        <f t="shared" si="13"/>
        <v/>
      </c>
      <c r="M67" s="80" t="s">
        <v>426</v>
      </c>
    </row>
    <row r="68" spans="1:13" x14ac:dyDescent="0.2">
      <c r="A68" s="50" t="s">
        <v>13</v>
      </c>
      <c r="B68" s="181" t="s">
        <v>746</v>
      </c>
      <c r="C68" s="42" t="s">
        <v>65</v>
      </c>
      <c r="D68" s="282">
        <v>0</v>
      </c>
      <c r="E68" s="32" t="s">
        <v>402</v>
      </c>
      <c r="F68" s="99" t="s">
        <v>78</v>
      </c>
      <c r="G68" s="74"/>
      <c r="H68" s="74"/>
      <c r="I68" s="74"/>
      <c r="J68" s="74"/>
      <c r="K68" s="85"/>
      <c r="L68" s="60" t="str">
        <f t="shared" si="13"/>
        <v/>
      </c>
      <c r="M68" s="80" t="s">
        <v>426</v>
      </c>
    </row>
    <row r="69" spans="1:13" s="72" customFormat="1" x14ac:dyDescent="0.2">
      <c r="A69" s="49" t="s">
        <v>14</v>
      </c>
      <c r="B69" s="204" t="s">
        <v>420</v>
      </c>
      <c r="C69" s="157" t="s">
        <v>809</v>
      </c>
      <c r="D69" s="335">
        <v>0</v>
      </c>
      <c r="E69" s="46" t="s">
        <v>822</v>
      </c>
      <c r="F69" s="101" t="s">
        <v>78</v>
      </c>
      <c r="G69" s="74"/>
      <c r="H69" s="74"/>
      <c r="I69" s="74"/>
      <c r="J69" s="74"/>
      <c r="K69" s="85"/>
      <c r="L69" s="60" t="str">
        <f t="shared" ref="L69:L70" si="25">IF( OR( ISBLANK(G69),ISBLANK(H69), ISBLANK(I69), ISBLANK(J69), ISBLANK(K69) ), "", 1.5*SQRT(   EXP(2.21*(G69-1)) + EXP(2.21*(H69-1)) + EXP(2.21*(I69-1)) + EXP(2.21*(J69-1)) + EXP(2.21*K69)   )/100*2.45 )</f>
        <v/>
      </c>
      <c r="M69" s="82"/>
    </row>
    <row r="70" spans="1:13" x14ac:dyDescent="0.2">
      <c r="A70" s="50" t="s">
        <v>14</v>
      </c>
      <c r="B70" s="203" t="s">
        <v>420</v>
      </c>
      <c r="C70" s="151" t="s">
        <v>810</v>
      </c>
      <c r="D70" s="336">
        <v>0</v>
      </c>
      <c r="E70" s="46" t="s">
        <v>822</v>
      </c>
      <c r="F70" s="99" t="s">
        <v>78</v>
      </c>
      <c r="G70" s="74"/>
      <c r="H70" s="74"/>
      <c r="I70" s="74"/>
      <c r="J70" s="74"/>
      <c r="K70" s="85"/>
      <c r="L70" s="60" t="str">
        <f t="shared" si="25"/>
        <v/>
      </c>
    </row>
    <row r="71" spans="1:13" x14ac:dyDescent="0.2">
      <c r="A71" s="50" t="s">
        <v>14</v>
      </c>
      <c r="B71" s="203" t="s">
        <v>420</v>
      </c>
      <c r="C71" s="148" t="s">
        <v>811</v>
      </c>
      <c r="D71" s="336">
        <v>0.28299999999999997</v>
      </c>
      <c r="E71" s="46" t="s">
        <v>822</v>
      </c>
      <c r="F71" s="99" t="s">
        <v>78</v>
      </c>
      <c r="G71" s="57">
        <v>2</v>
      </c>
      <c r="H71" s="57">
        <v>2</v>
      </c>
      <c r="I71" s="57">
        <v>1</v>
      </c>
      <c r="J71" s="57">
        <v>1</v>
      </c>
      <c r="K71" s="11">
        <v>2</v>
      </c>
      <c r="L71" s="63">
        <f t="shared" ref="L71:L120" si="26">IF( OR( ISBLANK(G71),ISBLANK(H71), ISBLANK(I71), ISBLANK(J71), ISBLANK(K71) ), "", 1.5*SQRT(   EXP(2.21*(G71-1)) + EXP(2.21*(H71-1)) + EXP(2.21*(I71-1)) + EXP(2.21*(J71-1)) + EXP(2.21*K71)   )/100*2.45 )</f>
        <v>0.37356464144298934</v>
      </c>
    </row>
    <row r="72" spans="1:13" x14ac:dyDescent="0.2">
      <c r="A72" s="50" t="s">
        <v>14</v>
      </c>
      <c r="B72" s="203" t="s">
        <v>420</v>
      </c>
      <c r="C72" s="146" t="s">
        <v>812</v>
      </c>
      <c r="D72" s="336">
        <v>0</v>
      </c>
      <c r="E72" s="46" t="s">
        <v>822</v>
      </c>
      <c r="F72" s="99" t="s">
        <v>78</v>
      </c>
      <c r="G72" s="74"/>
      <c r="H72" s="74"/>
      <c r="I72" s="74"/>
      <c r="J72" s="74"/>
      <c r="K72" s="85"/>
      <c r="L72" s="60" t="str">
        <f t="shared" si="26"/>
        <v/>
      </c>
    </row>
    <row r="73" spans="1:13" x14ac:dyDescent="0.2">
      <c r="A73" s="50" t="s">
        <v>14</v>
      </c>
      <c r="B73" s="203" t="s">
        <v>420</v>
      </c>
      <c r="C73" s="334" t="s">
        <v>813</v>
      </c>
      <c r="D73" s="336">
        <v>0</v>
      </c>
      <c r="E73" s="46" t="s">
        <v>822</v>
      </c>
      <c r="F73" s="99" t="s">
        <v>78</v>
      </c>
      <c r="G73" s="74"/>
      <c r="H73" s="74"/>
      <c r="I73" s="74"/>
      <c r="J73" s="74"/>
      <c r="K73" s="85"/>
      <c r="L73" s="60" t="str">
        <f t="shared" si="26"/>
        <v/>
      </c>
    </row>
    <row r="74" spans="1:13" x14ac:dyDescent="0.2">
      <c r="A74" s="50" t="s">
        <v>14</v>
      </c>
      <c r="B74" s="181" t="s">
        <v>409</v>
      </c>
      <c r="C74" s="42" t="s">
        <v>65</v>
      </c>
      <c r="D74" s="44">
        <f>0.027/100</f>
        <v>2.7E-4</v>
      </c>
      <c r="E74" s="32" t="s">
        <v>402</v>
      </c>
      <c r="F74" s="99" t="s">
        <v>78</v>
      </c>
      <c r="G74" s="57">
        <v>1</v>
      </c>
      <c r="H74" s="57">
        <v>1</v>
      </c>
      <c r="I74" s="57">
        <v>3</v>
      </c>
      <c r="J74" s="57">
        <v>3</v>
      </c>
      <c r="K74" s="11">
        <v>3</v>
      </c>
      <c r="L74" s="63">
        <f t="shared" si="26"/>
        <v>1.1181151966036349</v>
      </c>
    </row>
    <row r="75" spans="1:13" x14ac:dyDescent="0.2">
      <c r="A75" s="50" t="s">
        <v>14</v>
      </c>
      <c r="B75" s="181" t="s">
        <v>745</v>
      </c>
      <c r="C75" s="42" t="s">
        <v>65</v>
      </c>
      <c r="D75" s="282">
        <v>0</v>
      </c>
      <c r="E75" s="32" t="s">
        <v>402</v>
      </c>
      <c r="F75" s="99" t="s">
        <v>78</v>
      </c>
      <c r="G75" s="74"/>
      <c r="H75" s="74"/>
      <c r="I75" s="74"/>
      <c r="J75" s="74"/>
      <c r="K75" s="85"/>
      <c r="L75" s="60" t="str">
        <f t="shared" si="26"/>
        <v/>
      </c>
      <c r="M75" s="80" t="s">
        <v>426</v>
      </c>
    </row>
    <row r="76" spans="1:13" x14ac:dyDescent="0.2">
      <c r="A76" s="50" t="s">
        <v>14</v>
      </c>
      <c r="B76" s="181" t="s">
        <v>746</v>
      </c>
      <c r="C76" s="42" t="s">
        <v>65</v>
      </c>
      <c r="D76" s="282">
        <v>0</v>
      </c>
      <c r="E76" s="32" t="s">
        <v>402</v>
      </c>
      <c r="F76" s="99" t="s">
        <v>78</v>
      </c>
      <c r="G76" s="74"/>
      <c r="H76" s="74"/>
      <c r="I76" s="74"/>
      <c r="J76" s="74"/>
      <c r="K76" s="85"/>
      <c r="L76" s="60" t="str">
        <f t="shared" si="26"/>
        <v/>
      </c>
      <c r="M76" s="80" t="s">
        <v>426</v>
      </c>
    </row>
    <row r="77" spans="1:13" s="72" customFormat="1" x14ac:dyDescent="0.2">
      <c r="A77" s="49" t="s">
        <v>15</v>
      </c>
      <c r="B77" s="204" t="s">
        <v>420</v>
      </c>
      <c r="C77" s="157" t="s">
        <v>809</v>
      </c>
      <c r="D77" s="335">
        <v>0</v>
      </c>
      <c r="E77" s="46" t="s">
        <v>822</v>
      </c>
      <c r="F77" s="101" t="s">
        <v>78</v>
      </c>
      <c r="G77" s="74"/>
      <c r="H77" s="74"/>
      <c r="I77" s="74"/>
      <c r="J77" s="74"/>
      <c r="K77" s="85"/>
      <c r="L77" s="60" t="str">
        <f t="shared" si="26"/>
        <v/>
      </c>
      <c r="M77" s="82"/>
    </row>
    <row r="78" spans="1:13" x14ac:dyDescent="0.2">
      <c r="A78" s="50" t="s">
        <v>15</v>
      </c>
      <c r="B78" s="203" t="s">
        <v>420</v>
      </c>
      <c r="C78" s="151" t="s">
        <v>810</v>
      </c>
      <c r="D78" s="336">
        <v>0</v>
      </c>
      <c r="E78" s="46" t="s">
        <v>822</v>
      </c>
      <c r="F78" s="99" t="s">
        <v>78</v>
      </c>
      <c r="G78" s="74"/>
      <c r="H78" s="74"/>
      <c r="I78" s="74"/>
      <c r="J78" s="74"/>
      <c r="K78" s="85"/>
      <c r="L78" s="60" t="str">
        <f t="shared" si="26"/>
        <v/>
      </c>
    </row>
    <row r="79" spans="1:13" x14ac:dyDescent="0.2">
      <c r="A79" s="50" t="s">
        <v>15</v>
      </c>
      <c r="B79" s="203" t="s">
        <v>420</v>
      </c>
      <c r="C79" s="148" t="s">
        <v>811</v>
      </c>
      <c r="D79" s="336">
        <v>0</v>
      </c>
      <c r="E79" s="46" t="s">
        <v>822</v>
      </c>
      <c r="F79" s="99" t="s">
        <v>78</v>
      </c>
      <c r="G79" s="57">
        <v>2</v>
      </c>
      <c r="H79" s="57">
        <v>2</v>
      </c>
      <c r="I79" s="57">
        <v>1</v>
      </c>
      <c r="J79" s="57">
        <v>1</v>
      </c>
      <c r="K79" s="11">
        <v>2</v>
      </c>
      <c r="L79" s="63">
        <f t="shared" si="26"/>
        <v>0.37356464144298934</v>
      </c>
    </row>
    <row r="80" spans="1:13" x14ac:dyDescent="0.2">
      <c r="A80" s="50" t="s">
        <v>15</v>
      </c>
      <c r="B80" s="203" t="s">
        <v>420</v>
      </c>
      <c r="C80" s="146" t="s">
        <v>812</v>
      </c>
      <c r="D80" s="336">
        <v>0</v>
      </c>
      <c r="E80" s="46" t="s">
        <v>822</v>
      </c>
      <c r="F80" s="99" t="s">
        <v>78</v>
      </c>
      <c r="G80" s="74"/>
      <c r="H80" s="74"/>
      <c r="I80" s="74"/>
      <c r="J80" s="74"/>
      <c r="K80" s="85"/>
      <c r="L80" s="60" t="str">
        <f t="shared" si="26"/>
        <v/>
      </c>
    </row>
    <row r="81" spans="1:13" x14ac:dyDescent="0.2">
      <c r="A81" s="50" t="s">
        <v>15</v>
      </c>
      <c r="B81" s="203" t="s">
        <v>420</v>
      </c>
      <c r="C81" s="334" t="s">
        <v>813</v>
      </c>
      <c r="D81" s="336">
        <v>0</v>
      </c>
      <c r="E81" s="46" t="s">
        <v>822</v>
      </c>
      <c r="F81" s="99" t="s">
        <v>78</v>
      </c>
      <c r="G81" s="74"/>
      <c r="H81" s="74"/>
      <c r="I81" s="74"/>
      <c r="J81" s="74"/>
      <c r="K81" s="85"/>
      <c r="L81" s="60" t="str">
        <f t="shared" si="26"/>
        <v/>
      </c>
    </row>
    <row r="82" spans="1:13" x14ac:dyDescent="0.2">
      <c r="A82" s="50" t="s">
        <v>15</v>
      </c>
      <c r="B82" s="181" t="s">
        <v>409</v>
      </c>
      <c r="C82" s="42" t="s">
        <v>65</v>
      </c>
      <c r="D82" s="44">
        <f>0.027/100</f>
        <v>2.7E-4</v>
      </c>
      <c r="E82" s="32" t="s">
        <v>402</v>
      </c>
      <c r="F82" s="99" t="s">
        <v>78</v>
      </c>
      <c r="G82" s="57">
        <v>1</v>
      </c>
      <c r="H82" s="57">
        <v>1</v>
      </c>
      <c r="I82" s="57">
        <v>3</v>
      </c>
      <c r="J82" s="57">
        <v>3</v>
      </c>
      <c r="K82" s="11">
        <v>3</v>
      </c>
      <c r="L82" s="63">
        <f t="shared" si="26"/>
        <v>1.1181151966036349</v>
      </c>
    </row>
    <row r="83" spans="1:13" x14ac:dyDescent="0.2">
      <c r="A83" s="50" t="s">
        <v>15</v>
      </c>
      <c r="B83" s="181" t="s">
        <v>745</v>
      </c>
      <c r="C83" s="42" t="s">
        <v>65</v>
      </c>
      <c r="D83" s="282">
        <v>0</v>
      </c>
      <c r="E83" s="32" t="s">
        <v>402</v>
      </c>
      <c r="F83" s="99" t="s">
        <v>78</v>
      </c>
      <c r="G83" s="74"/>
      <c r="H83" s="74"/>
      <c r="I83" s="74"/>
      <c r="J83" s="74"/>
      <c r="K83" s="85"/>
      <c r="L83" s="60" t="str">
        <f t="shared" si="26"/>
        <v/>
      </c>
      <c r="M83" s="80" t="s">
        <v>426</v>
      </c>
    </row>
    <row r="84" spans="1:13" x14ac:dyDescent="0.2">
      <c r="A84" s="50" t="s">
        <v>15</v>
      </c>
      <c r="B84" s="181" t="s">
        <v>746</v>
      </c>
      <c r="C84" s="42" t="s">
        <v>65</v>
      </c>
      <c r="D84" s="282">
        <v>0</v>
      </c>
      <c r="E84" s="32" t="s">
        <v>402</v>
      </c>
      <c r="F84" s="99" t="s">
        <v>78</v>
      </c>
      <c r="G84" s="74"/>
      <c r="H84" s="74"/>
      <c r="I84" s="74"/>
      <c r="J84" s="74"/>
      <c r="K84" s="85"/>
      <c r="L84" s="60" t="str">
        <f t="shared" si="26"/>
        <v/>
      </c>
      <c r="M84" s="80" t="s">
        <v>426</v>
      </c>
    </row>
    <row r="85" spans="1:13" s="72" customFormat="1" x14ac:dyDescent="0.2">
      <c r="A85" s="49" t="s">
        <v>16</v>
      </c>
      <c r="B85" s="204" t="s">
        <v>420</v>
      </c>
      <c r="C85" s="261" t="s">
        <v>809</v>
      </c>
      <c r="D85" s="336">
        <v>1</v>
      </c>
      <c r="E85" s="46" t="s">
        <v>822</v>
      </c>
      <c r="F85" s="101" t="s">
        <v>78</v>
      </c>
      <c r="G85" s="57">
        <v>2</v>
      </c>
      <c r="H85" s="57">
        <v>2</v>
      </c>
      <c r="I85" s="57">
        <v>1</v>
      </c>
      <c r="J85" s="57">
        <v>1</v>
      </c>
      <c r="K85" s="11">
        <v>2</v>
      </c>
      <c r="L85" s="63">
        <f t="shared" ref="L85" si="27">IF( OR( ISBLANK(G85),ISBLANK(H85), ISBLANK(I85), ISBLANK(J85), ISBLANK(K85) ), "", 1.5*SQRT(   EXP(2.21*(G85-1)) + EXP(2.21*(H85-1)) + EXP(2.21*(I85-1)) + EXP(2.21*(J85-1)) + EXP(2.21*K85)   )/100*2.45 )</f>
        <v>0.37356464144298934</v>
      </c>
      <c r="M85" s="82"/>
    </row>
    <row r="86" spans="1:13" x14ac:dyDescent="0.2">
      <c r="A86" s="50" t="s">
        <v>16</v>
      </c>
      <c r="B86" s="203" t="s">
        <v>420</v>
      </c>
      <c r="C86" s="151" t="s">
        <v>810</v>
      </c>
      <c r="D86" s="336">
        <v>0</v>
      </c>
      <c r="E86" s="46" t="s">
        <v>822</v>
      </c>
      <c r="F86" s="99" t="s">
        <v>78</v>
      </c>
      <c r="G86" s="74"/>
      <c r="H86" s="74"/>
      <c r="I86" s="74"/>
      <c r="J86" s="74"/>
      <c r="K86" s="85"/>
      <c r="L86" s="60" t="str">
        <f t="shared" si="26"/>
        <v/>
      </c>
    </row>
    <row r="87" spans="1:13" x14ac:dyDescent="0.2">
      <c r="A87" s="50" t="s">
        <v>16</v>
      </c>
      <c r="B87" s="203" t="s">
        <v>420</v>
      </c>
      <c r="C87" s="148" t="s">
        <v>811</v>
      </c>
      <c r="D87" s="336">
        <v>4.3999999999999997E-2</v>
      </c>
      <c r="E87" s="46" t="s">
        <v>822</v>
      </c>
      <c r="F87" s="99" t="s">
        <v>78</v>
      </c>
      <c r="G87" s="57">
        <v>2</v>
      </c>
      <c r="H87" s="57">
        <v>2</v>
      </c>
      <c r="I87" s="57">
        <v>1</v>
      </c>
      <c r="J87" s="57">
        <v>1</v>
      </c>
      <c r="K87" s="11">
        <v>2</v>
      </c>
      <c r="L87" s="63">
        <f t="shared" si="26"/>
        <v>0.37356464144298934</v>
      </c>
    </row>
    <row r="88" spans="1:13" x14ac:dyDescent="0.2">
      <c r="A88" s="50" t="s">
        <v>16</v>
      </c>
      <c r="B88" s="203" t="s">
        <v>420</v>
      </c>
      <c r="C88" s="146" t="s">
        <v>812</v>
      </c>
      <c r="D88" s="336">
        <v>0</v>
      </c>
      <c r="E88" s="46" t="s">
        <v>822</v>
      </c>
      <c r="F88" s="99" t="s">
        <v>78</v>
      </c>
      <c r="G88" s="74"/>
      <c r="H88" s="74"/>
      <c r="I88" s="74"/>
      <c r="J88" s="74"/>
      <c r="K88" s="85"/>
      <c r="L88" s="60" t="str">
        <f t="shared" si="26"/>
        <v/>
      </c>
    </row>
    <row r="89" spans="1:13" x14ac:dyDescent="0.2">
      <c r="A89" s="50" t="s">
        <v>16</v>
      </c>
      <c r="B89" s="203" t="s">
        <v>420</v>
      </c>
      <c r="C89" s="145" t="s">
        <v>813</v>
      </c>
      <c r="D89" s="336">
        <v>0</v>
      </c>
      <c r="E89" s="46" t="s">
        <v>822</v>
      </c>
      <c r="F89" s="99" t="s">
        <v>78</v>
      </c>
      <c r="G89" s="74"/>
      <c r="H89" s="74"/>
      <c r="I89" s="74"/>
      <c r="J89" s="74"/>
      <c r="K89" s="85"/>
      <c r="L89" s="60" t="str">
        <f t="shared" si="26"/>
        <v/>
      </c>
    </row>
    <row r="90" spans="1:13" x14ac:dyDescent="0.2">
      <c r="A90" s="50" t="s">
        <v>16</v>
      </c>
      <c r="B90" s="181" t="s">
        <v>409</v>
      </c>
      <c r="C90" s="42" t="s">
        <v>65</v>
      </c>
      <c r="D90" s="44">
        <f>0.027/100</f>
        <v>2.7E-4</v>
      </c>
      <c r="E90" s="32" t="s">
        <v>402</v>
      </c>
      <c r="F90" s="99" t="s">
        <v>78</v>
      </c>
      <c r="G90" s="57">
        <v>1</v>
      </c>
      <c r="H90" s="57">
        <v>1</v>
      </c>
      <c r="I90" s="57">
        <v>3</v>
      </c>
      <c r="J90" s="57">
        <v>3</v>
      </c>
      <c r="K90" s="11">
        <v>3</v>
      </c>
      <c r="L90" s="63">
        <f t="shared" si="26"/>
        <v>1.1181151966036349</v>
      </c>
    </row>
    <row r="91" spans="1:13" x14ac:dyDescent="0.2">
      <c r="A91" s="50" t="s">
        <v>16</v>
      </c>
      <c r="B91" s="181" t="s">
        <v>745</v>
      </c>
      <c r="C91" s="42" t="s">
        <v>65</v>
      </c>
      <c r="D91" s="282">
        <v>0</v>
      </c>
      <c r="E91" s="32" t="s">
        <v>402</v>
      </c>
      <c r="F91" s="99" t="s">
        <v>78</v>
      </c>
      <c r="G91" s="74"/>
      <c r="H91" s="74"/>
      <c r="I91" s="74"/>
      <c r="J91" s="74"/>
      <c r="K91" s="85"/>
      <c r="L91" s="60" t="str">
        <f t="shared" si="26"/>
        <v/>
      </c>
      <c r="M91" s="80" t="s">
        <v>426</v>
      </c>
    </row>
    <row r="92" spans="1:13" x14ac:dyDescent="0.2">
      <c r="A92" s="50" t="s">
        <v>16</v>
      </c>
      <c r="B92" s="181" t="s">
        <v>746</v>
      </c>
      <c r="C92" s="42" t="s">
        <v>65</v>
      </c>
      <c r="D92" s="282">
        <v>0</v>
      </c>
      <c r="E92" s="32" t="s">
        <v>402</v>
      </c>
      <c r="F92" s="99" t="s">
        <v>78</v>
      </c>
      <c r="G92" s="74"/>
      <c r="H92" s="74"/>
      <c r="I92" s="74"/>
      <c r="J92" s="74"/>
      <c r="K92" s="85"/>
      <c r="L92" s="60" t="str">
        <f t="shared" si="26"/>
        <v/>
      </c>
      <c r="M92" s="80" t="s">
        <v>426</v>
      </c>
    </row>
    <row r="93" spans="1:13" s="72" customFormat="1" x14ac:dyDescent="0.2">
      <c r="A93" s="49" t="s">
        <v>697</v>
      </c>
      <c r="B93" s="204" t="s">
        <v>420</v>
      </c>
      <c r="C93" s="38" t="s">
        <v>65</v>
      </c>
      <c r="D93" s="45">
        <v>0.1618</v>
      </c>
      <c r="E93" s="46" t="s">
        <v>698</v>
      </c>
      <c r="F93" s="101" t="s">
        <v>78</v>
      </c>
      <c r="G93" s="58">
        <v>2</v>
      </c>
      <c r="H93" s="58">
        <v>2</v>
      </c>
      <c r="I93" s="58">
        <v>3</v>
      </c>
      <c r="J93" s="58">
        <v>3</v>
      </c>
      <c r="K93" s="14">
        <v>2</v>
      </c>
      <c r="L93" s="98">
        <f t="shared" si="26"/>
        <v>0.60108474454521421</v>
      </c>
      <c r="M93" s="82"/>
    </row>
    <row r="94" spans="1:13" x14ac:dyDescent="0.2">
      <c r="A94" s="50" t="s">
        <v>697</v>
      </c>
      <c r="B94" s="181" t="s">
        <v>409</v>
      </c>
      <c r="C94" s="42" t="s">
        <v>65</v>
      </c>
      <c r="D94" s="44">
        <f>0.027/100</f>
        <v>2.7E-4</v>
      </c>
      <c r="E94" s="32" t="s">
        <v>402</v>
      </c>
      <c r="F94" s="99" t="s">
        <v>78</v>
      </c>
      <c r="G94" s="57">
        <v>1</v>
      </c>
      <c r="H94" s="57">
        <v>1</v>
      </c>
      <c r="I94" s="57">
        <v>3</v>
      </c>
      <c r="J94" s="57">
        <v>3</v>
      </c>
      <c r="K94" s="11">
        <v>3</v>
      </c>
      <c r="L94" s="63">
        <f t="shared" si="26"/>
        <v>1.1181151966036349</v>
      </c>
    </row>
    <row r="95" spans="1:13" x14ac:dyDescent="0.2">
      <c r="A95" s="50" t="s">
        <v>697</v>
      </c>
      <c r="B95" s="181" t="s">
        <v>745</v>
      </c>
      <c r="C95" s="42" t="s">
        <v>65</v>
      </c>
      <c r="D95" s="282">
        <v>0</v>
      </c>
      <c r="E95" s="32" t="s">
        <v>402</v>
      </c>
      <c r="F95" s="99" t="s">
        <v>78</v>
      </c>
      <c r="G95" s="74"/>
      <c r="H95" s="74"/>
      <c r="I95" s="74"/>
      <c r="J95" s="74"/>
      <c r="K95" s="85"/>
      <c r="L95" s="60" t="str">
        <f t="shared" si="26"/>
        <v/>
      </c>
      <c r="M95" s="80" t="s">
        <v>426</v>
      </c>
    </row>
    <row r="96" spans="1:13" s="73" customFormat="1" x14ac:dyDescent="0.2">
      <c r="A96" s="51" t="s">
        <v>697</v>
      </c>
      <c r="B96" s="181" t="s">
        <v>746</v>
      </c>
      <c r="C96" s="42" t="s">
        <v>65</v>
      </c>
      <c r="D96" s="282">
        <v>0</v>
      </c>
      <c r="E96" s="32" t="s">
        <v>402</v>
      </c>
      <c r="F96" s="99" t="s">
        <v>78</v>
      </c>
      <c r="G96" s="74"/>
      <c r="H96" s="74"/>
      <c r="I96" s="74"/>
      <c r="J96" s="74"/>
      <c r="K96" s="85"/>
      <c r="L96" s="60" t="str">
        <f t="shared" si="26"/>
        <v/>
      </c>
      <c r="M96" s="80" t="s">
        <v>426</v>
      </c>
    </row>
    <row r="97" spans="1:13" s="72" customFormat="1" x14ac:dyDescent="0.2">
      <c r="A97" s="49" t="s">
        <v>20</v>
      </c>
      <c r="B97" s="196" t="s">
        <v>409</v>
      </c>
      <c r="C97" s="13" t="s">
        <v>65</v>
      </c>
      <c r="D97" s="45">
        <f>0.027/100</f>
        <v>2.7E-4</v>
      </c>
      <c r="E97" s="46" t="s">
        <v>402</v>
      </c>
      <c r="F97" s="101" t="s">
        <v>78</v>
      </c>
      <c r="G97" s="58">
        <v>1</v>
      </c>
      <c r="H97" s="58">
        <v>1</v>
      </c>
      <c r="I97" s="58">
        <v>3</v>
      </c>
      <c r="J97" s="58">
        <v>3</v>
      </c>
      <c r="K97" s="14">
        <v>3</v>
      </c>
      <c r="L97" s="98">
        <f t="shared" si="26"/>
        <v>1.1181151966036349</v>
      </c>
      <c r="M97" s="82"/>
    </row>
    <row r="98" spans="1:13" x14ac:dyDescent="0.2">
      <c r="A98" s="50" t="s">
        <v>20</v>
      </c>
      <c r="B98" s="203" t="s">
        <v>404</v>
      </c>
      <c r="C98" s="10" t="s">
        <v>65</v>
      </c>
      <c r="D98" s="293">
        <f>0.0013</f>
        <v>1.2999999999999999E-3</v>
      </c>
      <c r="E98" s="32" t="s">
        <v>428</v>
      </c>
      <c r="F98" s="99" t="s">
        <v>78</v>
      </c>
      <c r="G98" s="57">
        <v>1</v>
      </c>
      <c r="H98" s="57">
        <v>1</v>
      </c>
      <c r="I98" s="57">
        <v>1</v>
      </c>
      <c r="J98" s="57">
        <v>1</v>
      </c>
      <c r="K98" s="11">
        <v>3</v>
      </c>
      <c r="L98" s="63">
        <f t="shared" si="26"/>
        <v>1.0141150152164344</v>
      </c>
    </row>
    <row r="99" spans="1:13" s="73" customFormat="1" x14ac:dyDescent="0.2">
      <c r="A99" s="51" t="s">
        <v>20</v>
      </c>
      <c r="B99" s="176" t="s">
        <v>404</v>
      </c>
      <c r="C99" s="40" t="s">
        <v>65</v>
      </c>
      <c r="D99" s="294">
        <f>0.0147</f>
        <v>1.47E-2</v>
      </c>
      <c r="E99" s="33" t="s">
        <v>427</v>
      </c>
      <c r="F99" s="102" t="s">
        <v>78</v>
      </c>
      <c r="G99" s="59">
        <v>1</v>
      </c>
      <c r="H99" s="59">
        <v>1</v>
      </c>
      <c r="I99" s="59">
        <v>1</v>
      </c>
      <c r="J99" s="59">
        <v>1</v>
      </c>
      <c r="K99" s="15">
        <v>3</v>
      </c>
      <c r="L99" s="37">
        <f t="shared" si="26"/>
        <v>1.0141150152164344</v>
      </c>
      <c r="M99" s="81"/>
    </row>
    <row r="100" spans="1:13" x14ac:dyDescent="0.2">
      <c r="A100" s="50" t="s">
        <v>21</v>
      </c>
      <c r="B100" s="181" t="s">
        <v>409</v>
      </c>
      <c r="C100" s="10" t="s">
        <v>65</v>
      </c>
      <c r="D100" s="44">
        <f>0.027/100</f>
        <v>2.7E-4</v>
      </c>
      <c r="E100" s="32" t="s">
        <v>402</v>
      </c>
      <c r="F100" s="99" t="s">
        <v>78</v>
      </c>
      <c r="G100" s="57">
        <v>1</v>
      </c>
      <c r="H100" s="57">
        <v>1</v>
      </c>
      <c r="I100" s="57">
        <v>3</v>
      </c>
      <c r="J100" s="57">
        <v>3</v>
      </c>
      <c r="K100" s="11">
        <v>3</v>
      </c>
      <c r="L100" s="63">
        <f t="shared" si="26"/>
        <v>1.1181151966036349</v>
      </c>
    </row>
    <row r="101" spans="1:13" x14ac:dyDescent="0.2">
      <c r="A101" s="50" t="s">
        <v>21</v>
      </c>
      <c r="B101" s="203" t="s">
        <v>404</v>
      </c>
      <c r="C101" s="10" t="s">
        <v>65</v>
      </c>
      <c r="D101" s="293">
        <f>0.0013</f>
        <v>1.2999999999999999E-3</v>
      </c>
      <c r="E101" s="32" t="s">
        <v>428</v>
      </c>
      <c r="F101" s="99" t="s">
        <v>78</v>
      </c>
      <c r="G101" s="57">
        <v>1</v>
      </c>
      <c r="H101" s="57">
        <v>1</v>
      </c>
      <c r="I101" s="57">
        <v>1</v>
      </c>
      <c r="J101" s="57">
        <v>1</v>
      </c>
      <c r="K101" s="11">
        <v>3</v>
      </c>
      <c r="L101" s="63">
        <f t="shared" si="26"/>
        <v>1.0141150152164344</v>
      </c>
    </row>
    <row r="102" spans="1:13" x14ac:dyDescent="0.2">
      <c r="A102" s="50" t="s">
        <v>21</v>
      </c>
      <c r="B102" s="203" t="s">
        <v>404</v>
      </c>
      <c r="C102" s="10" t="s">
        <v>65</v>
      </c>
      <c r="D102" s="294">
        <f>0.0147</f>
        <v>1.47E-2</v>
      </c>
      <c r="E102" s="33" t="s">
        <v>427</v>
      </c>
      <c r="F102" s="99" t="s">
        <v>78</v>
      </c>
      <c r="G102" s="57">
        <v>1</v>
      </c>
      <c r="H102" s="57">
        <v>1</v>
      </c>
      <c r="I102" s="57">
        <v>1</v>
      </c>
      <c r="J102" s="57">
        <v>1</v>
      </c>
      <c r="K102" s="11">
        <v>3</v>
      </c>
      <c r="L102" s="63">
        <f t="shared" si="26"/>
        <v>1.0141150152164344</v>
      </c>
    </row>
    <row r="103" spans="1:13" s="72" customFormat="1" x14ac:dyDescent="0.2">
      <c r="A103" s="49" t="s">
        <v>22</v>
      </c>
      <c r="B103" s="196" t="s">
        <v>409</v>
      </c>
      <c r="C103" s="13" t="s">
        <v>65</v>
      </c>
      <c r="D103" s="45">
        <f>0.027/100</f>
        <v>2.7E-4</v>
      </c>
      <c r="E103" s="46" t="s">
        <v>402</v>
      </c>
      <c r="F103" s="101" t="s">
        <v>78</v>
      </c>
      <c r="G103" s="58">
        <v>1</v>
      </c>
      <c r="H103" s="58">
        <v>1</v>
      </c>
      <c r="I103" s="58">
        <v>3</v>
      </c>
      <c r="J103" s="58">
        <v>3</v>
      </c>
      <c r="K103" s="14">
        <v>3</v>
      </c>
      <c r="L103" s="98">
        <f t="shared" si="26"/>
        <v>1.1181151966036349</v>
      </c>
      <c r="M103" s="82"/>
    </row>
    <row r="104" spans="1:13" x14ac:dyDescent="0.2">
      <c r="A104" s="50" t="s">
        <v>22</v>
      </c>
      <c r="B104" s="203" t="s">
        <v>404</v>
      </c>
      <c r="C104" s="10" t="s">
        <v>65</v>
      </c>
      <c r="D104" s="293">
        <f>0.0013</f>
        <v>1.2999999999999999E-3</v>
      </c>
      <c r="E104" s="32" t="s">
        <v>428</v>
      </c>
      <c r="F104" s="99" t="s">
        <v>78</v>
      </c>
      <c r="G104" s="57">
        <v>1</v>
      </c>
      <c r="H104" s="57">
        <v>1</v>
      </c>
      <c r="I104" s="57">
        <v>1</v>
      </c>
      <c r="J104" s="57">
        <v>1</v>
      </c>
      <c r="K104" s="11">
        <v>3</v>
      </c>
      <c r="L104" s="63">
        <f t="shared" si="26"/>
        <v>1.0141150152164344</v>
      </c>
    </row>
    <row r="105" spans="1:13" s="73" customFormat="1" x14ac:dyDescent="0.2">
      <c r="A105" s="51" t="s">
        <v>22</v>
      </c>
      <c r="B105" s="176" t="s">
        <v>404</v>
      </c>
      <c r="C105" s="40" t="s">
        <v>65</v>
      </c>
      <c r="D105" s="294">
        <f>0.0147</f>
        <v>1.47E-2</v>
      </c>
      <c r="E105" s="33" t="s">
        <v>427</v>
      </c>
      <c r="F105" s="102" t="s">
        <v>78</v>
      </c>
      <c r="G105" s="59">
        <v>1</v>
      </c>
      <c r="H105" s="59">
        <v>1</v>
      </c>
      <c r="I105" s="59">
        <v>1</v>
      </c>
      <c r="J105" s="59">
        <v>1</v>
      </c>
      <c r="K105" s="15">
        <v>3</v>
      </c>
      <c r="L105" s="37">
        <f t="shared" si="26"/>
        <v>1.0141150152164344</v>
      </c>
      <c r="M105" s="81"/>
    </row>
    <row r="106" spans="1:13" s="72" customFormat="1" x14ac:dyDescent="0.2">
      <c r="A106" s="49" t="s">
        <v>19</v>
      </c>
      <c r="B106" s="196" t="s">
        <v>409</v>
      </c>
      <c r="C106" s="13" t="s">
        <v>65</v>
      </c>
      <c r="D106" s="45">
        <f>0.027/100</f>
        <v>2.7E-4</v>
      </c>
      <c r="E106" s="46" t="s">
        <v>402</v>
      </c>
      <c r="F106" s="101" t="s">
        <v>78</v>
      </c>
      <c r="G106" s="58">
        <v>1</v>
      </c>
      <c r="H106" s="58">
        <v>1</v>
      </c>
      <c r="I106" s="58">
        <v>3</v>
      </c>
      <c r="J106" s="58">
        <v>3</v>
      </c>
      <c r="K106" s="14">
        <v>3</v>
      </c>
      <c r="L106" s="98">
        <f t="shared" si="26"/>
        <v>1.1181151966036349</v>
      </c>
      <c r="M106" s="82"/>
    </row>
    <row r="107" spans="1:13" x14ac:dyDescent="0.2">
      <c r="A107" s="50" t="s">
        <v>19</v>
      </c>
      <c r="B107" s="203" t="s">
        <v>404</v>
      </c>
      <c r="C107" s="10" t="s">
        <v>65</v>
      </c>
      <c r="D107" s="293">
        <f>0.0013</f>
        <v>1.2999999999999999E-3</v>
      </c>
      <c r="E107" s="32" t="s">
        <v>428</v>
      </c>
      <c r="F107" s="99" t="s">
        <v>78</v>
      </c>
      <c r="G107" s="57">
        <v>2</v>
      </c>
      <c r="H107" s="57">
        <v>2</v>
      </c>
      <c r="I107" s="57">
        <v>3</v>
      </c>
      <c r="J107" s="57">
        <v>2</v>
      </c>
      <c r="K107" s="11">
        <v>2</v>
      </c>
      <c r="L107" s="63">
        <f t="shared" si="26"/>
        <v>0.51126068492676302</v>
      </c>
    </row>
    <row r="108" spans="1:13" s="73" customFormat="1" x14ac:dyDescent="0.2">
      <c r="A108" s="51" t="s">
        <v>19</v>
      </c>
      <c r="B108" s="176" t="s">
        <v>404</v>
      </c>
      <c r="C108" s="40" t="s">
        <v>65</v>
      </c>
      <c r="D108" s="294">
        <f>0.0147</f>
        <v>1.47E-2</v>
      </c>
      <c r="E108" s="33" t="s">
        <v>427</v>
      </c>
      <c r="F108" s="288" t="s">
        <v>78</v>
      </c>
      <c r="G108" s="59">
        <v>2</v>
      </c>
      <c r="H108" s="59">
        <v>2</v>
      </c>
      <c r="I108" s="59">
        <v>3</v>
      </c>
      <c r="J108" s="59">
        <v>2</v>
      </c>
      <c r="K108" s="15">
        <v>2</v>
      </c>
      <c r="L108" s="37">
        <f t="shared" si="26"/>
        <v>0.51126068492676302</v>
      </c>
      <c r="M108" s="81"/>
    </row>
    <row r="109" spans="1:13" x14ac:dyDescent="0.2">
      <c r="A109" s="50" t="s">
        <v>23</v>
      </c>
      <c r="B109" s="181" t="s">
        <v>409</v>
      </c>
      <c r="C109" s="10" t="s">
        <v>65</v>
      </c>
      <c r="D109" s="44">
        <f>0.027/100</f>
        <v>2.7E-4</v>
      </c>
      <c r="E109" s="32" t="s">
        <v>402</v>
      </c>
      <c r="F109" s="99" t="s">
        <v>78</v>
      </c>
      <c r="G109" s="57">
        <v>1</v>
      </c>
      <c r="H109" s="57">
        <v>1</v>
      </c>
      <c r="I109" s="57">
        <v>3</v>
      </c>
      <c r="J109" s="57">
        <v>3</v>
      </c>
      <c r="K109" s="11">
        <v>3</v>
      </c>
      <c r="L109" s="63">
        <f t="shared" si="26"/>
        <v>1.1181151966036349</v>
      </c>
    </row>
    <row r="110" spans="1:13" x14ac:dyDescent="0.2">
      <c r="A110" s="50" t="s">
        <v>23</v>
      </c>
      <c r="B110" s="203" t="s">
        <v>404</v>
      </c>
      <c r="C110" s="10" t="s">
        <v>65</v>
      </c>
      <c r="D110" s="293">
        <f>0.0013</f>
        <v>1.2999999999999999E-3</v>
      </c>
      <c r="E110" s="32" t="s">
        <v>428</v>
      </c>
      <c r="F110" s="99" t="s">
        <v>78</v>
      </c>
      <c r="G110" s="57">
        <v>2</v>
      </c>
      <c r="H110" s="57">
        <v>2</v>
      </c>
      <c r="I110" s="57">
        <v>3</v>
      </c>
      <c r="J110" s="57">
        <v>2</v>
      </c>
      <c r="K110" s="11">
        <v>2</v>
      </c>
      <c r="L110" s="63">
        <f t="shared" si="26"/>
        <v>0.51126068492676302</v>
      </c>
    </row>
    <row r="111" spans="1:13" x14ac:dyDescent="0.2">
      <c r="A111" s="50" t="s">
        <v>23</v>
      </c>
      <c r="B111" s="203" t="s">
        <v>404</v>
      </c>
      <c r="C111" s="10" t="s">
        <v>65</v>
      </c>
      <c r="D111" s="293">
        <f>0.0147</f>
        <v>1.47E-2</v>
      </c>
      <c r="E111" s="32" t="s">
        <v>427</v>
      </c>
      <c r="F111" s="99" t="s">
        <v>78</v>
      </c>
      <c r="G111" s="57">
        <v>2</v>
      </c>
      <c r="H111" s="57">
        <v>2</v>
      </c>
      <c r="I111" s="57">
        <v>3</v>
      </c>
      <c r="J111" s="57">
        <v>2</v>
      </c>
      <c r="K111" s="11">
        <v>2</v>
      </c>
      <c r="L111" s="63">
        <f t="shared" si="26"/>
        <v>0.51126068492676302</v>
      </c>
    </row>
    <row r="112" spans="1:13" x14ac:dyDescent="0.2">
      <c r="A112" s="50" t="s">
        <v>23</v>
      </c>
      <c r="B112" s="178" t="s">
        <v>328</v>
      </c>
      <c r="C112" s="10" t="s">
        <v>65</v>
      </c>
      <c r="D112" s="44">
        <v>1E-3</v>
      </c>
      <c r="E112" s="32" t="s">
        <v>71</v>
      </c>
      <c r="F112" s="289" t="s">
        <v>78</v>
      </c>
      <c r="G112" s="57">
        <v>1</v>
      </c>
      <c r="H112" s="57">
        <v>1</v>
      </c>
      <c r="I112" s="57">
        <v>1</v>
      </c>
      <c r="J112" s="57">
        <v>1</v>
      </c>
      <c r="K112" s="11">
        <v>3</v>
      </c>
      <c r="L112" s="63">
        <f t="shared" si="26"/>
        <v>1.0141150152164344</v>
      </c>
    </row>
    <row r="113" spans="1:13" s="73" customFormat="1" x14ac:dyDescent="0.2">
      <c r="A113" s="51" t="s">
        <v>23</v>
      </c>
      <c r="B113" s="183" t="s">
        <v>384</v>
      </c>
      <c r="C113" s="40" t="s">
        <v>65</v>
      </c>
      <c r="D113" s="43">
        <v>1E-3</v>
      </c>
      <c r="E113" s="33" t="s">
        <v>71</v>
      </c>
      <c r="F113" s="102" t="s">
        <v>78</v>
      </c>
      <c r="G113" s="59">
        <v>1</v>
      </c>
      <c r="H113" s="59">
        <v>1</v>
      </c>
      <c r="I113" s="59">
        <v>1</v>
      </c>
      <c r="J113" s="59">
        <v>1</v>
      </c>
      <c r="K113" s="15">
        <v>3</v>
      </c>
      <c r="L113" s="37">
        <f t="shared" si="26"/>
        <v>1.0141150152164344</v>
      </c>
      <c r="M113" s="81"/>
    </row>
    <row r="114" spans="1:13" x14ac:dyDescent="0.2">
      <c r="A114" s="50" t="s">
        <v>24</v>
      </c>
      <c r="B114" s="181" t="s">
        <v>409</v>
      </c>
      <c r="C114" s="10" t="s">
        <v>65</v>
      </c>
      <c r="D114" s="44">
        <f>0.027/100</f>
        <v>2.7E-4</v>
      </c>
      <c r="E114" s="32" t="s">
        <v>402</v>
      </c>
      <c r="F114" s="99" t="s">
        <v>78</v>
      </c>
      <c r="G114" s="57">
        <v>1</v>
      </c>
      <c r="H114" s="57">
        <v>1</v>
      </c>
      <c r="I114" s="57">
        <v>3</v>
      </c>
      <c r="J114" s="57">
        <v>3</v>
      </c>
      <c r="K114" s="11">
        <v>3</v>
      </c>
      <c r="L114" s="63">
        <f t="shared" si="26"/>
        <v>1.1181151966036349</v>
      </c>
    </row>
    <row r="115" spans="1:13" x14ac:dyDescent="0.2">
      <c r="A115" s="50" t="s">
        <v>24</v>
      </c>
      <c r="B115" s="203" t="s">
        <v>404</v>
      </c>
      <c r="C115" s="10" t="s">
        <v>65</v>
      </c>
      <c r="D115" s="293">
        <f>0.0013</f>
        <v>1.2999999999999999E-3</v>
      </c>
      <c r="E115" s="32" t="s">
        <v>428</v>
      </c>
      <c r="F115" s="99" t="s">
        <v>78</v>
      </c>
      <c r="G115" s="57">
        <v>2</v>
      </c>
      <c r="H115" s="57">
        <v>2</v>
      </c>
      <c r="I115" s="57">
        <v>3</v>
      </c>
      <c r="J115" s="57">
        <v>2</v>
      </c>
      <c r="K115" s="11">
        <v>2</v>
      </c>
      <c r="L115" s="63">
        <f t="shared" si="26"/>
        <v>0.51126068492676302</v>
      </c>
    </row>
    <row r="116" spans="1:13" x14ac:dyDescent="0.2">
      <c r="A116" s="50" t="s">
        <v>24</v>
      </c>
      <c r="B116" s="203" t="s">
        <v>404</v>
      </c>
      <c r="C116" s="10" t="s">
        <v>65</v>
      </c>
      <c r="D116" s="293">
        <f>0.0147</f>
        <v>1.47E-2</v>
      </c>
      <c r="E116" s="32" t="s">
        <v>427</v>
      </c>
      <c r="F116" s="99" t="s">
        <v>78</v>
      </c>
      <c r="G116" s="57">
        <v>2</v>
      </c>
      <c r="H116" s="57">
        <v>2</v>
      </c>
      <c r="I116" s="57">
        <v>3</v>
      </c>
      <c r="J116" s="57">
        <v>2</v>
      </c>
      <c r="K116" s="11">
        <v>2</v>
      </c>
      <c r="L116" s="63">
        <f t="shared" si="26"/>
        <v>0.51126068492676302</v>
      </c>
    </row>
    <row r="117" spans="1:13" x14ac:dyDescent="0.2">
      <c r="A117" s="50" t="s">
        <v>24</v>
      </c>
      <c r="B117" s="178" t="s">
        <v>321</v>
      </c>
      <c r="C117" s="261" t="s">
        <v>809</v>
      </c>
      <c r="D117" s="342">
        <f>5/1000000+0.1/100</f>
        <v>1.005E-3</v>
      </c>
      <c r="E117" s="77" t="s">
        <v>825</v>
      </c>
      <c r="F117" s="94" t="s">
        <v>78</v>
      </c>
      <c r="G117" s="309">
        <v>2</v>
      </c>
      <c r="H117" s="309">
        <v>3</v>
      </c>
      <c r="I117" s="309">
        <v>1</v>
      </c>
      <c r="J117" s="309">
        <v>1</v>
      </c>
      <c r="K117" s="66">
        <v>2</v>
      </c>
      <c r="L117" s="34">
        <f t="shared" si="26"/>
        <v>0.48935255543384243</v>
      </c>
      <c r="M117" s="343" t="s">
        <v>826</v>
      </c>
    </row>
    <row r="118" spans="1:13" x14ac:dyDescent="0.2">
      <c r="A118" s="50" t="s">
        <v>24</v>
      </c>
      <c r="B118" s="178" t="s">
        <v>321</v>
      </c>
      <c r="C118" s="151" t="s">
        <v>810</v>
      </c>
      <c r="D118" s="312">
        <v>0</v>
      </c>
      <c r="F118" s="94" t="s">
        <v>78</v>
      </c>
      <c r="G118" s="305"/>
      <c r="H118" s="305"/>
      <c r="I118" s="305"/>
      <c r="J118" s="305"/>
      <c r="K118" s="85"/>
      <c r="L118" s="60" t="str">
        <f t="shared" si="26"/>
        <v/>
      </c>
    </row>
    <row r="119" spans="1:13" x14ac:dyDescent="0.2">
      <c r="A119" s="50" t="s">
        <v>24</v>
      </c>
      <c r="B119" s="178" t="s">
        <v>321</v>
      </c>
      <c r="C119" s="148" t="s">
        <v>811</v>
      </c>
      <c r="D119" s="312">
        <v>0</v>
      </c>
      <c r="F119" s="94" t="s">
        <v>78</v>
      </c>
      <c r="G119" s="305"/>
      <c r="H119" s="305"/>
      <c r="I119" s="305"/>
      <c r="J119" s="305"/>
      <c r="K119" s="85"/>
      <c r="L119" s="60" t="str">
        <f t="shared" si="26"/>
        <v/>
      </c>
    </row>
    <row r="120" spans="1:13" x14ac:dyDescent="0.2">
      <c r="A120" s="50" t="s">
        <v>24</v>
      </c>
      <c r="B120" s="178" t="s">
        <v>321</v>
      </c>
      <c r="C120" s="146" t="s">
        <v>812</v>
      </c>
      <c r="D120" s="312">
        <v>0</v>
      </c>
      <c r="F120" s="94" t="s">
        <v>78</v>
      </c>
      <c r="G120" s="305"/>
      <c r="H120" s="305"/>
      <c r="I120" s="305"/>
      <c r="J120" s="305"/>
      <c r="K120" s="85"/>
      <c r="L120" s="60" t="str">
        <f t="shared" si="26"/>
        <v/>
      </c>
    </row>
    <row r="121" spans="1:13" x14ac:dyDescent="0.2">
      <c r="A121" s="50" t="s">
        <v>24</v>
      </c>
      <c r="B121" s="178" t="s">
        <v>321</v>
      </c>
      <c r="C121" s="145" t="s">
        <v>813</v>
      </c>
      <c r="D121" s="312">
        <v>0</v>
      </c>
      <c r="F121" s="94" t="s">
        <v>78</v>
      </c>
      <c r="G121" s="305"/>
      <c r="H121" s="305"/>
      <c r="I121" s="305"/>
      <c r="J121" s="305"/>
      <c r="K121" s="85"/>
      <c r="L121" s="60" t="str">
        <f t="shared" ref="L121" si="28">IF( OR( ISBLANK(G121),ISBLANK(H121), ISBLANK(I121), ISBLANK(J121), ISBLANK(K121) ), "", 1.5*SQRT(   EXP(2.21*(G121-1)) + EXP(2.21*(H121-1)) + EXP(2.21*(I121-1)) + EXP(2.21*(J121-1)) + EXP(2.21*K121)   )/100*2.45 )</f>
        <v/>
      </c>
    </row>
    <row r="122" spans="1:13" s="72" customFormat="1" x14ac:dyDescent="0.2">
      <c r="A122" s="49" t="s">
        <v>25</v>
      </c>
      <c r="B122" s="196" t="s">
        <v>409</v>
      </c>
      <c r="C122" s="13" t="s">
        <v>65</v>
      </c>
      <c r="D122" s="45">
        <f>0.027/100</f>
        <v>2.7E-4</v>
      </c>
      <c r="E122" s="46" t="s">
        <v>402</v>
      </c>
      <c r="F122" s="101" t="s">
        <v>78</v>
      </c>
      <c r="G122" s="58">
        <v>1</v>
      </c>
      <c r="H122" s="58">
        <v>1</v>
      </c>
      <c r="I122" s="58">
        <v>3</v>
      </c>
      <c r="J122" s="58">
        <v>3</v>
      </c>
      <c r="K122" s="14">
        <v>3</v>
      </c>
      <c r="L122" s="98">
        <f t="shared" ref="L122:L181" si="29">IF( OR( ISBLANK(G122),ISBLANK(H122), ISBLANK(I122), ISBLANK(J122), ISBLANK(K122) ), "", 1.5*SQRT(   EXP(2.21*(G122-1)) + EXP(2.21*(H122-1)) + EXP(2.21*(I122-1)) + EXP(2.21*(J122-1)) + EXP(2.21*K122)   )/100*2.45 )</f>
        <v>1.1181151966036349</v>
      </c>
      <c r="M122" s="82"/>
    </row>
    <row r="123" spans="1:13" x14ac:dyDescent="0.2">
      <c r="A123" s="50" t="s">
        <v>25</v>
      </c>
      <c r="B123" s="172" t="s">
        <v>332</v>
      </c>
      <c r="C123" s="10" t="s">
        <v>65</v>
      </c>
      <c r="D123" s="44">
        <v>1E-3</v>
      </c>
      <c r="E123" s="32" t="s">
        <v>71</v>
      </c>
      <c r="F123" s="99" t="s">
        <v>78</v>
      </c>
      <c r="G123" s="57">
        <v>1</v>
      </c>
      <c r="H123" s="57">
        <v>1</v>
      </c>
      <c r="I123" s="57">
        <v>1</v>
      </c>
      <c r="J123" s="57">
        <v>1</v>
      </c>
      <c r="K123" s="11">
        <v>3</v>
      </c>
      <c r="L123" s="63">
        <f t="shared" si="29"/>
        <v>1.0141150152164344</v>
      </c>
    </row>
    <row r="124" spans="1:13" x14ac:dyDescent="0.2">
      <c r="A124" s="50" t="s">
        <v>25</v>
      </c>
      <c r="B124" s="203" t="s">
        <v>404</v>
      </c>
      <c r="C124" s="10" t="s">
        <v>65</v>
      </c>
      <c r="D124" s="293">
        <f>0.0013</f>
        <v>1.2999999999999999E-3</v>
      </c>
      <c r="E124" s="32" t="s">
        <v>428</v>
      </c>
      <c r="F124" s="289" t="s">
        <v>78</v>
      </c>
      <c r="G124" s="57">
        <v>2</v>
      </c>
      <c r="H124" s="57">
        <v>2</v>
      </c>
      <c r="I124" s="57">
        <v>3</v>
      </c>
      <c r="J124" s="57">
        <v>2</v>
      </c>
      <c r="K124" s="11">
        <v>2</v>
      </c>
      <c r="L124" s="63">
        <f t="shared" si="29"/>
        <v>0.51126068492676302</v>
      </c>
    </row>
    <row r="125" spans="1:13" s="73" customFormat="1" x14ac:dyDescent="0.2">
      <c r="A125" s="51" t="s">
        <v>25</v>
      </c>
      <c r="B125" s="176" t="s">
        <v>404</v>
      </c>
      <c r="C125" s="40" t="s">
        <v>65</v>
      </c>
      <c r="D125" s="293">
        <f>0.0147</f>
        <v>1.47E-2</v>
      </c>
      <c r="E125" s="32" t="s">
        <v>427</v>
      </c>
      <c r="F125" s="288" t="s">
        <v>78</v>
      </c>
      <c r="G125" s="59">
        <v>2</v>
      </c>
      <c r="H125" s="59">
        <v>2</v>
      </c>
      <c r="I125" s="59">
        <v>3</v>
      </c>
      <c r="J125" s="59">
        <v>2</v>
      </c>
      <c r="K125" s="15">
        <v>2</v>
      </c>
      <c r="L125" s="37">
        <f t="shared" si="29"/>
        <v>0.51126068492676302</v>
      </c>
      <c r="M125" s="81"/>
    </row>
    <row r="126" spans="1:13" s="72" customFormat="1" x14ac:dyDescent="0.2">
      <c r="A126" s="49" t="s">
        <v>26</v>
      </c>
      <c r="B126" s="196" t="s">
        <v>409</v>
      </c>
      <c r="C126" s="13" t="s">
        <v>65</v>
      </c>
      <c r="D126" s="45">
        <f>0.027/100</f>
        <v>2.7E-4</v>
      </c>
      <c r="E126" s="46" t="s">
        <v>402</v>
      </c>
      <c r="F126" s="101" t="s">
        <v>78</v>
      </c>
      <c r="G126" s="58">
        <v>1</v>
      </c>
      <c r="H126" s="58">
        <v>1</v>
      </c>
      <c r="I126" s="58">
        <v>3</v>
      </c>
      <c r="J126" s="58">
        <v>3</v>
      </c>
      <c r="K126" s="14">
        <v>3</v>
      </c>
      <c r="L126" s="98">
        <f t="shared" si="29"/>
        <v>1.1181151966036349</v>
      </c>
      <c r="M126" s="82"/>
    </row>
    <row r="127" spans="1:13" x14ac:dyDescent="0.2">
      <c r="A127" s="50" t="s">
        <v>26</v>
      </c>
      <c r="B127" s="203" t="s">
        <v>404</v>
      </c>
      <c r="C127" s="10" t="s">
        <v>65</v>
      </c>
      <c r="D127" s="293">
        <f>0.0013</f>
        <v>1.2999999999999999E-3</v>
      </c>
      <c r="E127" s="32" t="s">
        <v>428</v>
      </c>
      <c r="F127" s="99" t="s">
        <v>78</v>
      </c>
      <c r="G127" s="57">
        <v>2</v>
      </c>
      <c r="H127" s="57">
        <v>2</v>
      </c>
      <c r="I127" s="57">
        <v>3</v>
      </c>
      <c r="J127" s="57">
        <v>2</v>
      </c>
      <c r="K127" s="11">
        <v>2</v>
      </c>
      <c r="L127" s="63">
        <f t="shared" si="29"/>
        <v>0.51126068492676302</v>
      </c>
    </row>
    <row r="128" spans="1:13" x14ac:dyDescent="0.2">
      <c r="A128" s="50" t="s">
        <v>26</v>
      </c>
      <c r="B128" s="203" t="s">
        <v>404</v>
      </c>
      <c r="C128" s="10" t="s">
        <v>65</v>
      </c>
      <c r="D128" s="293">
        <f>0.0147</f>
        <v>1.47E-2</v>
      </c>
      <c r="E128" s="32" t="s">
        <v>427</v>
      </c>
      <c r="F128" s="99" t="s">
        <v>78</v>
      </c>
      <c r="G128" s="57">
        <v>2</v>
      </c>
      <c r="H128" s="57">
        <v>2</v>
      </c>
      <c r="I128" s="57">
        <v>3</v>
      </c>
      <c r="J128" s="57">
        <v>2</v>
      </c>
      <c r="K128" s="11">
        <v>2</v>
      </c>
      <c r="L128" s="63">
        <f t="shared" si="29"/>
        <v>0.51126068492676302</v>
      </c>
    </row>
    <row r="129" spans="1:13" s="72" customFormat="1" x14ac:dyDescent="0.2">
      <c r="A129" s="49" t="s">
        <v>27</v>
      </c>
      <c r="B129" s="196" t="s">
        <v>409</v>
      </c>
      <c r="C129" s="13" t="s">
        <v>65</v>
      </c>
      <c r="D129" s="45">
        <f>0.027/100</f>
        <v>2.7E-4</v>
      </c>
      <c r="E129" s="46" t="s">
        <v>402</v>
      </c>
      <c r="F129" s="101" t="s">
        <v>78</v>
      </c>
      <c r="G129" s="58">
        <v>1</v>
      </c>
      <c r="H129" s="58">
        <v>1</v>
      </c>
      <c r="I129" s="58">
        <v>3</v>
      </c>
      <c r="J129" s="58">
        <v>3</v>
      </c>
      <c r="K129" s="14">
        <v>3</v>
      </c>
      <c r="L129" s="98">
        <f t="shared" si="29"/>
        <v>1.1181151966036349</v>
      </c>
      <c r="M129" s="82"/>
    </row>
    <row r="130" spans="1:13" x14ac:dyDescent="0.2">
      <c r="A130" s="50" t="s">
        <v>27</v>
      </c>
      <c r="B130" s="203" t="s">
        <v>404</v>
      </c>
      <c r="C130" s="10" t="s">
        <v>65</v>
      </c>
      <c r="D130" s="293">
        <f>0.0013</f>
        <v>1.2999999999999999E-3</v>
      </c>
      <c r="E130" s="32" t="s">
        <v>428</v>
      </c>
      <c r="F130" s="99" t="s">
        <v>78</v>
      </c>
      <c r="G130" s="57">
        <v>2</v>
      </c>
      <c r="H130" s="57">
        <v>2</v>
      </c>
      <c r="I130" s="57">
        <v>3</v>
      </c>
      <c r="J130" s="57">
        <v>2</v>
      </c>
      <c r="K130" s="11">
        <v>2</v>
      </c>
      <c r="L130" s="63">
        <f t="shared" si="29"/>
        <v>0.51126068492676302</v>
      </c>
    </row>
    <row r="131" spans="1:13" s="73" customFormat="1" x14ac:dyDescent="0.2">
      <c r="A131" s="51" t="s">
        <v>27</v>
      </c>
      <c r="B131" s="176" t="s">
        <v>404</v>
      </c>
      <c r="C131" s="40" t="s">
        <v>65</v>
      </c>
      <c r="D131" s="294">
        <f>0.0147</f>
        <v>1.47E-2</v>
      </c>
      <c r="E131" s="33" t="s">
        <v>427</v>
      </c>
      <c r="F131" s="102" t="s">
        <v>78</v>
      </c>
      <c r="G131" s="59">
        <v>2</v>
      </c>
      <c r="H131" s="59">
        <v>2</v>
      </c>
      <c r="I131" s="59">
        <v>3</v>
      </c>
      <c r="J131" s="59">
        <v>2</v>
      </c>
      <c r="K131" s="15">
        <v>2</v>
      </c>
      <c r="L131" s="37">
        <f t="shared" si="29"/>
        <v>0.51126068492676302</v>
      </c>
      <c r="M131" s="81"/>
    </row>
    <row r="132" spans="1:13" s="72" customFormat="1" x14ac:dyDescent="0.2">
      <c r="A132" s="49" t="s">
        <v>90</v>
      </c>
      <c r="B132" s="196" t="s">
        <v>409</v>
      </c>
      <c r="C132" s="13" t="s">
        <v>65</v>
      </c>
      <c r="D132" s="45">
        <f>0.027/100</f>
        <v>2.7E-4</v>
      </c>
      <c r="E132" s="46" t="s">
        <v>402</v>
      </c>
      <c r="F132" s="101" t="s">
        <v>78</v>
      </c>
      <c r="G132" s="58">
        <v>1</v>
      </c>
      <c r="H132" s="58">
        <v>1</v>
      </c>
      <c r="I132" s="58">
        <v>3</v>
      </c>
      <c r="J132" s="58">
        <v>3</v>
      </c>
      <c r="K132" s="14">
        <v>3</v>
      </c>
      <c r="L132" s="98">
        <f t="shared" si="29"/>
        <v>1.1181151966036349</v>
      </c>
      <c r="M132" s="82"/>
    </row>
    <row r="133" spans="1:13" x14ac:dyDescent="0.2">
      <c r="A133" s="50" t="s">
        <v>90</v>
      </c>
      <c r="B133" s="178" t="s">
        <v>398</v>
      </c>
      <c r="C133" s="10" t="s">
        <v>65</v>
      </c>
      <c r="D133" s="293">
        <f>0.0013</f>
        <v>1.2999999999999999E-3</v>
      </c>
      <c r="E133" s="32" t="s">
        <v>428</v>
      </c>
      <c r="F133" s="99" t="s">
        <v>78</v>
      </c>
      <c r="G133" s="57">
        <v>2</v>
      </c>
      <c r="H133" s="57">
        <v>2</v>
      </c>
      <c r="I133" s="57">
        <v>3</v>
      </c>
      <c r="J133" s="57">
        <v>2</v>
      </c>
      <c r="K133" s="11">
        <v>2</v>
      </c>
      <c r="L133" s="63">
        <f t="shared" si="29"/>
        <v>0.51126068492676302</v>
      </c>
    </row>
    <row r="134" spans="1:13" x14ac:dyDescent="0.2">
      <c r="A134" s="50" t="s">
        <v>90</v>
      </c>
      <c r="B134" s="178" t="s">
        <v>398</v>
      </c>
      <c r="C134" s="10" t="s">
        <v>65</v>
      </c>
      <c r="D134" s="293">
        <f>0.0147</f>
        <v>1.47E-2</v>
      </c>
      <c r="E134" s="32" t="s">
        <v>427</v>
      </c>
      <c r="F134" s="99" t="s">
        <v>78</v>
      </c>
      <c r="G134" s="57">
        <v>2</v>
      </c>
      <c r="H134" s="57">
        <v>2</v>
      </c>
      <c r="I134" s="57">
        <v>3</v>
      </c>
      <c r="J134" s="57">
        <v>2</v>
      </c>
      <c r="K134" s="11">
        <v>2</v>
      </c>
      <c r="L134" s="63">
        <f t="shared" si="29"/>
        <v>0.51126068492676302</v>
      </c>
    </row>
    <row r="135" spans="1:13" x14ac:dyDescent="0.2">
      <c r="A135" s="50" t="s">
        <v>90</v>
      </c>
      <c r="B135" s="178" t="s">
        <v>384</v>
      </c>
      <c r="C135" s="10" t="s">
        <v>65</v>
      </c>
      <c r="D135" s="44">
        <v>0</v>
      </c>
      <c r="E135" s="32" t="s">
        <v>786</v>
      </c>
      <c r="F135" s="99"/>
      <c r="G135" s="57">
        <v>1</v>
      </c>
      <c r="H135" s="57">
        <v>1</v>
      </c>
      <c r="I135" s="57">
        <v>1</v>
      </c>
      <c r="J135" s="57">
        <v>1</v>
      </c>
      <c r="K135" s="11">
        <v>3</v>
      </c>
      <c r="L135" s="63">
        <f t="shared" si="29"/>
        <v>1.0141150152164344</v>
      </c>
    </row>
    <row r="136" spans="1:13" s="73" customFormat="1" x14ac:dyDescent="0.2">
      <c r="A136" s="51" t="s">
        <v>90</v>
      </c>
      <c r="B136" s="183" t="s">
        <v>384</v>
      </c>
      <c r="C136" s="40" t="s">
        <v>65</v>
      </c>
      <c r="D136" s="43">
        <f>0.013</f>
        <v>1.2999999999999999E-2</v>
      </c>
      <c r="E136" s="33" t="s">
        <v>423</v>
      </c>
      <c r="F136" s="102" t="s">
        <v>78</v>
      </c>
      <c r="G136" s="59">
        <v>2</v>
      </c>
      <c r="H136" s="59">
        <v>4</v>
      </c>
      <c r="I136" s="59">
        <v>3</v>
      </c>
      <c r="J136" s="59">
        <v>3</v>
      </c>
      <c r="K136" s="15">
        <v>3</v>
      </c>
      <c r="L136" s="37">
        <f t="shared" si="29"/>
        <v>1.5109000055213746</v>
      </c>
      <c r="M136" s="81"/>
    </row>
    <row r="137" spans="1:13" x14ac:dyDescent="0.2">
      <c r="A137" s="50" t="s">
        <v>91</v>
      </c>
      <c r="B137" s="181" t="s">
        <v>409</v>
      </c>
      <c r="C137" s="10" t="s">
        <v>65</v>
      </c>
      <c r="D137" s="44">
        <f>0.027/100</f>
        <v>2.7E-4</v>
      </c>
      <c r="E137" s="32" t="s">
        <v>402</v>
      </c>
      <c r="F137" s="99" t="s">
        <v>78</v>
      </c>
      <c r="G137" s="57">
        <v>1</v>
      </c>
      <c r="H137" s="57">
        <v>1</v>
      </c>
      <c r="I137" s="57">
        <v>3</v>
      </c>
      <c r="J137" s="57">
        <v>3</v>
      </c>
      <c r="K137" s="11">
        <v>3</v>
      </c>
      <c r="L137" s="63">
        <f t="shared" si="29"/>
        <v>1.1181151966036349</v>
      </c>
    </row>
    <row r="138" spans="1:13" x14ac:dyDescent="0.2">
      <c r="A138" s="50" t="s">
        <v>91</v>
      </c>
      <c r="B138" s="178" t="s">
        <v>398</v>
      </c>
      <c r="C138" s="10" t="s">
        <v>65</v>
      </c>
      <c r="D138" s="293">
        <f>0.0013</f>
        <v>1.2999999999999999E-3</v>
      </c>
      <c r="E138" s="32" t="s">
        <v>428</v>
      </c>
      <c r="F138" s="99" t="s">
        <v>78</v>
      </c>
      <c r="G138" s="57">
        <v>2</v>
      </c>
      <c r="H138" s="57">
        <v>2</v>
      </c>
      <c r="I138" s="57">
        <v>3</v>
      </c>
      <c r="J138" s="57">
        <v>2</v>
      </c>
      <c r="K138" s="11">
        <v>2</v>
      </c>
      <c r="L138" s="63">
        <f t="shared" si="29"/>
        <v>0.51126068492676302</v>
      </c>
    </row>
    <row r="139" spans="1:13" x14ac:dyDescent="0.2">
      <c r="A139" s="50" t="s">
        <v>91</v>
      </c>
      <c r="B139" s="178" t="s">
        <v>398</v>
      </c>
      <c r="C139" s="10" t="s">
        <v>65</v>
      </c>
      <c r="D139" s="293">
        <f>0.0147</f>
        <v>1.47E-2</v>
      </c>
      <c r="E139" s="32" t="s">
        <v>427</v>
      </c>
      <c r="F139" s="99" t="s">
        <v>78</v>
      </c>
      <c r="G139" s="57">
        <v>2</v>
      </c>
      <c r="H139" s="57">
        <v>2</v>
      </c>
      <c r="I139" s="57">
        <v>3</v>
      </c>
      <c r="J139" s="57">
        <v>2</v>
      </c>
      <c r="K139" s="11">
        <v>2</v>
      </c>
      <c r="L139" s="63">
        <f t="shared" si="29"/>
        <v>0.51126068492676302</v>
      </c>
    </row>
    <row r="140" spans="1:13" s="72" customFormat="1" x14ac:dyDescent="0.2">
      <c r="A140" s="49" t="s">
        <v>112</v>
      </c>
      <c r="B140" s="196" t="s">
        <v>409</v>
      </c>
      <c r="C140" s="13" t="s">
        <v>65</v>
      </c>
      <c r="D140" s="45">
        <v>0</v>
      </c>
      <c r="E140" s="46" t="s">
        <v>71</v>
      </c>
      <c r="F140" s="101" t="s">
        <v>78</v>
      </c>
      <c r="G140" s="61"/>
      <c r="H140" s="61"/>
      <c r="I140" s="61"/>
      <c r="J140" s="61"/>
      <c r="K140" s="30"/>
      <c r="L140" s="62" t="str">
        <f t="shared" si="29"/>
        <v/>
      </c>
      <c r="M140" s="82"/>
    </row>
    <row r="141" spans="1:13" s="73" customFormat="1" x14ac:dyDescent="0.2">
      <c r="A141" s="51" t="s">
        <v>112</v>
      </c>
      <c r="B141" s="170" t="s">
        <v>395</v>
      </c>
      <c r="C141" s="86" t="s">
        <v>65</v>
      </c>
      <c r="D141" s="283">
        <v>0</v>
      </c>
      <c r="E141" s="33" t="s">
        <v>402</v>
      </c>
      <c r="F141" s="102" t="s">
        <v>78</v>
      </c>
      <c r="G141" s="75"/>
      <c r="H141" s="75"/>
      <c r="I141" s="75"/>
      <c r="J141" s="75"/>
      <c r="K141" s="29"/>
      <c r="L141" s="76" t="str">
        <f t="shared" si="29"/>
        <v/>
      </c>
      <c r="M141" s="81" t="s">
        <v>426</v>
      </c>
    </row>
    <row r="142" spans="1:13" s="73" customFormat="1" x14ac:dyDescent="0.2">
      <c r="A142" s="51" t="s">
        <v>113</v>
      </c>
      <c r="B142" s="205" t="s">
        <v>409</v>
      </c>
      <c r="C142" s="86" t="s">
        <v>65</v>
      </c>
      <c r="D142" s="43">
        <f>0.027/100</f>
        <v>2.7E-4</v>
      </c>
      <c r="E142" s="33" t="s">
        <v>402</v>
      </c>
      <c r="F142" s="102" t="s">
        <v>78</v>
      </c>
      <c r="G142" s="59">
        <v>1</v>
      </c>
      <c r="H142" s="59">
        <v>1</v>
      </c>
      <c r="I142" s="59">
        <v>3</v>
      </c>
      <c r="J142" s="59">
        <v>3</v>
      </c>
      <c r="K142" s="15">
        <v>3</v>
      </c>
      <c r="L142" s="37">
        <f t="shared" si="29"/>
        <v>1.1181151966036349</v>
      </c>
      <c r="M142" s="81"/>
    </row>
    <row r="143" spans="1:13" s="72" customFormat="1" x14ac:dyDescent="0.2">
      <c r="A143" s="49" t="s">
        <v>17</v>
      </c>
      <c r="B143" s="295" t="s">
        <v>409</v>
      </c>
      <c r="C143" s="38" t="s">
        <v>65</v>
      </c>
      <c r="D143" s="45">
        <v>2.7E-4</v>
      </c>
      <c r="E143" s="46" t="s">
        <v>402</v>
      </c>
      <c r="F143" s="101" t="s">
        <v>78</v>
      </c>
      <c r="G143" s="58">
        <v>1</v>
      </c>
      <c r="H143" s="58">
        <v>1</v>
      </c>
      <c r="I143" s="58">
        <v>3</v>
      </c>
      <c r="J143" s="58">
        <v>3</v>
      </c>
      <c r="K143" s="14">
        <v>3</v>
      </c>
      <c r="L143" s="98">
        <f t="shared" si="29"/>
        <v>1.1181151966036349</v>
      </c>
      <c r="M143" s="82"/>
    </row>
    <row r="144" spans="1:13" x14ac:dyDescent="0.2">
      <c r="A144" s="50" t="s">
        <v>17</v>
      </c>
      <c r="B144" s="172" t="s">
        <v>343</v>
      </c>
      <c r="C144" s="42" t="s">
        <v>65</v>
      </c>
      <c r="D144" s="9">
        <v>0</v>
      </c>
      <c r="E144" s="32" t="s">
        <v>786</v>
      </c>
      <c r="F144" s="99" t="s">
        <v>78</v>
      </c>
      <c r="G144" s="74"/>
      <c r="H144" s="74"/>
      <c r="I144" s="74"/>
      <c r="J144" s="74"/>
      <c r="K144" s="85"/>
      <c r="L144" s="60" t="str">
        <f t="shared" si="29"/>
        <v/>
      </c>
    </row>
    <row r="145" spans="1:13" x14ac:dyDescent="0.2">
      <c r="A145" s="50" t="s">
        <v>17</v>
      </c>
      <c r="B145" s="178" t="s">
        <v>343</v>
      </c>
      <c r="C145" s="10" t="s">
        <v>65</v>
      </c>
      <c r="D145" s="44">
        <v>5.8999999999999997E-2</v>
      </c>
      <c r="E145" s="32" t="s">
        <v>739</v>
      </c>
      <c r="F145" s="99" t="s">
        <v>78</v>
      </c>
      <c r="G145" s="57">
        <v>1</v>
      </c>
      <c r="H145" s="57">
        <v>1</v>
      </c>
      <c r="I145" s="57">
        <v>1</v>
      </c>
      <c r="J145" s="57">
        <v>1</v>
      </c>
      <c r="K145" s="11">
        <v>3</v>
      </c>
      <c r="L145" s="63">
        <f t="shared" si="29"/>
        <v>1.0141150152164344</v>
      </c>
    </row>
    <row r="146" spans="1:13" x14ac:dyDescent="0.2">
      <c r="A146" s="50" t="s">
        <v>17</v>
      </c>
      <c r="B146" s="181" t="s">
        <v>745</v>
      </c>
      <c r="C146" s="42" t="s">
        <v>65</v>
      </c>
      <c r="D146" s="282">
        <v>0</v>
      </c>
      <c r="E146" s="32" t="s">
        <v>402</v>
      </c>
      <c r="F146" s="99" t="s">
        <v>78</v>
      </c>
      <c r="G146" s="74"/>
      <c r="H146" s="74"/>
      <c r="I146" s="74"/>
      <c r="J146" s="74"/>
      <c r="K146" s="85"/>
      <c r="L146" s="60" t="str">
        <f t="shared" si="29"/>
        <v/>
      </c>
      <c r="M146" s="80" t="s">
        <v>426</v>
      </c>
    </row>
    <row r="147" spans="1:13" s="73" customFormat="1" x14ac:dyDescent="0.2">
      <c r="A147" s="51" t="s">
        <v>17</v>
      </c>
      <c r="B147" s="195" t="s">
        <v>746</v>
      </c>
      <c r="C147" s="86" t="s">
        <v>65</v>
      </c>
      <c r="D147" s="283">
        <v>0</v>
      </c>
      <c r="E147" s="33" t="s">
        <v>402</v>
      </c>
      <c r="F147" s="102" t="s">
        <v>78</v>
      </c>
      <c r="G147" s="75"/>
      <c r="H147" s="75"/>
      <c r="I147" s="75"/>
      <c r="J147" s="75"/>
      <c r="K147" s="29"/>
      <c r="L147" s="76" t="str">
        <f t="shared" si="29"/>
        <v/>
      </c>
      <c r="M147" s="81" t="s">
        <v>426</v>
      </c>
    </row>
    <row r="148" spans="1:13" s="72" customFormat="1" x14ac:dyDescent="0.2">
      <c r="A148" s="49" t="s">
        <v>18</v>
      </c>
      <c r="B148" s="196" t="s">
        <v>409</v>
      </c>
      <c r="C148" s="38" t="s">
        <v>65</v>
      </c>
      <c r="D148" s="45">
        <v>2.7E-4</v>
      </c>
      <c r="E148" s="46" t="s">
        <v>402</v>
      </c>
      <c r="F148" s="101" t="s">
        <v>78</v>
      </c>
      <c r="G148" s="58">
        <v>1</v>
      </c>
      <c r="H148" s="58">
        <v>1</v>
      </c>
      <c r="I148" s="58">
        <v>3</v>
      </c>
      <c r="J148" s="58">
        <v>3</v>
      </c>
      <c r="K148" s="14">
        <v>3</v>
      </c>
      <c r="L148" s="98">
        <f t="shared" si="29"/>
        <v>1.1181151966036349</v>
      </c>
      <c r="M148" s="82"/>
    </row>
    <row r="149" spans="1:13" x14ac:dyDescent="0.2">
      <c r="A149" s="50" t="s">
        <v>18</v>
      </c>
      <c r="B149" s="178" t="s">
        <v>343</v>
      </c>
      <c r="C149" s="10" t="s">
        <v>65</v>
      </c>
      <c r="D149" s="9">
        <v>0</v>
      </c>
      <c r="E149" s="32" t="s">
        <v>786</v>
      </c>
      <c r="F149" s="99" t="s">
        <v>78</v>
      </c>
      <c r="G149" s="74"/>
      <c r="H149" s="74"/>
      <c r="I149" s="74"/>
      <c r="J149" s="74"/>
      <c r="K149" s="85"/>
      <c r="L149" s="60" t="str">
        <f t="shared" si="29"/>
        <v/>
      </c>
    </row>
    <row r="150" spans="1:13" x14ac:dyDescent="0.2">
      <c r="A150" s="50" t="s">
        <v>18</v>
      </c>
      <c r="B150" s="178" t="s">
        <v>343</v>
      </c>
      <c r="C150" s="10" t="s">
        <v>65</v>
      </c>
      <c r="D150" s="44">
        <v>1.6E-2</v>
      </c>
      <c r="E150" s="32" t="s">
        <v>739</v>
      </c>
      <c r="F150" s="99" t="s">
        <v>78</v>
      </c>
      <c r="G150" s="57">
        <v>1</v>
      </c>
      <c r="H150" s="57">
        <v>1</v>
      </c>
      <c r="I150" s="57">
        <v>1</v>
      </c>
      <c r="J150" s="57">
        <v>1</v>
      </c>
      <c r="K150" s="11">
        <v>3</v>
      </c>
      <c r="L150" s="63">
        <f t="shared" si="29"/>
        <v>1.0141150152164344</v>
      </c>
    </row>
    <row r="151" spans="1:13" x14ac:dyDescent="0.2">
      <c r="A151" s="50" t="s">
        <v>18</v>
      </c>
      <c r="B151" s="181" t="s">
        <v>745</v>
      </c>
      <c r="C151" s="42" t="s">
        <v>65</v>
      </c>
      <c r="D151" s="282">
        <v>0</v>
      </c>
      <c r="E151" s="32" t="s">
        <v>402</v>
      </c>
      <c r="F151" s="99" t="s">
        <v>78</v>
      </c>
      <c r="G151" s="74"/>
      <c r="H151" s="74"/>
      <c r="I151" s="74"/>
      <c r="J151" s="74"/>
      <c r="K151" s="85"/>
      <c r="L151" s="60" t="str">
        <f t="shared" si="29"/>
        <v/>
      </c>
      <c r="M151" s="80" t="s">
        <v>426</v>
      </c>
    </row>
    <row r="152" spans="1:13" x14ac:dyDescent="0.2">
      <c r="A152" s="50" t="s">
        <v>18</v>
      </c>
      <c r="B152" s="181" t="s">
        <v>746</v>
      </c>
      <c r="C152" s="42" t="s">
        <v>65</v>
      </c>
      <c r="D152" s="282">
        <v>0</v>
      </c>
      <c r="E152" s="32" t="s">
        <v>402</v>
      </c>
      <c r="F152" s="99" t="s">
        <v>78</v>
      </c>
      <c r="G152" s="74"/>
      <c r="H152" s="74"/>
      <c r="I152" s="74"/>
      <c r="J152" s="74"/>
      <c r="K152" s="85"/>
      <c r="L152" s="60" t="str">
        <f t="shared" si="29"/>
        <v/>
      </c>
      <c r="M152" s="80" t="s">
        <v>426</v>
      </c>
    </row>
    <row r="153" spans="1:13" s="72" customFormat="1" x14ac:dyDescent="0.2">
      <c r="A153" s="49" t="s">
        <v>31</v>
      </c>
      <c r="B153" s="196" t="s">
        <v>409</v>
      </c>
      <c r="C153" s="38" t="s">
        <v>65</v>
      </c>
      <c r="D153" s="45">
        <v>2.7E-4</v>
      </c>
      <c r="E153" s="46" t="s">
        <v>402</v>
      </c>
      <c r="F153" s="101" t="s">
        <v>78</v>
      </c>
      <c r="G153" s="58">
        <v>1</v>
      </c>
      <c r="H153" s="58">
        <v>1</v>
      </c>
      <c r="I153" s="58">
        <v>3</v>
      </c>
      <c r="J153" s="58">
        <v>3</v>
      </c>
      <c r="K153" s="14">
        <v>3</v>
      </c>
      <c r="L153" s="98">
        <f t="shared" si="29"/>
        <v>1.1181151966036349</v>
      </c>
      <c r="M153" s="82"/>
    </row>
    <row r="154" spans="1:13" x14ac:dyDescent="0.2">
      <c r="A154" s="50" t="s">
        <v>31</v>
      </c>
      <c r="B154" s="178" t="s">
        <v>323</v>
      </c>
      <c r="C154" s="10" t="s">
        <v>65</v>
      </c>
      <c r="D154" s="44">
        <v>0.02</v>
      </c>
      <c r="E154" s="32" t="s">
        <v>71</v>
      </c>
      <c r="F154" s="99" t="s">
        <v>78</v>
      </c>
      <c r="G154" s="57">
        <v>1</v>
      </c>
      <c r="H154" s="57">
        <v>1</v>
      </c>
      <c r="I154" s="57">
        <v>1</v>
      </c>
      <c r="J154" s="57">
        <v>1</v>
      </c>
      <c r="K154" s="11">
        <v>3</v>
      </c>
      <c r="L154" s="63">
        <f t="shared" si="29"/>
        <v>1.0141150152164344</v>
      </c>
      <c r="M154" s="80" t="s">
        <v>425</v>
      </c>
    </row>
    <row r="155" spans="1:13" x14ac:dyDescent="0.2">
      <c r="A155" s="50" t="s">
        <v>31</v>
      </c>
      <c r="B155" s="178" t="s">
        <v>343</v>
      </c>
      <c r="C155" s="10" t="s">
        <v>65</v>
      </c>
      <c r="D155" s="9">
        <v>0</v>
      </c>
      <c r="E155" s="32" t="s">
        <v>786</v>
      </c>
      <c r="F155" s="99" t="s">
        <v>78</v>
      </c>
      <c r="G155" s="74"/>
      <c r="H155" s="74"/>
      <c r="I155" s="74"/>
      <c r="J155" s="74"/>
      <c r="K155" s="85"/>
      <c r="L155" s="60" t="str">
        <f t="shared" si="29"/>
        <v/>
      </c>
    </row>
    <row r="156" spans="1:13" x14ac:dyDescent="0.2">
      <c r="A156" s="50" t="s">
        <v>31</v>
      </c>
      <c r="B156" s="178" t="s">
        <v>343</v>
      </c>
      <c r="C156" s="10" t="s">
        <v>65</v>
      </c>
      <c r="D156" s="44">
        <v>3.6999999999999998E-2</v>
      </c>
      <c r="E156" s="32" t="s">
        <v>739</v>
      </c>
      <c r="F156" s="99" t="s">
        <v>78</v>
      </c>
      <c r="G156" s="57">
        <v>1</v>
      </c>
      <c r="H156" s="57">
        <v>1</v>
      </c>
      <c r="I156" s="57">
        <v>1</v>
      </c>
      <c r="J156" s="57">
        <v>1</v>
      </c>
      <c r="K156" s="11">
        <v>3</v>
      </c>
      <c r="L156" s="63">
        <f t="shared" si="29"/>
        <v>1.0141150152164344</v>
      </c>
    </row>
    <row r="157" spans="1:13" x14ac:dyDescent="0.2">
      <c r="A157" s="50" t="s">
        <v>31</v>
      </c>
      <c r="B157" s="181" t="s">
        <v>745</v>
      </c>
      <c r="C157" s="42" t="s">
        <v>65</v>
      </c>
      <c r="D157" s="282">
        <v>0</v>
      </c>
      <c r="E157" s="32" t="s">
        <v>402</v>
      </c>
      <c r="F157" s="99" t="s">
        <v>78</v>
      </c>
      <c r="G157" s="74"/>
      <c r="H157" s="74"/>
      <c r="I157" s="74"/>
      <c r="J157" s="74"/>
      <c r="K157" s="85"/>
      <c r="L157" s="60" t="str">
        <f t="shared" si="29"/>
        <v/>
      </c>
      <c r="M157" s="80" t="s">
        <v>426</v>
      </c>
    </row>
    <row r="158" spans="1:13" x14ac:dyDescent="0.2">
      <c r="A158" s="50" t="s">
        <v>31</v>
      </c>
      <c r="B158" s="181" t="s">
        <v>746</v>
      </c>
      <c r="C158" s="42" t="s">
        <v>65</v>
      </c>
      <c r="D158" s="282">
        <v>0</v>
      </c>
      <c r="E158" s="32" t="s">
        <v>402</v>
      </c>
      <c r="F158" s="99" t="s">
        <v>78</v>
      </c>
      <c r="G158" s="74"/>
      <c r="H158" s="74"/>
      <c r="I158" s="74"/>
      <c r="J158" s="74"/>
      <c r="K158" s="85"/>
      <c r="L158" s="60" t="str">
        <f t="shared" si="29"/>
        <v/>
      </c>
      <c r="M158" s="80" t="s">
        <v>426</v>
      </c>
    </row>
    <row r="159" spans="1:13" s="72" customFormat="1" x14ac:dyDescent="0.2">
      <c r="A159" s="49" t="s">
        <v>32</v>
      </c>
      <c r="B159" s="196" t="s">
        <v>409</v>
      </c>
      <c r="C159" s="38" t="s">
        <v>65</v>
      </c>
      <c r="D159" s="45">
        <v>2.7E-4</v>
      </c>
      <c r="E159" s="46" t="s">
        <v>402</v>
      </c>
      <c r="F159" s="101" t="s">
        <v>78</v>
      </c>
      <c r="G159" s="58">
        <v>1</v>
      </c>
      <c r="H159" s="58">
        <v>1</v>
      </c>
      <c r="I159" s="58">
        <v>3</v>
      </c>
      <c r="J159" s="58">
        <v>3</v>
      </c>
      <c r="K159" s="14">
        <v>3</v>
      </c>
      <c r="L159" s="98">
        <f t="shared" si="29"/>
        <v>1.1181151966036349</v>
      </c>
      <c r="M159" s="82"/>
    </row>
    <row r="160" spans="1:13" x14ac:dyDescent="0.2">
      <c r="A160" s="50" t="s">
        <v>32</v>
      </c>
      <c r="B160" s="178" t="s">
        <v>323</v>
      </c>
      <c r="C160" s="10" t="s">
        <v>65</v>
      </c>
      <c r="D160" s="44">
        <v>1E-3</v>
      </c>
      <c r="E160" s="32" t="s">
        <v>71</v>
      </c>
      <c r="F160" s="99" t="s">
        <v>78</v>
      </c>
      <c r="G160" s="57">
        <v>1</v>
      </c>
      <c r="H160" s="57">
        <v>1</v>
      </c>
      <c r="I160" s="57">
        <v>1</v>
      </c>
      <c r="J160" s="57">
        <v>1</v>
      </c>
      <c r="K160" s="11">
        <v>3</v>
      </c>
      <c r="L160" s="63">
        <f t="shared" si="29"/>
        <v>1.0141150152164344</v>
      </c>
    </row>
    <row r="161" spans="1:13" x14ac:dyDescent="0.2">
      <c r="A161" s="50" t="s">
        <v>32</v>
      </c>
      <c r="B161" s="178" t="s">
        <v>343</v>
      </c>
      <c r="C161" s="10" t="s">
        <v>65</v>
      </c>
      <c r="D161" s="9">
        <v>0</v>
      </c>
      <c r="E161" s="32" t="s">
        <v>786</v>
      </c>
      <c r="F161" s="99" t="s">
        <v>78</v>
      </c>
      <c r="G161" s="74"/>
      <c r="H161" s="74"/>
      <c r="I161" s="74"/>
      <c r="J161" s="74"/>
      <c r="K161" s="85"/>
      <c r="L161" s="60" t="str">
        <f t="shared" si="29"/>
        <v/>
      </c>
    </row>
    <row r="162" spans="1:13" x14ac:dyDescent="0.2">
      <c r="A162" s="50" t="s">
        <v>32</v>
      </c>
      <c r="B162" s="178" t="s">
        <v>343</v>
      </c>
      <c r="C162" s="10" t="s">
        <v>65</v>
      </c>
      <c r="D162" s="44">
        <v>3.7999999999999999E-2</v>
      </c>
      <c r="E162" s="32" t="s">
        <v>739</v>
      </c>
      <c r="F162" s="99" t="s">
        <v>78</v>
      </c>
      <c r="G162" s="57">
        <v>1</v>
      </c>
      <c r="H162" s="57">
        <v>1</v>
      </c>
      <c r="I162" s="57">
        <v>1</v>
      </c>
      <c r="J162" s="57">
        <v>1</v>
      </c>
      <c r="K162" s="11">
        <v>3</v>
      </c>
      <c r="L162" s="63">
        <f t="shared" si="29"/>
        <v>1.0141150152164344</v>
      </c>
    </row>
    <row r="163" spans="1:13" x14ac:dyDescent="0.2">
      <c r="A163" s="50" t="s">
        <v>32</v>
      </c>
      <c r="B163" s="181" t="s">
        <v>745</v>
      </c>
      <c r="C163" s="42" t="s">
        <v>65</v>
      </c>
      <c r="D163" s="282">
        <v>0</v>
      </c>
      <c r="E163" s="32" t="s">
        <v>402</v>
      </c>
      <c r="F163" s="99" t="s">
        <v>78</v>
      </c>
      <c r="G163" s="74"/>
      <c r="H163" s="74"/>
      <c r="I163" s="74"/>
      <c r="J163" s="74"/>
      <c r="K163" s="85"/>
      <c r="L163" s="60" t="str">
        <f t="shared" si="29"/>
        <v/>
      </c>
      <c r="M163" s="80" t="s">
        <v>426</v>
      </c>
    </row>
    <row r="164" spans="1:13" x14ac:dyDescent="0.2">
      <c r="A164" s="50" t="s">
        <v>32</v>
      </c>
      <c r="B164" s="181" t="s">
        <v>746</v>
      </c>
      <c r="C164" s="42" t="s">
        <v>65</v>
      </c>
      <c r="D164" s="282">
        <v>0</v>
      </c>
      <c r="E164" s="32" t="s">
        <v>402</v>
      </c>
      <c r="F164" s="99" t="s">
        <v>78</v>
      </c>
      <c r="G164" s="74"/>
      <c r="H164" s="74"/>
      <c r="I164" s="74"/>
      <c r="J164" s="74"/>
      <c r="K164" s="85"/>
      <c r="L164" s="60" t="str">
        <f t="shared" si="29"/>
        <v/>
      </c>
      <c r="M164" s="80" t="s">
        <v>426</v>
      </c>
    </row>
    <row r="165" spans="1:13" s="72" customFormat="1" x14ac:dyDescent="0.2">
      <c r="A165" s="49" t="s">
        <v>33</v>
      </c>
      <c r="B165" s="196" t="s">
        <v>409</v>
      </c>
      <c r="C165" s="38" t="s">
        <v>65</v>
      </c>
      <c r="D165" s="45">
        <v>2.7E-4</v>
      </c>
      <c r="E165" s="46" t="s">
        <v>402</v>
      </c>
      <c r="F165" s="101" t="s">
        <v>78</v>
      </c>
      <c r="G165" s="58">
        <v>1</v>
      </c>
      <c r="H165" s="58">
        <v>1</v>
      </c>
      <c r="I165" s="58">
        <v>3</v>
      </c>
      <c r="J165" s="58">
        <v>3</v>
      </c>
      <c r="K165" s="14">
        <v>3</v>
      </c>
      <c r="L165" s="98">
        <f t="shared" si="29"/>
        <v>1.1181151966036349</v>
      </c>
      <c r="M165" s="82"/>
    </row>
    <row r="166" spans="1:13" x14ac:dyDescent="0.2">
      <c r="A166" s="50" t="s">
        <v>33</v>
      </c>
      <c r="B166" s="178" t="s">
        <v>323</v>
      </c>
      <c r="C166" s="10" t="s">
        <v>65</v>
      </c>
      <c r="D166" s="44">
        <v>1E-3</v>
      </c>
      <c r="E166" s="32" t="s">
        <v>71</v>
      </c>
      <c r="F166" s="99" t="s">
        <v>78</v>
      </c>
      <c r="G166" s="57">
        <v>1</v>
      </c>
      <c r="H166" s="57">
        <v>1</v>
      </c>
      <c r="I166" s="57">
        <v>1</v>
      </c>
      <c r="J166" s="57">
        <v>1</v>
      </c>
      <c r="K166" s="11">
        <v>3</v>
      </c>
      <c r="L166" s="63">
        <f t="shared" si="29"/>
        <v>1.0141150152164344</v>
      </c>
    </row>
    <row r="167" spans="1:13" x14ac:dyDescent="0.2">
      <c r="A167" s="50" t="s">
        <v>33</v>
      </c>
      <c r="B167" s="178" t="s">
        <v>343</v>
      </c>
      <c r="C167" s="10" t="s">
        <v>65</v>
      </c>
      <c r="D167" s="9">
        <v>0</v>
      </c>
      <c r="E167" s="32" t="s">
        <v>786</v>
      </c>
      <c r="F167" s="99" t="s">
        <v>78</v>
      </c>
      <c r="G167" s="74"/>
      <c r="H167" s="74"/>
      <c r="I167" s="74"/>
      <c r="J167" s="74"/>
      <c r="K167" s="85"/>
      <c r="L167" s="60" t="str">
        <f t="shared" si="29"/>
        <v/>
      </c>
    </row>
    <row r="168" spans="1:13" x14ac:dyDescent="0.2">
      <c r="A168" s="50" t="s">
        <v>33</v>
      </c>
      <c r="B168" s="178" t="s">
        <v>343</v>
      </c>
      <c r="C168" s="10" t="s">
        <v>65</v>
      </c>
      <c r="D168" s="44">
        <v>3.7999999999999999E-2</v>
      </c>
      <c r="E168" s="32" t="s">
        <v>739</v>
      </c>
      <c r="F168" s="99" t="s">
        <v>78</v>
      </c>
      <c r="G168" s="57">
        <v>1</v>
      </c>
      <c r="H168" s="57">
        <v>1</v>
      </c>
      <c r="I168" s="57">
        <v>1</v>
      </c>
      <c r="J168" s="57">
        <v>1</v>
      </c>
      <c r="K168" s="11">
        <v>3</v>
      </c>
      <c r="L168" s="63">
        <f t="shared" si="29"/>
        <v>1.0141150152164344</v>
      </c>
    </row>
    <row r="169" spans="1:13" x14ac:dyDescent="0.2">
      <c r="A169" s="50" t="s">
        <v>33</v>
      </c>
      <c r="B169" s="181" t="s">
        <v>745</v>
      </c>
      <c r="C169" s="42" t="s">
        <v>65</v>
      </c>
      <c r="D169" s="282">
        <v>0</v>
      </c>
      <c r="E169" s="32" t="s">
        <v>402</v>
      </c>
      <c r="F169" s="99" t="s">
        <v>78</v>
      </c>
      <c r="G169" s="74"/>
      <c r="H169" s="74"/>
      <c r="I169" s="74"/>
      <c r="J169" s="74"/>
      <c r="K169" s="85"/>
      <c r="L169" s="60" t="str">
        <f t="shared" si="29"/>
        <v/>
      </c>
      <c r="M169" s="80" t="s">
        <v>426</v>
      </c>
    </row>
    <row r="170" spans="1:13" x14ac:dyDescent="0.2">
      <c r="A170" s="50" t="s">
        <v>33</v>
      </c>
      <c r="B170" s="181" t="s">
        <v>746</v>
      </c>
      <c r="C170" s="42" t="s">
        <v>65</v>
      </c>
      <c r="D170" s="282">
        <v>0</v>
      </c>
      <c r="E170" s="32" t="s">
        <v>402</v>
      </c>
      <c r="F170" s="99" t="s">
        <v>78</v>
      </c>
      <c r="G170" s="74"/>
      <c r="H170" s="74"/>
      <c r="I170" s="74"/>
      <c r="J170" s="74"/>
      <c r="K170" s="85"/>
      <c r="L170" s="60" t="str">
        <f t="shared" si="29"/>
        <v/>
      </c>
      <c r="M170" s="80" t="s">
        <v>426</v>
      </c>
    </row>
    <row r="171" spans="1:13" s="72" customFormat="1" x14ac:dyDescent="0.2">
      <c r="A171" s="49" t="s">
        <v>88</v>
      </c>
      <c r="B171" s="196" t="s">
        <v>409</v>
      </c>
      <c r="C171" s="38" t="s">
        <v>65</v>
      </c>
      <c r="D171" s="45">
        <v>2.7E-4</v>
      </c>
      <c r="E171" s="46" t="s">
        <v>402</v>
      </c>
      <c r="F171" s="101" t="s">
        <v>78</v>
      </c>
      <c r="G171" s="58">
        <v>1</v>
      </c>
      <c r="H171" s="58">
        <v>1</v>
      </c>
      <c r="I171" s="58">
        <v>3</v>
      </c>
      <c r="J171" s="58">
        <v>3</v>
      </c>
      <c r="K171" s="14">
        <v>3</v>
      </c>
      <c r="L171" s="98">
        <f t="shared" si="29"/>
        <v>1.1181151966036349</v>
      </c>
      <c r="M171" s="82"/>
    </row>
    <row r="172" spans="1:13" x14ac:dyDescent="0.2">
      <c r="A172" s="50" t="s">
        <v>88</v>
      </c>
      <c r="B172" s="178" t="s">
        <v>323</v>
      </c>
      <c r="C172" s="10" t="s">
        <v>65</v>
      </c>
      <c r="D172" s="44">
        <v>0</v>
      </c>
      <c r="E172" s="32" t="s">
        <v>786</v>
      </c>
      <c r="F172" s="99"/>
      <c r="G172" s="57">
        <v>1</v>
      </c>
      <c r="H172" s="57">
        <v>1</v>
      </c>
      <c r="I172" s="57">
        <v>1</v>
      </c>
      <c r="J172" s="57">
        <v>1</v>
      </c>
      <c r="K172" s="11">
        <v>3</v>
      </c>
      <c r="L172" s="63">
        <f t="shared" si="29"/>
        <v>1.0141150152164344</v>
      </c>
    </row>
    <row r="173" spans="1:13" x14ac:dyDescent="0.2">
      <c r="A173" s="50" t="s">
        <v>88</v>
      </c>
      <c r="B173" s="178" t="s">
        <v>323</v>
      </c>
      <c r="C173" s="10" t="s">
        <v>65</v>
      </c>
      <c r="D173" s="44">
        <v>1.2999999999999999E-2</v>
      </c>
      <c r="E173" s="32" t="s">
        <v>423</v>
      </c>
      <c r="F173" s="99" t="s">
        <v>78</v>
      </c>
      <c r="G173" s="57">
        <v>2</v>
      </c>
      <c r="H173" s="57">
        <v>4</v>
      </c>
      <c r="I173" s="57">
        <v>3</v>
      </c>
      <c r="J173" s="57">
        <v>3</v>
      </c>
      <c r="K173" s="11">
        <v>3</v>
      </c>
      <c r="L173" s="63">
        <f t="shared" si="29"/>
        <v>1.5109000055213746</v>
      </c>
    </row>
    <row r="174" spans="1:13" x14ac:dyDescent="0.2">
      <c r="A174" s="50" t="s">
        <v>88</v>
      </c>
      <c r="B174" s="178" t="s">
        <v>343</v>
      </c>
      <c r="C174" s="10" t="s">
        <v>65</v>
      </c>
      <c r="D174" s="9">
        <v>0</v>
      </c>
      <c r="E174" s="32" t="s">
        <v>786</v>
      </c>
      <c r="F174" s="99" t="s">
        <v>78</v>
      </c>
      <c r="G174" s="74"/>
      <c r="H174" s="74"/>
      <c r="I174" s="74"/>
      <c r="J174" s="74"/>
      <c r="K174" s="85"/>
      <c r="L174" s="60" t="str">
        <f t="shared" si="29"/>
        <v/>
      </c>
    </row>
    <row r="175" spans="1:13" x14ac:dyDescent="0.2">
      <c r="A175" s="50" t="s">
        <v>88</v>
      </c>
      <c r="B175" s="178" t="s">
        <v>343</v>
      </c>
      <c r="C175" s="10" t="s">
        <v>65</v>
      </c>
      <c r="D175" s="44">
        <v>8.5000000000000006E-2</v>
      </c>
      <c r="E175" s="32" t="s">
        <v>739</v>
      </c>
      <c r="F175" s="99" t="s">
        <v>78</v>
      </c>
      <c r="G175" s="57">
        <v>1</v>
      </c>
      <c r="H175" s="57">
        <v>1</v>
      </c>
      <c r="I175" s="57">
        <v>1</v>
      </c>
      <c r="J175" s="57">
        <v>1</v>
      </c>
      <c r="K175" s="11">
        <v>3</v>
      </c>
      <c r="L175" s="63">
        <f t="shared" si="29"/>
        <v>1.0141150152164344</v>
      </c>
    </row>
    <row r="176" spans="1:13" x14ac:dyDescent="0.2">
      <c r="A176" s="50" t="s">
        <v>88</v>
      </c>
      <c r="B176" s="181" t="s">
        <v>745</v>
      </c>
      <c r="C176" s="42" t="s">
        <v>65</v>
      </c>
      <c r="D176" s="282">
        <v>0</v>
      </c>
      <c r="E176" s="32" t="s">
        <v>402</v>
      </c>
      <c r="F176" s="99" t="s">
        <v>78</v>
      </c>
      <c r="G176" s="74"/>
      <c r="H176" s="74"/>
      <c r="I176" s="74"/>
      <c r="J176" s="74"/>
      <c r="K176" s="85"/>
      <c r="L176" s="60" t="str">
        <f t="shared" si="29"/>
        <v/>
      </c>
      <c r="M176" s="80" t="s">
        <v>426</v>
      </c>
    </row>
    <row r="177" spans="1:13" s="73" customFormat="1" x14ac:dyDescent="0.2">
      <c r="A177" s="50" t="s">
        <v>88</v>
      </c>
      <c r="B177" s="195" t="s">
        <v>746</v>
      </c>
      <c r="C177" s="86" t="s">
        <v>65</v>
      </c>
      <c r="D177" s="283">
        <v>0</v>
      </c>
      <c r="E177" s="33" t="s">
        <v>402</v>
      </c>
      <c r="F177" s="102" t="s">
        <v>78</v>
      </c>
      <c r="G177" s="75"/>
      <c r="H177" s="75"/>
      <c r="I177" s="75"/>
      <c r="J177" s="75"/>
      <c r="K177" s="29"/>
      <c r="L177" s="76" t="str">
        <f t="shared" si="29"/>
        <v/>
      </c>
      <c r="M177" s="81" t="s">
        <v>426</v>
      </c>
    </row>
    <row r="178" spans="1:13" s="72" customFormat="1" x14ac:dyDescent="0.2">
      <c r="A178" s="49" t="s">
        <v>34</v>
      </c>
      <c r="B178" s="196" t="s">
        <v>409</v>
      </c>
      <c r="C178" s="13" t="s">
        <v>65</v>
      </c>
      <c r="D178" s="45">
        <f>0.027/100</f>
        <v>2.7E-4</v>
      </c>
      <c r="E178" s="46" t="s">
        <v>402</v>
      </c>
      <c r="F178" s="101" t="s">
        <v>78</v>
      </c>
      <c r="G178" s="58">
        <v>1</v>
      </c>
      <c r="H178" s="58">
        <v>1</v>
      </c>
      <c r="I178" s="58">
        <v>3</v>
      </c>
      <c r="J178" s="58">
        <v>3</v>
      </c>
      <c r="K178" s="14">
        <v>3</v>
      </c>
      <c r="L178" s="98">
        <f t="shared" si="29"/>
        <v>1.1181151966036349</v>
      </c>
      <c r="M178" s="82"/>
    </row>
    <row r="179" spans="1:13" x14ac:dyDescent="0.2">
      <c r="A179" s="50" t="s">
        <v>34</v>
      </c>
      <c r="B179" s="203" t="s">
        <v>332</v>
      </c>
      <c r="C179" s="10" t="s">
        <v>65</v>
      </c>
      <c r="D179" s="44">
        <v>1E-3</v>
      </c>
      <c r="E179" s="32" t="s">
        <v>71</v>
      </c>
      <c r="F179" s="99" t="s">
        <v>78</v>
      </c>
      <c r="G179" s="57">
        <v>1</v>
      </c>
      <c r="H179" s="57">
        <v>1</v>
      </c>
      <c r="I179" s="57">
        <v>1</v>
      </c>
      <c r="J179" s="57">
        <v>1</v>
      </c>
      <c r="K179" s="11">
        <v>3</v>
      </c>
      <c r="L179" s="63">
        <f t="shared" si="29"/>
        <v>1.0141150152164344</v>
      </c>
    </row>
    <row r="180" spans="1:13" x14ac:dyDescent="0.2">
      <c r="A180" s="50" t="s">
        <v>34</v>
      </c>
      <c r="B180" s="181" t="s">
        <v>745</v>
      </c>
      <c r="C180" s="42" t="s">
        <v>65</v>
      </c>
      <c r="D180" s="282">
        <v>0</v>
      </c>
      <c r="E180" s="32" t="s">
        <v>402</v>
      </c>
      <c r="F180" s="99" t="s">
        <v>78</v>
      </c>
      <c r="G180" s="74"/>
      <c r="H180" s="74"/>
      <c r="I180" s="74"/>
      <c r="J180" s="74"/>
      <c r="K180" s="85"/>
      <c r="L180" s="60" t="str">
        <f t="shared" si="29"/>
        <v/>
      </c>
      <c r="M180" s="80" t="s">
        <v>426</v>
      </c>
    </row>
    <row r="181" spans="1:13" s="73" customFormat="1" x14ac:dyDescent="0.2">
      <c r="A181" s="51" t="s">
        <v>34</v>
      </c>
      <c r="B181" s="195" t="s">
        <v>746</v>
      </c>
      <c r="C181" s="86" t="s">
        <v>65</v>
      </c>
      <c r="D181" s="283">
        <v>0</v>
      </c>
      <c r="E181" s="33" t="s">
        <v>402</v>
      </c>
      <c r="F181" s="102" t="s">
        <v>78</v>
      </c>
      <c r="G181" s="75"/>
      <c r="H181" s="75"/>
      <c r="I181" s="75"/>
      <c r="J181" s="75"/>
      <c r="K181" s="29"/>
      <c r="L181" s="76" t="str">
        <f t="shared" si="29"/>
        <v/>
      </c>
      <c r="M181" s="81" t="s">
        <v>426</v>
      </c>
    </row>
    <row r="182" spans="1:13" s="108" customFormat="1" x14ac:dyDescent="0.2">
      <c r="A182" s="269" t="s">
        <v>35</v>
      </c>
      <c r="B182" s="270" t="s">
        <v>409</v>
      </c>
      <c r="C182" s="271" t="s">
        <v>65</v>
      </c>
      <c r="D182" s="272">
        <f>0.027/100</f>
        <v>2.7E-4</v>
      </c>
      <c r="E182" s="273" t="s">
        <v>402</v>
      </c>
      <c r="F182" s="274" t="s">
        <v>78</v>
      </c>
      <c r="G182" s="104">
        <v>1</v>
      </c>
      <c r="H182" s="104">
        <v>1</v>
      </c>
      <c r="I182" s="104">
        <v>3</v>
      </c>
      <c r="J182" s="104">
        <v>3</v>
      </c>
      <c r="K182" s="275">
        <v>3</v>
      </c>
      <c r="L182" s="107">
        <f t="shared" ref="L182:L239" si="30">IF( OR( ISBLANK(G182),ISBLANK(H182), ISBLANK(I182), ISBLANK(J182), ISBLANK(K182) ), "", 1.5*SQRT(   EXP(2.21*(G182-1)) + EXP(2.21*(H182-1)) + EXP(2.21*(I182-1)) + EXP(2.21*(J182-1)) + EXP(2.21*K182)   )/100*2.45 )</f>
        <v>1.1181151966036349</v>
      </c>
      <c r="M182" s="109"/>
    </row>
    <row r="183" spans="1:13" x14ac:dyDescent="0.2">
      <c r="A183" s="50" t="s">
        <v>36</v>
      </c>
      <c r="B183" s="181" t="s">
        <v>409</v>
      </c>
      <c r="C183" s="10" t="s">
        <v>65</v>
      </c>
      <c r="D183" s="44">
        <f>0.027/100</f>
        <v>2.7E-4</v>
      </c>
      <c r="E183" s="32" t="s">
        <v>402</v>
      </c>
      <c r="F183" s="99" t="s">
        <v>78</v>
      </c>
      <c r="G183" s="57">
        <v>1</v>
      </c>
      <c r="H183" s="57">
        <v>1</v>
      </c>
      <c r="I183" s="57">
        <v>3</v>
      </c>
      <c r="J183" s="57">
        <v>3</v>
      </c>
      <c r="K183" s="11">
        <v>3</v>
      </c>
      <c r="L183" s="63">
        <f t="shared" si="30"/>
        <v>1.1181151966036349</v>
      </c>
    </row>
    <row r="184" spans="1:13" x14ac:dyDescent="0.2">
      <c r="A184" s="50" t="s">
        <v>36</v>
      </c>
      <c r="B184" s="178" t="s">
        <v>328</v>
      </c>
      <c r="C184" s="10" t="s">
        <v>65</v>
      </c>
      <c r="D184" s="44">
        <f>0.01/4</f>
        <v>2.5000000000000001E-3</v>
      </c>
      <c r="E184" s="32" t="s">
        <v>71</v>
      </c>
      <c r="F184" s="99" t="s">
        <v>78</v>
      </c>
      <c r="G184" s="57">
        <v>1</v>
      </c>
      <c r="H184" s="57">
        <v>1</v>
      </c>
      <c r="I184" s="57">
        <v>1</v>
      </c>
      <c r="J184" s="57">
        <v>1</v>
      </c>
      <c r="K184" s="11">
        <v>3</v>
      </c>
      <c r="L184" s="63">
        <f t="shared" si="30"/>
        <v>1.0141150152164344</v>
      </c>
    </row>
    <row r="185" spans="1:13" x14ac:dyDescent="0.2">
      <c r="A185" s="50" t="s">
        <v>36</v>
      </c>
      <c r="B185" s="178" t="s">
        <v>326</v>
      </c>
      <c r="C185" s="10" t="s">
        <v>65</v>
      </c>
      <c r="D185" s="44">
        <f t="shared" ref="D185:D187" si="31">0.01/4</f>
        <v>2.5000000000000001E-3</v>
      </c>
      <c r="E185" s="32" t="s">
        <v>71</v>
      </c>
      <c r="F185" s="99" t="s">
        <v>78</v>
      </c>
      <c r="G185" s="57">
        <v>1</v>
      </c>
      <c r="H185" s="57">
        <v>1</v>
      </c>
      <c r="I185" s="57">
        <v>1</v>
      </c>
      <c r="J185" s="57">
        <v>1</v>
      </c>
      <c r="K185" s="11">
        <v>3</v>
      </c>
      <c r="L185" s="63">
        <f t="shared" si="30"/>
        <v>1.0141150152164344</v>
      </c>
    </row>
    <row r="186" spans="1:13" x14ac:dyDescent="0.2">
      <c r="A186" s="50" t="s">
        <v>36</v>
      </c>
      <c r="B186" s="175" t="s">
        <v>301</v>
      </c>
      <c r="C186" s="10" t="s">
        <v>65</v>
      </c>
      <c r="D186" s="44">
        <f t="shared" si="31"/>
        <v>2.5000000000000001E-3</v>
      </c>
      <c r="E186" s="32" t="s">
        <v>71</v>
      </c>
      <c r="F186" s="99" t="s">
        <v>78</v>
      </c>
      <c r="G186" s="57">
        <v>1</v>
      </c>
      <c r="H186" s="57">
        <v>1</v>
      </c>
      <c r="I186" s="57">
        <v>1</v>
      </c>
      <c r="J186" s="57">
        <v>1</v>
      </c>
      <c r="K186" s="11">
        <v>3</v>
      </c>
      <c r="L186" s="63">
        <f t="shared" si="30"/>
        <v>1.0141150152164344</v>
      </c>
    </row>
    <row r="187" spans="1:13" x14ac:dyDescent="0.2">
      <c r="A187" s="50" t="s">
        <v>36</v>
      </c>
      <c r="B187" s="175" t="s">
        <v>392</v>
      </c>
      <c r="C187" s="10" t="s">
        <v>65</v>
      </c>
      <c r="D187" s="44">
        <f t="shared" si="31"/>
        <v>2.5000000000000001E-3</v>
      </c>
      <c r="E187" s="32" t="s">
        <v>71</v>
      </c>
      <c r="F187" s="99" t="s">
        <v>78</v>
      </c>
      <c r="G187" s="57">
        <v>1</v>
      </c>
      <c r="H187" s="57">
        <v>1</v>
      </c>
      <c r="I187" s="57">
        <v>1</v>
      </c>
      <c r="J187" s="57">
        <v>1</v>
      </c>
      <c r="K187" s="11">
        <v>3</v>
      </c>
      <c r="L187" s="63">
        <f t="shared" si="30"/>
        <v>1.0141150152164344</v>
      </c>
    </row>
    <row r="188" spans="1:13" s="72" customFormat="1" x14ac:dyDescent="0.2">
      <c r="A188" s="49" t="s">
        <v>713</v>
      </c>
      <c r="B188" s="196" t="s">
        <v>409</v>
      </c>
      <c r="C188" s="13" t="s">
        <v>65</v>
      </c>
      <c r="D188" s="45">
        <v>2.7E-4</v>
      </c>
      <c r="E188" s="46" t="s">
        <v>402</v>
      </c>
      <c r="F188" s="101" t="s">
        <v>78</v>
      </c>
      <c r="G188" s="58">
        <v>1</v>
      </c>
      <c r="H188" s="58">
        <v>1</v>
      </c>
      <c r="I188" s="58">
        <v>3</v>
      </c>
      <c r="J188" s="58">
        <v>3</v>
      </c>
      <c r="K188" s="14">
        <v>3</v>
      </c>
      <c r="L188" s="98">
        <f t="shared" si="30"/>
        <v>1.1181151966036349</v>
      </c>
      <c r="M188" s="82"/>
    </row>
    <row r="189" spans="1:13" x14ac:dyDescent="0.2">
      <c r="A189" s="50" t="s">
        <v>713</v>
      </c>
      <c r="B189" s="178" t="s">
        <v>401</v>
      </c>
      <c r="C189" s="10" t="s">
        <v>65</v>
      </c>
      <c r="D189" s="124">
        <f>(0.66*0.75+0.33*1)*(1-0.1213)</f>
        <v>0.72492749999999995</v>
      </c>
      <c r="E189" s="32" t="s">
        <v>402</v>
      </c>
      <c r="F189" s="99" t="s">
        <v>78</v>
      </c>
      <c r="G189" s="57">
        <v>1</v>
      </c>
      <c r="H189" s="57">
        <v>1</v>
      </c>
      <c r="I189" s="57">
        <v>1</v>
      </c>
      <c r="J189" s="57">
        <v>1</v>
      </c>
      <c r="K189" s="11">
        <v>3</v>
      </c>
      <c r="L189" s="63">
        <f t="shared" si="30"/>
        <v>1.0141150152164344</v>
      </c>
    </row>
    <row r="190" spans="1:13" s="73" customFormat="1" x14ac:dyDescent="0.2">
      <c r="A190" s="51" t="s">
        <v>713</v>
      </c>
      <c r="B190" s="183" t="s">
        <v>353</v>
      </c>
      <c r="C190" s="40" t="s">
        <v>65</v>
      </c>
      <c r="D190" s="125">
        <f>(0.66*0.75+0.33*1)*0.1213</f>
        <v>0.10007249999999999</v>
      </c>
      <c r="E190" s="33" t="s">
        <v>402</v>
      </c>
      <c r="F190" s="102" t="s">
        <v>78</v>
      </c>
      <c r="G190" s="59">
        <v>1</v>
      </c>
      <c r="H190" s="59">
        <v>1</v>
      </c>
      <c r="I190" s="59">
        <v>1</v>
      </c>
      <c r="J190" s="59">
        <v>1</v>
      </c>
      <c r="K190" s="15">
        <v>3</v>
      </c>
      <c r="L190" s="37">
        <f t="shared" si="30"/>
        <v>1.0141150152164344</v>
      </c>
      <c r="M190" s="81"/>
    </row>
    <row r="191" spans="1:13" s="72" customFormat="1" x14ac:dyDescent="0.2">
      <c r="A191" s="49" t="s">
        <v>114</v>
      </c>
      <c r="B191" s="196" t="s">
        <v>409</v>
      </c>
      <c r="C191" s="13" t="s">
        <v>65</v>
      </c>
      <c r="D191" s="45">
        <f>0.027/100</f>
        <v>2.7E-4</v>
      </c>
      <c r="E191" s="46" t="s">
        <v>402</v>
      </c>
      <c r="F191" s="101" t="s">
        <v>78</v>
      </c>
      <c r="G191" s="58">
        <v>1</v>
      </c>
      <c r="H191" s="58">
        <v>1</v>
      </c>
      <c r="I191" s="58">
        <v>3</v>
      </c>
      <c r="J191" s="58">
        <v>3</v>
      </c>
      <c r="K191" s="14">
        <v>3</v>
      </c>
      <c r="L191" s="98">
        <f t="shared" si="30"/>
        <v>1.1181151966036349</v>
      </c>
      <c r="M191" s="82"/>
    </row>
    <row r="192" spans="1:13" x14ac:dyDescent="0.2">
      <c r="A192" s="50" t="s">
        <v>114</v>
      </c>
      <c r="B192" s="175" t="s">
        <v>301</v>
      </c>
      <c r="C192" s="10" t="s">
        <v>65</v>
      </c>
      <c r="D192" s="282">
        <v>2E-3</v>
      </c>
      <c r="E192" s="32" t="s">
        <v>402</v>
      </c>
      <c r="F192" s="99" t="s">
        <v>78</v>
      </c>
      <c r="G192" s="74"/>
      <c r="H192" s="74"/>
      <c r="I192" s="74"/>
      <c r="J192" s="74"/>
      <c r="K192" s="85"/>
      <c r="L192" s="60" t="str">
        <f t="shared" si="30"/>
        <v/>
      </c>
      <c r="M192" s="80" t="s">
        <v>424</v>
      </c>
    </row>
    <row r="193" spans="1:13" x14ac:dyDescent="0.2">
      <c r="A193" s="50" t="s">
        <v>114</v>
      </c>
      <c r="B193" s="178" t="s">
        <v>321</v>
      </c>
      <c r="C193" s="10" t="s">
        <v>65</v>
      </c>
      <c r="D193" s="282">
        <v>5.0000000000000001E-4</v>
      </c>
      <c r="E193" s="32" t="s">
        <v>402</v>
      </c>
      <c r="F193" s="289" t="s">
        <v>78</v>
      </c>
      <c r="G193" s="74"/>
      <c r="H193" s="74"/>
      <c r="I193" s="74"/>
      <c r="J193" s="74"/>
      <c r="K193" s="85"/>
      <c r="L193" s="60" t="str">
        <f t="shared" si="30"/>
        <v/>
      </c>
      <c r="M193" s="80" t="s">
        <v>424</v>
      </c>
    </row>
    <row r="194" spans="1:13" s="73" customFormat="1" x14ac:dyDescent="0.2">
      <c r="A194" s="51" t="s">
        <v>114</v>
      </c>
      <c r="B194" s="183" t="s">
        <v>332</v>
      </c>
      <c r="C194" s="40" t="s">
        <v>65</v>
      </c>
      <c r="D194" s="283">
        <v>2E-3</v>
      </c>
      <c r="E194" s="33" t="s">
        <v>402</v>
      </c>
      <c r="F194" s="102" t="s">
        <v>78</v>
      </c>
      <c r="G194" s="75"/>
      <c r="H194" s="75"/>
      <c r="I194" s="75"/>
      <c r="J194" s="75"/>
      <c r="K194" s="29"/>
      <c r="L194" s="76" t="str">
        <f t="shared" si="30"/>
        <v/>
      </c>
      <c r="M194" s="81" t="s">
        <v>424</v>
      </c>
    </row>
    <row r="195" spans="1:13" x14ac:dyDescent="0.2">
      <c r="A195" s="50" t="s">
        <v>92</v>
      </c>
      <c r="B195" s="181" t="s">
        <v>409</v>
      </c>
      <c r="C195" s="10" t="s">
        <v>65</v>
      </c>
      <c r="D195" s="44">
        <f>0.027/100</f>
        <v>2.7E-4</v>
      </c>
      <c r="E195" s="32" t="s">
        <v>402</v>
      </c>
      <c r="F195" s="99" t="s">
        <v>78</v>
      </c>
      <c r="G195" s="57">
        <v>1</v>
      </c>
      <c r="H195" s="57">
        <v>1</v>
      </c>
      <c r="I195" s="57">
        <v>3</v>
      </c>
      <c r="J195" s="57">
        <v>3</v>
      </c>
      <c r="K195" s="11">
        <v>3</v>
      </c>
      <c r="L195" s="63">
        <f t="shared" si="30"/>
        <v>1.1181151966036349</v>
      </c>
    </row>
    <row r="196" spans="1:13" x14ac:dyDescent="0.2">
      <c r="A196" s="50" t="s">
        <v>92</v>
      </c>
      <c r="B196" s="175" t="s">
        <v>301</v>
      </c>
      <c r="C196" s="10" t="s">
        <v>65</v>
      </c>
      <c r="D196" s="282">
        <v>2E-3</v>
      </c>
      <c r="E196" s="32" t="s">
        <v>402</v>
      </c>
      <c r="F196" s="99" t="s">
        <v>78</v>
      </c>
      <c r="G196" s="74"/>
      <c r="H196" s="74"/>
      <c r="I196" s="74"/>
      <c r="J196" s="74"/>
      <c r="K196" s="85"/>
      <c r="L196" s="60" t="str">
        <f t="shared" si="30"/>
        <v/>
      </c>
      <c r="M196" s="80" t="s">
        <v>424</v>
      </c>
    </row>
    <row r="197" spans="1:13" x14ac:dyDescent="0.2">
      <c r="A197" s="50" t="s">
        <v>92</v>
      </c>
      <c r="B197" s="178" t="s">
        <v>321</v>
      </c>
      <c r="C197" s="10" t="s">
        <v>65</v>
      </c>
      <c r="D197" s="282">
        <v>5.0000000000000001E-4</v>
      </c>
      <c r="E197" s="32" t="str">
        <f>E193</f>
        <v>See description in SI</v>
      </c>
      <c r="F197" s="99" t="s">
        <v>78</v>
      </c>
      <c r="G197" s="74"/>
      <c r="H197" s="74"/>
      <c r="I197" s="74"/>
      <c r="J197" s="74"/>
      <c r="K197" s="85"/>
      <c r="L197" s="60" t="str">
        <f t="shared" si="30"/>
        <v/>
      </c>
      <c r="M197" s="80" t="s">
        <v>424</v>
      </c>
    </row>
    <row r="198" spans="1:13" s="73" customFormat="1" x14ac:dyDescent="0.2">
      <c r="A198" s="51" t="s">
        <v>92</v>
      </c>
      <c r="B198" s="183" t="s">
        <v>332</v>
      </c>
      <c r="C198" s="40" t="s">
        <v>65</v>
      </c>
      <c r="D198" s="283">
        <v>2E-3</v>
      </c>
      <c r="E198" s="33" t="str">
        <f>E194</f>
        <v>See description in SI</v>
      </c>
      <c r="F198" s="102" t="s">
        <v>78</v>
      </c>
      <c r="G198" s="75"/>
      <c r="H198" s="75"/>
      <c r="I198" s="75"/>
      <c r="J198" s="75"/>
      <c r="K198" s="29"/>
      <c r="L198" s="76" t="str">
        <f t="shared" si="30"/>
        <v/>
      </c>
      <c r="M198" s="81" t="s">
        <v>424</v>
      </c>
    </row>
    <row r="199" spans="1:13" x14ac:dyDescent="0.2">
      <c r="A199" s="50" t="s">
        <v>115</v>
      </c>
      <c r="B199" s="181" t="s">
        <v>409</v>
      </c>
      <c r="C199" s="10" t="s">
        <v>65</v>
      </c>
      <c r="D199" s="44">
        <f>0.027/100</f>
        <v>2.7E-4</v>
      </c>
      <c r="E199" s="33" t="str">
        <f>E195</f>
        <v>See description in SI</v>
      </c>
      <c r="F199" s="99" t="s">
        <v>78</v>
      </c>
      <c r="G199" s="57">
        <v>1</v>
      </c>
      <c r="H199" s="57">
        <v>1</v>
      </c>
      <c r="I199" s="57">
        <v>3</v>
      </c>
      <c r="J199" s="57">
        <v>3</v>
      </c>
      <c r="K199" s="11">
        <v>3</v>
      </c>
      <c r="L199" s="63">
        <f t="shared" si="30"/>
        <v>1.1181151966036349</v>
      </c>
    </row>
    <row r="200" spans="1:13" x14ac:dyDescent="0.2">
      <c r="A200" s="50" t="s">
        <v>115</v>
      </c>
      <c r="B200" s="175" t="s">
        <v>301</v>
      </c>
      <c r="C200" s="10" t="s">
        <v>65</v>
      </c>
      <c r="D200" s="282">
        <v>5.0000000000000001E-4</v>
      </c>
      <c r="E200" s="32" t="s">
        <v>402</v>
      </c>
      <c r="F200" s="99" t="s">
        <v>78</v>
      </c>
      <c r="G200" s="74"/>
      <c r="H200" s="74"/>
      <c r="I200" s="74"/>
      <c r="J200" s="74"/>
      <c r="K200" s="85"/>
      <c r="L200" s="60" t="str">
        <f t="shared" si="30"/>
        <v/>
      </c>
      <c r="M200" s="80" t="s">
        <v>424</v>
      </c>
    </row>
    <row r="201" spans="1:13" x14ac:dyDescent="0.2">
      <c r="A201" s="50" t="s">
        <v>115</v>
      </c>
      <c r="B201" s="178" t="s">
        <v>321</v>
      </c>
      <c r="C201" s="10" t="s">
        <v>65</v>
      </c>
      <c r="D201" s="282">
        <v>8.0000000000000007E-5</v>
      </c>
      <c r="E201" s="32" t="s">
        <v>402</v>
      </c>
      <c r="F201" s="99" t="s">
        <v>78</v>
      </c>
      <c r="G201" s="74"/>
      <c r="H201" s="74"/>
      <c r="I201" s="74"/>
      <c r="J201" s="74"/>
      <c r="K201" s="85"/>
      <c r="L201" s="60" t="str">
        <f t="shared" si="30"/>
        <v/>
      </c>
      <c r="M201" s="80" t="s">
        <v>424</v>
      </c>
    </row>
    <row r="202" spans="1:13" s="73" customFormat="1" x14ac:dyDescent="0.2">
      <c r="A202" s="51" t="s">
        <v>115</v>
      </c>
      <c r="B202" s="183" t="s">
        <v>332</v>
      </c>
      <c r="C202" s="40" t="s">
        <v>65</v>
      </c>
      <c r="D202" s="283">
        <v>2E-3</v>
      </c>
      <c r="E202" s="33" t="s">
        <v>402</v>
      </c>
      <c r="F202" s="102" t="s">
        <v>78</v>
      </c>
      <c r="G202" s="75"/>
      <c r="H202" s="75"/>
      <c r="I202" s="75"/>
      <c r="J202" s="75"/>
      <c r="K202" s="29"/>
      <c r="L202" s="76" t="str">
        <f t="shared" si="30"/>
        <v/>
      </c>
      <c r="M202" s="81" t="s">
        <v>424</v>
      </c>
    </row>
    <row r="203" spans="1:13" x14ac:dyDescent="0.2">
      <c r="A203" s="50" t="s">
        <v>95</v>
      </c>
      <c r="B203" s="181" t="s">
        <v>409</v>
      </c>
      <c r="C203" s="10" t="s">
        <v>65</v>
      </c>
      <c r="D203" s="44">
        <f>0.027/100</f>
        <v>2.7E-4</v>
      </c>
      <c r="E203" s="32" t="s">
        <v>402</v>
      </c>
      <c r="F203" s="99" t="s">
        <v>78</v>
      </c>
      <c r="G203" s="57">
        <v>1</v>
      </c>
      <c r="H203" s="57">
        <v>1</v>
      </c>
      <c r="I203" s="57">
        <v>3</v>
      </c>
      <c r="J203" s="57">
        <v>3</v>
      </c>
      <c r="K203" s="11">
        <v>3</v>
      </c>
      <c r="L203" s="63">
        <f t="shared" si="30"/>
        <v>1.1181151966036349</v>
      </c>
    </row>
    <row r="204" spans="1:13" x14ac:dyDescent="0.2">
      <c r="A204" s="50" t="s">
        <v>95</v>
      </c>
      <c r="B204" s="175" t="s">
        <v>301</v>
      </c>
      <c r="C204" s="10" t="s">
        <v>65</v>
      </c>
      <c r="D204" s="282">
        <v>5.0000000000000001E-4</v>
      </c>
      <c r="E204" s="32" t="s">
        <v>402</v>
      </c>
      <c r="F204" s="99" t="s">
        <v>78</v>
      </c>
      <c r="G204" s="74"/>
      <c r="H204" s="74"/>
      <c r="I204" s="74"/>
      <c r="J204" s="74"/>
      <c r="K204" s="85"/>
      <c r="L204" s="60" t="str">
        <f t="shared" si="30"/>
        <v/>
      </c>
      <c r="M204" s="80" t="s">
        <v>424</v>
      </c>
    </row>
    <row r="205" spans="1:13" x14ac:dyDescent="0.2">
      <c r="A205" s="50" t="s">
        <v>95</v>
      </c>
      <c r="B205" s="178" t="s">
        <v>321</v>
      </c>
      <c r="C205" s="10" t="s">
        <v>65</v>
      </c>
      <c r="D205" s="282">
        <v>8.0000000000000007E-5</v>
      </c>
      <c r="E205" s="32" t="str">
        <f>E201</f>
        <v>See description in SI</v>
      </c>
      <c r="F205" s="99" t="s">
        <v>78</v>
      </c>
      <c r="G205" s="74"/>
      <c r="H205" s="74"/>
      <c r="I205" s="74"/>
      <c r="J205" s="74"/>
      <c r="K205" s="85"/>
      <c r="L205" s="60" t="str">
        <f t="shared" si="30"/>
        <v/>
      </c>
      <c r="M205" s="80" t="s">
        <v>424</v>
      </c>
    </row>
    <row r="206" spans="1:13" x14ac:dyDescent="0.2">
      <c r="A206" s="50" t="s">
        <v>95</v>
      </c>
      <c r="B206" s="178" t="s">
        <v>332</v>
      </c>
      <c r="C206" s="10" t="s">
        <v>65</v>
      </c>
      <c r="D206" s="283">
        <v>2E-3</v>
      </c>
      <c r="E206" s="32" t="str">
        <f>E202</f>
        <v>See description in SI</v>
      </c>
      <c r="F206" s="99" t="s">
        <v>78</v>
      </c>
      <c r="G206" s="74"/>
      <c r="H206" s="74"/>
      <c r="I206" s="74"/>
      <c r="J206" s="74"/>
      <c r="K206" s="85"/>
      <c r="L206" s="60" t="str">
        <f t="shared" si="30"/>
        <v/>
      </c>
      <c r="M206" s="80" t="s">
        <v>424</v>
      </c>
    </row>
    <row r="207" spans="1:13" s="72" customFormat="1" x14ac:dyDescent="0.2">
      <c r="A207" s="49" t="s">
        <v>300</v>
      </c>
      <c r="B207" s="196" t="s">
        <v>409</v>
      </c>
      <c r="C207" s="13" t="s">
        <v>65</v>
      </c>
      <c r="D207" s="45">
        <f>0.027/100</f>
        <v>2.7E-4</v>
      </c>
      <c r="E207" s="46" t="s">
        <v>402</v>
      </c>
      <c r="F207" s="101" t="s">
        <v>78</v>
      </c>
      <c r="G207" s="58">
        <v>1</v>
      </c>
      <c r="H207" s="58">
        <v>1</v>
      </c>
      <c r="I207" s="58">
        <v>3</v>
      </c>
      <c r="J207" s="58">
        <v>3</v>
      </c>
      <c r="K207" s="14">
        <v>3</v>
      </c>
      <c r="L207" s="98">
        <f t="shared" si="30"/>
        <v>1.1181151966036349</v>
      </c>
      <c r="M207" s="82"/>
    </row>
    <row r="208" spans="1:13" x14ac:dyDescent="0.2">
      <c r="A208" s="50" t="s">
        <v>300</v>
      </c>
      <c r="B208" s="175" t="s">
        <v>391</v>
      </c>
      <c r="C208" s="10" t="s">
        <v>65</v>
      </c>
      <c r="D208" s="44">
        <v>8.9999999999999993E-3</v>
      </c>
      <c r="E208" s="32" t="s">
        <v>690</v>
      </c>
      <c r="F208" s="99" t="s">
        <v>78</v>
      </c>
      <c r="G208" s="57">
        <v>2</v>
      </c>
      <c r="H208" s="57">
        <v>3</v>
      </c>
      <c r="I208" s="57">
        <v>3</v>
      </c>
      <c r="J208" s="57">
        <v>1</v>
      </c>
      <c r="K208" s="11">
        <v>1</v>
      </c>
      <c r="L208" s="63">
        <f t="shared" si="30"/>
        <v>0.50042652380814845</v>
      </c>
    </row>
    <row r="209" spans="1:13" s="72" customFormat="1" x14ac:dyDescent="0.2">
      <c r="A209" s="49" t="s">
        <v>303</v>
      </c>
      <c r="B209" s="196" t="s">
        <v>409</v>
      </c>
      <c r="C209" s="13" t="s">
        <v>65</v>
      </c>
      <c r="D209" s="45">
        <f>0.027/100</f>
        <v>2.7E-4</v>
      </c>
      <c r="E209" s="46" t="s">
        <v>402</v>
      </c>
      <c r="F209" s="101" t="s">
        <v>78</v>
      </c>
      <c r="G209" s="58">
        <v>1</v>
      </c>
      <c r="H209" s="58">
        <v>1</v>
      </c>
      <c r="I209" s="58">
        <v>3</v>
      </c>
      <c r="J209" s="58">
        <v>3</v>
      </c>
      <c r="K209" s="14">
        <v>3</v>
      </c>
      <c r="L209" s="98">
        <f t="shared" ref="L209:L214" si="32">IF( OR( ISBLANK(G209),ISBLANK(H209), ISBLANK(I209), ISBLANK(J209), ISBLANK(K209) ), "", 1.5*SQRT(   EXP(2.21*(G209-1)) + EXP(2.21*(H209-1)) + EXP(2.21*(I209-1)) + EXP(2.21*(J209-1)) + EXP(2.21*K209)   )/100*2.45 )</f>
        <v>1.1181151966036349</v>
      </c>
      <c r="M209" s="82"/>
    </row>
    <row r="210" spans="1:13" x14ac:dyDescent="0.2">
      <c r="A210" s="50" t="s">
        <v>303</v>
      </c>
      <c r="B210" s="175" t="s">
        <v>692</v>
      </c>
      <c r="C210" s="10" t="s">
        <v>65</v>
      </c>
      <c r="D210" s="44">
        <v>0.05</v>
      </c>
      <c r="E210" s="32" t="s">
        <v>691</v>
      </c>
      <c r="F210" s="99" t="s">
        <v>78</v>
      </c>
      <c r="G210" s="57">
        <v>2</v>
      </c>
      <c r="H210" s="57">
        <v>2</v>
      </c>
      <c r="I210" s="57">
        <v>3</v>
      </c>
      <c r="J210" s="57">
        <v>1</v>
      </c>
      <c r="K210" s="11">
        <v>1</v>
      </c>
      <c r="L210" s="63">
        <f t="shared" si="32"/>
        <v>0.38795788889711302</v>
      </c>
    </row>
    <row r="211" spans="1:13" s="73" customFormat="1" x14ac:dyDescent="0.2">
      <c r="A211" s="51" t="s">
        <v>303</v>
      </c>
      <c r="B211" s="186" t="s">
        <v>692</v>
      </c>
      <c r="C211" s="40" t="s">
        <v>65</v>
      </c>
      <c r="D211" s="43">
        <v>3.2000000000000001E-2</v>
      </c>
      <c r="E211" s="33" t="s">
        <v>690</v>
      </c>
      <c r="F211" s="102" t="s">
        <v>78</v>
      </c>
      <c r="G211" s="59">
        <v>2</v>
      </c>
      <c r="H211" s="59">
        <v>3</v>
      </c>
      <c r="I211" s="59">
        <v>3</v>
      </c>
      <c r="J211" s="59">
        <v>1</v>
      </c>
      <c r="K211" s="15">
        <v>1</v>
      </c>
      <c r="L211" s="37">
        <f t="shared" si="32"/>
        <v>0.50042652380814845</v>
      </c>
      <c r="M211" s="81"/>
    </row>
    <row r="212" spans="1:13" x14ac:dyDescent="0.2">
      <c r="A212" s="50" t="s">
        <v>302</v>
      </c>
      <c r="B212" s="181" t="s">
        <v>409</v>
      </c>
      <c r="C212" s="10" t="s">
        <v>65</v>
      </c>
      <c r="D212" s="44">
        <f>0.027/100</f>
        <v>2.7E-4</v>
      </c>
      <c r="E212" s="32" t="s">
        <v>402</v>
      </c>
      <c r="F212" s="99" t="s">
        <v>78</v>
      </c>
      <c r="G212" s="57">
        <v>1</v>
      </c>
      <c r="H212" s="57">
        <v>1</v>
      </c>
      <c r="I212" s="57">
        <v>3</v>
      </c>
      <c r="J212" s="57">
        <v>3</v>
      </c>
      <c r="K212" s="11">
        <v>3</v>
      </c>
      <c r="L212" s="63">
        <f t="shared" si="32"/>
        <v>1.1181151966036349</v>
      </c>
    </row>
    <row r="213" spans="1:13" x14ac:dyDescent="0.2">
      <c r="A213" s="50" t="s">
        <v>302</v>
      </c>
      <c r="B213" s="213" t="s">
        <v>391</v>
      </c>
      <c r="C213" s="10" t="s">
        <v>65</v>
      </c>
      <c r="D213" s="44">
        <v>4.2000000000000003E-2</v>
      </c>
      <c r="E213" s="32" t="s">
        <v>691</v>
      </c>
      <c r="F213" s="99" t="s">
        <v>78</v>
      </c>
      <c r="G213" s="57">
        <v>2</v>
      </c>
      <c r="H213" s="57">
        <v>2</v>
      </c>
      <c r="I213" s="57">
        <v>3</v>
      </c>
      <c r="J213" s="57">
        <v>1</v>
      </c>
      <c r="K213" s="11">
        <v>1</v>
      </c>
      <c r="L213" s="63">
        <f t="shared" si="32"/>
        <v>0.38795788889711302</v>
      </c>
      <c r="M213" s="114"/>
    </row>
    <row r="214" spans="1:13" s="73" customFormat="1" x14ac:dyDescent="0.2">
      <c r="A214" s="51" t="s">
        <v>302</v>
      </c>
      <c r="B214" s="286" t="s">
        <v>391</v>
      </c>
      <c r="C214" s="40" t="s">
        <v>65</v>
      </c>
      <c r="D214" s="43">
        <v>0.76400000000000001</v>
      </c>
      <c r="E214" s="33" t="s">
        <v>690</v>
      </c>
      <c r="F214" s="102" t="s">
        <v>78</v>
      </c>
      <c r="G214" s="59">
        <v>2</v>
      </c>
      <c r="H214" s="59">
        <v>3</v>
      </c>
      <c r="I214" s="59">
        <v>3</v>
      </c>
      <c r="J214" s="59">
        <v>1</v>
      </c>
      <c r="K214" s="15">
        <v>1</v>
      </c>
      <c r="L214" s="37">
        <f t="shared" si="32"/>
        <v>0.50042652380814845</v>
      </c>
      <c r="M214" s="114"/>
    </row>
    <row r="215" spans="1:13" s="72" customFormat="1" x14ac:dyDescent="0.2">
      <c r="A215" s="49" t="s">
        <v>299</v>
      </c>
      <c r="B215" s="196" t="s">
        <v>409</v>
      </c>
      <c r="C215" s="13" t="s">
        <v>65</v>
      </c>
      <c r="D215" s="45">
        <f>0.027/100</f>
        <v>2.7E-4</v>
      </c>
      <c r="E215" s="46" t="s">
        <v>402</v>
      </c>
      <c r="F215" s="101" t="s">
        <v>78</v>
      </c>
      <c r="G215" s="58">
        <v>1</v>
      </c>
      <c r="H215" s="58">
        <v>1</v>
      </c>
      <c r="I215" s="58">
        <v>3</v>
      </c>
      <c r="J215" s="58">
        <v>3</v>
      </c>
      <c r="K215" s="14">
        <v>3</v>
      </c>
      <c r="L215" s="98">
        <f t="shared" si="30"/>
        <v>1.1181151966036349</v>
      </c>
      <c r="M215" s="82"/>
    </row>
    <row r="216" spans="1:13" x14ac:dyDescent="0.2">
      <c r="A216" s="50" t="s">
        <v>299</v>
      </c>
      <c r="B216" s="175" t="s">
        <v>391</v>
      </c>
      <c r="C216" s="10" t="s">
        <v>65</v>
      </c>
      <c r="D216" s="44">
        <v>0.46</v>
      </c>
      <c r="E216" s="32" t="s">
        <v>691</v>
      </c>
      <c r="F216" s="99" t="s">
        <v>78</v>
      </c>
      <c r="G216" s="57">
        <v>2</v>
      </c>
      <c r="H216" s="57">
        <v>2</v>
      </c>
      <c r="I216" s="57">
        <v>3</v>
      </c>
      <c r="J216" s="57">
        <v>1</v>
      </c>
      <c r="K216" s="11">
        <v>1</v>
      </c>
      <c r="L216" s="63">
        <f t="shared" si="30"/>
        <v>0.38795788889711302</v>
      </c>
    </row>
    <row r="217" spans="1:13" s="73" customFormat="1" x14ac:dyDescent="0.2">
      <c r="A217" s="51" t="s">
        <v>299</v>
      </c>
      <c r="B217" s="186" t="s">
        <v>391</v>
      </c>
      <c r="C217" s="40" t="s">
        <v>65</v>
      </c>
      <c r="D217" s="43">
        <v>6.5000000000000002E-2</v>
      </c>
      <c r="E217" s="33" t="s">
        <v>690</v>
      </c>
      <c r="F217" s="102" t="s">
        <v>78</v>
      </c>
      <c r="G217" s="59">
        <v>2</v>
      </c>
      <c r="H217" s="59">
        <v>3</v>
      </c>
      <c r="I217" s="59">
        <v>3</v>
      </c>
      <c r="J217" s="59">
        <v>1</v>
      </c>
      <c r="K217" s="15">
        <v>1</v>
      </c>
      <c r="L217" s="37">
        <f t="shared" si="30"/>
        <v>0.50042652380814845</v>
      </c>
      <c r="M217" s="81"/>
    </row>
    <row r="218" spans="1:13" s="72" customFormat="1" x14ac:dyDescent="0.2">
      <c r="A218" s="49" t="s">
        <v>298</v>
      </c>
      <c r="B218" s="196" t="s">
        <v>409</v>
      </c>
      <c r="C218" s="13" t="s">
        <v>65</v>
      </c>
      <c r="D218" s="45">
        <f>0.027/100</f>
        <v>2.7E-4</v>
      </c>
      <c r="E218" s="46" t="s">
        <v>402</v>
      </c>
      <c r="F218" s="101" t="s">
        <v>78</v>
      </c>
      <c r="G218" s="58">
        <v>1</v>
      </c>
      <c r="H218" s="58">
        <v>1</v>
      </c>
      <c r="I218" s="58">
        <v>3</v>
      </c>
      <c r="J218" s="58">
        <v>3</v>
      </c>
      <c r="K218" s="14">
        <v>3</v>
      </c>
      <c r="L218" s="98">
        <f t="shared" si="30"/>
        <v>1.1181151966036349</v>
      </c>
      <c r="M218" s="82"/>
    </row>
    <row r="219" spans="1:13" x14ac:dyDescent="0.2">
      <c r="A219" s="50" t="s">
        <v>298</v>
      </c>
      <c r="B219" s="213" t="s">
        <v>391</v>
      </c>
      <c r="C219" s="10" t="s">
        <v>65</v>
      </c>
      <c r="D219" s="44">
        <v>0.91400000000000003</v>
      </c>
      <c r="E219" s="32" t="s">
        <v>690</v>
      </c>
      <c r="F219" s="99" t="s">
        <v>78</v>
      </c>
      <c r="G219" s="57">
        <v>2</v>
      </c>
      <c r="H219" s="57">
        <v>3</v>
      </c>
      <c r="I219" s="57">
        <v>3</v>
      </c>
      <c r="J219" s="57">
        <v>1</v>
      </c>
      <c r="K219" s="11">
        <v>1</v>
      </c>
      <c r="L219" s="63">
        <f t="shared" si="30"/>
        <v>0.50042652380814845</v>
      </c>
      <c r="M219" s="114"/>
    </row>
    <row r="220" spans="1:13" s="72" customFormat="1" x14ac:dyDescent="0.2">
      <c r="A220" s="49" t="s">
        <v>297</v>
      </c>
      <c r="B220" s="196" t="s">
        <v>409</v>
      </c>
      <c r="C220" s="13" t="s">
        <v>65</v>
      </c>
      <c r="D220" s="45">
        <f>0.027/100</f>
        <v>2.7E-4</v>
      </c>
      <c r="E220" s="46" t="s">
        <v>402</v>
      </c>
      <c r="F220" s="101" t="s">
        <v>78</v>
      </c>
      <c r="G220" s="58">
        <v>1</v>
      </c>
      <c r="H220" s="58">
        <v>1</v>
      </c>
      <c r="I220" s="58">
        <v>3</v>
      </c>
      <c r="J220" s="58">
        <v>3</v>
      </c>
      <c r="K220" s="14">
        <v>3</v>
      </c>
      <c r="L220" s="98">
        <f t="shared" si="30"/>
        <v>1.1181151966036349</v>
      </c>
      <c r="M220" s="82"/>
    </row>
    <row r="221" spans="1:13" x14ac:dyDescent="0.2">
      <c r="A221" s="50" t="s">
        <v>297</v>
      </c>
      <c r="B221" s="175" t="s">
        <v>391</v>
      </c>
      <c r="C221" s="10" t="s">
        <v>65</v>
      </c>
      <c r="D221" s="44">
        <v>0.52500000000000002</v>
      </c>
      <c r="E221" s="32" t="s">
        <v>691</v>
      </c>
      <c r="F221" s="99" t="s">
        <v>78</v>
      </c>
      <c r="G221" s="57">
        <v>2</v>
      </c>
      <c r="H221" s="57">
        <v>2</v>
      </c>
      <c r="I221" s="57">
        <v>3</v>
      </c>
      <c r="J221" s="57">
        <v>1</v>
      </c>
      <c r="K221" s="11">
        <v>1</v>
      </c>
      <c r="L221" s="63">
        <f t="shared" si="30"/>
        <v>0.38795788889711302</v>
      </c>
    </row>
    <row r="222" spans="1:13" s="73" customFormat="1" x14ac:dyDescent="0.2">
      <c r="A222" s="51" t="s">
        <v>297</v>
      </c>
      <c r="B222" s="186" t="s">
        <v>391</v>
      </c>
      <c r="C222" s="40" t="s">
        <v>65</v>
      </c>
      <c r="D222" s="43">
        <v>0.16500000000000001</v>
      </c>
      <c r="E222" s="33" t="s">
        <v>690</v>
      </c>
      <c r="F222" s="102" t="s">
        <v>78</v>
      </c>
      <c r="G222" s="59">
        <v>2</v>
      </c>
      <c r="H222" s="59">
        <v>3</v>
      </c>
      <c r="I222" s="59">
        <v>3</v>
      </c>
      <c r="J222" s="59">
        <v>1</v>
      </c>
      <c r="K222" s="15">
        <v>1</v>
      </c>
      <c r="L222" s="37">
        <f t="shared" si="30"/>
        <v>0.50042652380814845</v>
      </c>
      <c r="M222" s="81"/>
    </row>
    <row r="223" spans="1:13" s="72" customFormat="1" x14ac:dyDescent="0.2">
      <c r="A223" s="49" t="s">
        <v>296</v>
      </c>
      <c r="B223" s="196" t="s">
        <v>409</v>
      </c>
      <c r="C223" s="13" t="s">
        <v>65</v>
      </c>
      <c r="D223" s="45">
        <f>0.027/100</f>
        <v>2.7E-4</v>
      </c>
      <c r="E223" s="46" t="s">
        <v>402</v>
      </c>
      <c r="F223" s="101" t="s">
        <v>78</v>
      </c>
      <c r="G223" s="58">
        <v>1</v>
      </c>
      <c r="H223" s="58">
        <v>1</v>
      </c>
      <c r="I223" s="58">
        <v>3</v>
      </c>
      <c r="J223" s="58">
        <v>3</v>
      </c>
      <c r="K223" s="14">
        <v>3</v>
      </c>
      <c r="L223" s="98">
        <f t="shared" si="30"/>
        <v>1.1181151966036349</v>
      </c>
      <c r="M223" s="82"/>
    </row>
    <row r="224" spans="1:13" s="73" customFormat="1" x14ac:dyDescent="0.2">
      <c r="A224" s="51" t="s">
        <v>296</v>
      </c>
      <c r="B224" s="186" t="s">
        <v>391</v>
      </c>
      <c r="C224" s="40" t="s">
        <v>65</v>
      </c>
      <c r="D224" s="43">
        <v>6.5000000000000002E-2</v>
      </c>
      <c r="E224" s="33" t="s">
        <v>691</v>
      </c>
      <c r="F224" s="102" t="s">
        <v>78</v>
      </c>
      <c r="G224" s="59">
        <v>2</v>
      </c>
      <c r="H224" s="59">
        <v>2</v>
      </c>
      <c r="I224" s="59">
        <v>3</v>
      </c>
      <c r="J224" s="59">
        <v>1</v>
      </c>
      <c r="K224" s="15">
        <v>1</v>
      </c>
      <c r="L224" s="37">
        <f t="shared" si="30"/>
        <v>0.38795788889711302</v>
      </c>
      <c r="M224" s="81"/>
    </row>
    <row r="225" spans="1:13" s="73" customFormat="1" x14ac:dyDescent="0.2">
      <c r="A225" s="51" t="s">
        <v>38</v>
      </c>
      <c r="B225" s="195" t="s">
        <v>409</v>
      </c>
      <c r="C225" s="40" t="s">
        <v>65</v>
      </c>
      <c r="D225" s="43">
        <f>0.027/100</f>
        <v>2.7E-4</v>
      </c>
      <c r="E225" s="33" t="s">
        <v>402</v>
      </c>
      <c r="F225" s="102" t="s">
        <v>78</v>
      </c>
      <c r="G225" s="59">
        <v>1</v>
      </c>
      <c r="H225" s="59">
        <v>1</v>
      </c>
      <c r="I225" s="59">
        <v>3</v>
      </c>
      <c r="J225" s="59">
        <v>3</v>
      </c>
      <c r="K225" s="15">
        <v>3</v>
      </c>
      <c r="L225" s="37">
        <f>IF( OR( ISBLANK(G225),ISBLANK(H225), ISBLANK(I225), ISBLANK(J225), ISBLANK(K225) ), "", 1.5*SQRT(   EXP(2.21*(G225-1)) + EXP(2.21*(H225-1)) + EXP(2.21*(I225-1)) + EXP(2.21*(J225-1)) + EXP(2.21*K225)   )/100*2.45 )</f>
        <v>1.1181151966036349</v>
      </c>
      <c r="M225" s="81"/>
    </row>
    <row r="226" spans="1:13" x14ac:dyDescent="0.2">
      <c r="A226" s="50" t="s">
        <v>93</v>
      </c>
      <c r="B226" s="181" t="s">
        <v>409</v>
      </c>
      <c r="C226" s="10" t="s">
        <v>65</v>
      </c>
      <c r="D226" s="44">
        <f>0.027/100</f>
        <v>2.7E-4</v>
      </c>
      <c r="E226" s="32" t="s">
        <v>402</v>
      </c>
      <c r="F226" s="99" t="s">
        <v>78</v>
      </c>
      <c r="G226" s="57">
        <v>1</v>
      </c>
      <c r="H226" s="57">
        <v>1</v>
      </c>
      <c r="I226" s="57">
        <v>3</v>
      </c>
      <c r="J226" s="57">
        <v>3</v>
      </c>
      <c r="K226" s="11">
        <v>3</v>
      </c>
      <c r="L226" s="63">
        <f t="shared" si="30"/>
        <v>1.1181151966036349</v>
      </c>
    </row>
    <row r="227" spans="1:13" s="72" customFormat="1" x14ac:dyDescent="0.2">
      <c r="A227" s="201" t="s">
        <v>420</v>
      </c>
      <c r="B227" s="204" t="s">
        <v>410</v>
      </c>
      <c r="C227" s="38" t="s">
        <v>65</v>
      </c>
      <c r="D227" s="117" t="s">
        <v>56</v>
      </c>
      <c r="E227" s="46"/>
      <c r="F227" s="101" t="s">
        <v>78</v>
      </c>
      <c r="G227" s="61"/>
      <c r="H227" s="61"/>
      <c r="I227" s="61"/>
      <c r="J227" s="61"/>
      <c r="K227" s="30"/>
      <c r="L227" s="62" t="str">
        <f t="shared" si="30"/>
        <v/>
      </c>
      <c r="M227" s="115"/>
    </row>
    <row r="228" spans="1:13" x14ac:dyDescent="0.2">
      <c r="A228" s="174" t="s">
        <v>420</v>
      </c>
      <c r="B228" s="203" t="s">
        <v>415</v>
      </c>
      <c r="C228" s="42" t="s">
        <v>65</v>
      </c>
      <c r="D228" s="116">
        <f>(81*0.5)/160</f>
        <v>0.25312499999999999</v>
      </c>
      <c r="E228" s="32" t="s">
        <v>422</v>
      </c>
      <c r="F228" s="99" t="s">
        <v>78</v>
      </c>
      <c r="G228" s="57">
        <v>1</v>
      </c>
      <c r="H228" s="57">
        <v>1</v>
      </c>
      <c r="I228" s="57">
        <v>3</v>
      </c>
      <c r="J228" s="57">
        <v>3</v>
      </c>
      <c r="K228" s="11">
        <v>2</v>
      </c>
      <c r="L228" s="63">
        <f t="shared" si="30"/>
        <v>0.58256442191643876</v>
      </c>
      <c r="M228" s="114" t="s">
        <v>421</v>
      </c>
    </row>
    <row r="229" spans="1:13" x14ac:dyDescent="0.2">
      <c r="A229" s="174" t="s">
        <v>420</v>
      </c>
      <c r="B229" s="203" t="s">
        <v>417</v>
      </c>
      <c r="C229" s="42" t="s">
        <v>65</v>
      </c>
      <c r="D229" s="116">
        <f>0.14*(1-D228)</f>
        <v>0.1045625</v>
      </c>
      <c r="E229" s="32" t="s">
        <v>419</v>
      </c>
      <c r="F229" s="99" t="s">
        <v>78</v>
      </c>
      <c r="G229" s="57">
        <v>1</v>
      </c>
      <c r="H229" s="57">
        <v>1</v>
      </c>
      <c r="I229" s="57">
        <v>3</v>
      </c>
      <c r="J229" s="57">
        <v>1</v>
      </c>
      <c r="K229" s="11">
        <v>2</v>
      </c>
      <c r="L229" s="63">
        <f t="shared" si="30"/>
        <v>0.47802211380704585</v>
      </c>
      <c r="M229" s="114"/>
    </row>
    <row r="230" spans="1:13" s="72" customFormat="1" x14ac:dyDescent="0.2">
      <c r="A230" s="201" t="s">
        <v>417</v>
      </c>
      <c r="B230" s="196" t="s">
        <v>399</v>
      </c>
      <c r="C230" s="38" t="s">
        <v>65</v>
      </c>
      <c r="D230" s="202">
        <v>0.15</v>
      </c>
      <c r="E230" s="46" t="s">
        <v>418</v>
      </c>
      <c r="F230" s="101" t="s">
        <v>78</v>
      </c>
      <c r="G230" s="58">
        <v>2</v>
      </c>
      <c r="H230" s="58">
        <v>3</v>
      </c>
      <c r="I230" s="58">
        <v>3</v>
      </c>
      <c r="J230" s="58">
        <v>1</v>
      </c>
      <c r="K230" s="14">
        <v>2</v>
      </c>
      <c r="L230" s="98">
        <f t="shared" si="30"/>
        <v>0.59189702474662764</v>
      </c>
      <c r="M230" s="115"/>
    </row>
    <row r="231" spans="1:13" s="73" customFormat="1" x14ac:dyDescent="0.2">
      <c r="A231" s="200" t="s">
        <v>417</v>
      </c>
      <c r="B231" s="22" t="s">
        <v>29</v>
      </c>
      <c r="C231" s="86" t="s">
        <v>65</v>
      </c>
      <c r="D231" s="87" t="s">
        <v>56</v>
      </c>
      <c r="E231" s="33"/>
      <c r="F231" s="102" t="s">
        <v>78</v>
      </c>
      <c r="G231" s="75"/>
      <c r="H231" s="75"/>
      <c r="I231" s="75"/>
      <c r="J231" s="75"/>
      <c r="K231" s="29"/>
      <c r="L231" s="76" t="str">
        <f t="shared" si="30"/>
        <v/>
      </c>
      <c r="M231" s="97"/>
    </row>
    <row r="232" spans="1:13" s="72" customFormat="1" x14ac:dyDescent="0.2">
      <c r="A232" s="201" t="s">
        <v>415</v>
      </c>
      <c r="B232" s="196" t="s">
        <v>403</v>
      </c>
      <c r="C232" s="38" t="s">
        <v>65</v>
      </c>
      <c r="D232" s="126">
        <f>0.17/(0.5*(0.23+0.18))*D235</f>
        <v>0.41463414634146339</v>
      </c>
      <c r="E232" s="46" t="s">
        <v>416</v>
      </c>
      <c r="F232" s="101" t="s">
        <v>78</v>
      </c>
      <c r="G232" s="58">
        <v>2</v>
      </c>
      <c r="H232" s="58">
        <v>3</v>
      </c>
      <c r="I232" s="58">
        <v>3</v>
      </c>
      <c r="J232" s="58">
        <v>1</v>
      </c>
      <c r="K232" s="14">
        <v>2</v>
      </c>
      <c r="L232" s="98">
        <f t="shared" si="30"/>
        <v>0.59189702474662764</v>
      </c>
      <c r="M232" s="115"/>
    </row>
    <row r="233" spans="1:13" x14ac:dyDescent="0.2">
      <c r="A233" s="174" t="s">
        <v>415</v>
      </c>
      <c r="B233" s="181" t="s">
        <v>403</v>
      </c>
      <c r="C233" s="42" t="s">
        <v>65</v>
      </c>
      <c r="D233" s="124">
        <f>0.17/(0.5*(0.23+0.18))*D236</f>
        <v>0.70487804878048776</v>
      </c>
      <c r="E233" s="32" t="s">
        <v>416</v>
      </c>
      <c r="F233" s="99" t="s">
        <v>78</v>
      </c>
      <c r="G233" s="57">
        <v>2</v>
      </c>
      <c r="H233" s="57">
        <v>3</v>
      </c>
      <c r="I233" s="57">
        <v>3</v>
      </c>
      <c r="J233" s="57">
        <v>1</v>
      </c>
      <c r="K233" s="11">
        <v>2</v>
      </c>
      <c r="L233" s="63">
        <f t="shared" si="30"/>
        <v>0.59189702474662764</v>
      </c>
      <c r="M233" s="114"/>
    </row>
    <row r="234" spans="1:13" s="73" customFormat="1" x14ac:dyDescent="0.2">
      <c r="A234" s="200" t="s">
        <v>415</v>
      </c>
      <c r="B234" s="22" t="s">
        <v>29</v>
      </c>
      <c r="C234" s="86" t="s">
        <v>65</v>
      </c>
      <c r="D234" s="87" t="s">
        <v>56</v>
      </c>
      <c r="E234" s="33"/>
      <c r="F234" s="102" t="s">
        <v>78</v>
      </c>
      <c r="G234" s="75"/>
      <c r="H234" s="75"/>
      <c r="I234" s="75"/>
      <c r="J234" s="75"/>
      <c r="K234" s="29"/>
      <c r="L234" s="76" t="str">
        <f t="shared" si="30"/>
        <v/>
      </c>
      <c r="M234" s="97"/>
    </row>
    <row r="235" spans="1:13" x14ac:dyDescent="0.2">
      <c r="A235" s="174" t="s">
        <v>410</v>
      </c>
      <c r="B235" s="181" t="s">
        <v>404</v>
      </c>
      <c r="C235" s="42" t="s">
        <v>65</v>
      </c>
      <c r="D235" s="199">
        <v>0.5</v>
      </c>
      <c r="E235" s="32" t="s">
        <v>414</v>
      </c>
      <c r="F235" s="99" t="s">
        <v>78</v>
      </c>
      <c r="G235" s="57">
        <v>2</v>
      </c>
      <c r="H235" s="57">
        <v>1</v>
      </c>
      <c r="I235" s="57">
        <v>3</v>
      </c>
      <c r="J235" s="57">
        <v>2</v>
      </c>
      <c r="K235" s="11">
        <v>2</v>
      </c>
      <c r="L235" s="63">
        <f t="shared" si="30"/>
        <v>0.50042652380814845</v>
      </c>
      <c r="M235" s="114" t="s">
        <v>413</v>
      </c>
    </row>
    <row r="236" spans="1:13" x14ac:dyDescent="0.2">
      <c r="A236" s="174" t="s">
        <v>410</v>
      </c>
      <c r="B236" s="181" t="s">
        <v>404</v>
      </c>
      <c r="C236" s="42" t="s">
        <v>65</v>
      </c>
      <c r="D236" s="199">
        <v>0.85</v>
      </c>
      <c r="E236" s="32" t="s">
        <v>412</v>
      </c>
      <c r="F236" s="99" t="s">
        <v>78</v>
      </c>
      <c r="G236" s="57">
        <v>2</v>
      </c>
      <c r="H236" s="57">
        <v>2</v>
      </c>
      <c r="I236" s="57">
        <v>3</v>
      </c>
      <c r="J236" s="57">
        <v>2</v>
      </c>
      <c r="K236" s="11">
        <v>2</v>
      </c>
      <c r="L236" s="63">
        <f t="shared" si="30"/>
        <v>0.51126068492676302</v>
      </c>
      <c r="M236" s="114" t="s">
        <v>411</v>
      </c>
    </row>
    <row r="237" spans="1:13" x14ac:dyDescent="0.2">
      <c r="A237" s="174" t="s">
        <v>410</v>
      </c>
      <c r="B237" s="47" t="s">
        <v>29</v>
      </c>
      <c r="C237" s="42" t="s">
        <v>65</v>
      </c>
      <c r="D237" s="9" t="s">
        <v>56</v>
      </c>
      <c r="E237" s="32"/>
      <c r="F237" s="99" t="s">
        <v>78</v>
      </c>
      <c r="G237" s="74"/>
      <c r="H237" s="74"/>
      <c r="I237" s="74"/>
      <c r="J237" s="74"/>
      <c r="K237" s="85"/>
      <c r="L237" s="60" t="str">
        <f t="shared" si="30"/>
        <v/>
      </c>
      <c r="M237" s="114"/>
    </row>
    <row r="238" spans="1:13" s="72" customFormat="1" x14ac:dyDescent="0.2">
      <c r="A238" s="197" t="s">
        <v>409</v>
      </c>
      <c r="B238" s="196" t="s">
        <v>404</v>
      </c>
      <c r="C238" s="13" t="s">
        <v>65</v>
      </c>
      <c r="D238" s="122">
        <f>0.13+0.02+0.01</f>
        <v>0.16</v>
      </c>
      <c r="E238" s="46" t="s">
        <v>408</v>
      </c>
      <c r="F238" s="101" t="s">
        <v>78</v>
      </c>
      <c r="G238" s="58">
        <v>2</v>
      </c>
      <c r="H238" s="58">
        <v>1</v>
      </c>
      <c r="I238" s="58">
        <v>3</v>
      </c>
      <c r="J238" s="58">
        <v>1</v>
      </c>
      <c r="K238" s="14">
        <v>2</v>
      </c>
      <c r="L238" s="98">
        <f t="shared" si="30"/>
        <v>0.48935255543384243</v>
      </c>
      <c r="M238" s="82"/>
    </row>
    <row r="239" spans="1:13" x14ac:dyDescent="0.2">
      <c r="A239" s="193" t="s">
        <v>409</v>
      </c>
      <c r="B239" s="181" t="s">
        <v>403</v>
      </c>
      <c r="C239" s="10" t="s">
        <v>65</v>
      </c>
      <c r="D239" s="116">
        <v>0.51</v>
      </c>
      <c r="E239" s="32" t="s">
        <v>408</v>
      </c>
      <c r="F239" s="99" t="s">
        <v>78</v>
      </c>
      <c r="G239" s="57">
        <v>2</v>
      </c>
      <c r="H239" s="57">
        <v>1</v>
      </c>
      <c r="I239" s="57">
        <v>3</v>
      </c>
      <c r="J239" s="57">
        <v>1</v>
      </c>
      <c r="K239" s="11">
        <v>2</v>
      </c>
      <c r="L239" s="63">
        <f t="shared" si="30"/>
        <v>0.48935255543384243</v>
      </c>
    </row>
    <row r="240" spans="1:13" x14ac:dyDescent="0.2">
      <c r="A240" s="193" t="s">
        <v>409</v>
      </c>
      <c r="B240" s="181" t="s">
        <v>399</v>
      </c>
      <c r="C240" s="10" t="s">
        <v>65</v>
      </c>
      <c r="D240" s="116">
        <f>0.17+0.16</f>
        <v>0.33</v>
      </c>
      <c r="E240" s="32" t="s">
        <v>408</v>
      </c>
      <c r="F240" s="99" t="s">
        <v>78</v>
      </c>
      <c r="G240" s="57">
        <v>2</v>
      </c>
      <c r="H240" s="57">
        <v>1</v>
      </c>
      <c r="I240" s="57">
        <v>3</v>
      </c>
      <c r="J240" s="57">
        <v>1</v>
      </c>
      <c r="K240" s="11">
        <v>2</v>
      </c>
      <c r="L240" s="63">
        <f t="shared" ref="L240:L304" si="33">IF( OR( ISBLANK(G240),ISBLANK(H240), ISBLANK(I240), ISBLANK(J240), ISBLANK(K240) ), "", 1.5*SQRT(   EXP(2.21*(G240-1)) + EXP(2.21*(H240-1)) + EXP(2.21*(I240-1)) + EXP(2.21*(J240-1)) + EXP(2.21*K240)   )/100*2.45 )</f>
        <v>0.48935255543384243</v>
      </c>
    </row>
    <row r="241" spans="1:13" s="72" customFormat="1" x14ac:dyDescent="0.2">
      <c r="A241" s="197" t="s">
        <v>404</v>
      </c>
      <c r="B241" s="180" t="s">
        <v>398</v>
      </c>
      <c r="C241" s="38" t="s">
        <v>65</v>
      </c>
      <c r="D241" s="126">
        <f>4/342</f>
        <v>1.1695906432748537E-2</v>
      </c>
      <c r="E241" s="46" t="s">
        <v>405</v>
      </c>
      <c r="F241" s="101" t="s">
        <v>78</v>
      </c>
      <c r="G241" s="58">
        <v>2</v>
      </c>
      <c r="H241" s="58">
        <v>3</v>
      </c>
      <c r="I241" s="58">
        <v>3</v>
      </c>
      <c r="J241" s="58">
        <v>3</v>
      </c>
      <c r="K241" s="14">
        <v>2</v>
      </c>
      <c r="L241" s="98">
        <f t="shared" si="33"/>
        <v>0.67913051197703389</v>
      </c>
      <c r="M241" s="115" t="s">
        <v>407</v>
      </c>
    </row>
    <row r="242" spans="1:13" x14ac:dyDescent="0.2">
      <c r="A242" s="193" t="s">
        <v>404</v>
      </c>
      <c r="B242" s="175" t="s">
        <v>394</v>
      </c>
      <c r="C242" s="42" t="s">
        <v>65</v>
      </c>
      <c r="D242" s="124">
        <v>0.01</v>
      </c>
      <c r="E242" s="32" t="s">
        <v>406</v>
      </c>
      <c r="F242" s="99" t="s">
        <v>78</v>
      </c>
      <c r="G242" s="57">
        <v>3</v>
      </c>
      <c r="H242" s="57">
        <v>3</v>
      </c>
      <c r="I242" s="57">
        <v>3</v>
      </c>
      <c r="J242" s="57">
        <v>3</v>
      </c>
      <c r="K242" s="11">
        <v>3</v>
      </c>
      <c r="L242" s="63">
        <f t="shared" si="33"/>
        <v>1.2132328390150593</v>
      </c>
      <c r="M242" s="114"/>
    </row>
    <row r="243" spans="1:13" x14ac:dyDescent="0.2">
      <c r="A243" s="193" t="s">
        <v>404</v>
      </c>
      <c r="B243" s="198" t="s">
        <v>353</v>
      </c>
      <c r="C243" s="42" t="s">
        <v>65</v>
      </c>
      <c r="D243" s="124">
        <f>2/1962</f>
        <v>1.0193679918450561E-3</v>
      </c>
      <c r="E243" s="32" t="s">
        <v>405</v>
      </c>
      <c r="F243" s="99" t="s">
        <v>78</v>
      </c>
      <c r="G243" s="57">
        <v>2</v>
      </c>
      <c r="H243" s="57">
        <v>3</v>
      </c>
      <c r="I243" s="57">
        <v>3</v>
      </c>
      <c r="J243" s="57">
        <v>3</v>
      </c>
      <c r="K243" s="11">
        <v>2</v>
      </c>
      <c r="L243" s="63">
        <f t="shared" si="33"/>
        <v>0.67913051197703389</v>
      </c>
      <c r="M243" s="114" t="s">
        <v>400</v>
      </c>
    </row>
    <row r="244" spans="1:13" x14ac:dyDescent="0.2">
      <c r="A244" s="193" t="s">
        <v>404</v>
      </c>
      <c r="B244" s="47" t="s">
        <v>29</v>
      </c>
      <c r="C244" s="42" t="s">
        <v>65</v>
      </c>
      <c r="D244" s="9" t="s">
        <v>56</v>
      </c>
      <c r="E244" s="32"/>
      <c r="F244" s="99" t="s">
        <v>78</v>
      </c>
      <c r="G244" s="74"/>
      <c r="H244" s="74"/>
      <c r="I244" s="74"/>
      <c r="J244" s="74"/>
      <c r="K244" s="85"/>
      <c r="L244" s="60" t="str">
        <f t="shared" si="33"/>
        <v/>
      </c>
      <c r="M244" s="114"/>
    </row>
    <row r="245" spans="1:13" s="72" customFormat="1" x14ac:dyDescent="0.2">
      <c r="A245" s="197" t="s">
        <v>403</v>
      </c>
      <c r="B245" s="180" t="s">
        <v>395</v>
      </c>
      <c r="C245" s="38" t="s">
        <v>65</v>
      </c>
      <c r="D245" s="39" t="s">
        <v>56</v>
      </c>
      <c r="E245" s="46"/>
      <c r="F245" s="101" t="s">
        <v>78</v>
      </c>
      <c r="G245" s="61"/>
      <c r="H245" s="61"/>
      <c r="I245" s="61"/>
      <c r="J245" s="61"/>
      <c r="K245" s="30"/>
      <c r="L245" s="62" t="str">
        <f t="shared" si="33"/>
        <v/>
      </c>
      <c r="M245" s="115"/>
    </row>
    <row r="246" spans="1:13" x14ac:dyDescent="0.2">
      <c r="A246" s="193" t="s">
        <v>403</v>
      </c>
      <c r="B246" s="47" t="s">
        <v>29</v>
      </c>
      <c r="C246" s="42" t="s">
        <v>65</v>
      </c>
      <c r="D246" s="44">
        <v>0.1</v>
      </c>
      <c r="E246" s="32" t="s">
        <v>787</v>
      </c>
      <c r="F246" s="99" t="s">
        <v>78</v>
      </c>
      <c r="G246" s="57">
        <v>1</v>
      </c>
      <c r="H246" s="57">
        <v>1</v>
      </c>
      <c r="I246" s="57">
        <v>1</v>
      </c>
      <c r="J246" s="57">
        <v>1</v>
      </c>
      <c r="K246" s="11">
        <v>3</v>
      </c>
      <c r="L246" s="63">
        <f t="shared" si="33"/>
        <v>1.0141150152164344</v>
      </c>
      <c r="M246" s="114"/>
    </row>
    <row r="247" spans="1:13" s="73" customFormat="1" x14ac:dyDescent="0.2">
      <c r="A247" s="192" t="s">
        <v>403</v>
      </c>
      <c r="B247" s="22" t="s">
        <v>29</v>
      </c>
      <c r="C247" s="86" t="s">
        <v>65</v>
      </c>
      <c r="D247" s="43">
        <v>0.9</v>
      </c>
      <c r="E247" s="33" t="s">
        <v>786</v>
      </c>
      <c r="F247" s="102" t="s">
        <v>78</v>
      </c>
      <c r="G247" s="59">
        <v>1</v>
      </c>
      <c r="H247" s="59">
        <v>1</v>
      </c>
      <c r="I247" s="59">
        <v>1</v>
      </c>
      <c r="J247" s="59">
        <v>1</v>
      </c>
      <c r="K247" s="15">
        <v>3</v>
      </c>
      <c r="L247" s="37">
        <f t="shared" si="33"/>
        <v>1.0141150152164344</v>
      </c>
      <c r="M247" s="97"/>
    </row>
    <row r="248" spans="1:13" s="72" customFormat="1" x14ac:dyDescent="0.2">
      <c r="A248" s="197" t="s">
        <v>399</v>
      </c>
      <c r="B248" s="180" t="s">
        <v>401</v>
      </c>
      <c r="C248" s="13" t="s">
        <v>65</v>
      </c>
      <c r="D248" s="287">
        <v>0</v>
      </c>
      <c r="E248" s="46" t="s">
        <v>788</v>
      </c>
      <c r="F248" s="101" t="s">
        <v>78</v>
      </c>
      <c r="G248" s="58">
        <v>1</v>
      </c>
      <c r="H248" s="58">
        <v>1</v>
      </c>
      <c r="I248" s="58">
        <v>1</v>
      </c>
      <c r="J248" s="58">
        <v>1</v>
      </c>
      <c r="K248" s="14">
        <v>3</v>
      </c>
      <c r="L248" s="98">
        <f t="shared" si="33"/>
        <v>1.0141150152164344</v>
      </c>
      <c r="M248" s="115"/>
    </row>
    <row r="249" spans="1:13" x14ac:dyDescent="0.2">
      <c r="A249" s="193" t="s">
        <v>399</v>
      </c>
      <c r="B249" s="175" t="s">
        <v>353</v>
      </c>
      <c r="C249" s="10" t="s">
        <v>65</v>
      </c>
      <c r="D249" s="116">
        <f>2/1962</f>
        <v>1.0193679918450561E-3</v>
      </c>
      <c r="E249" s="32" t="str">
        <f t="shared" ref="E249:K249" si="34">E243</f>
        <v>P. Wesley Schultz; Brown Large, L.; Tabanico, J.; Bruni, C.; Bator, R. Littering Behavior in America: Results of a National Study; 2009</v>
      </c>
      <c r="F249" s="99" t="s">
        <v>78</v>
      </c>
      <c r="G249" s="57">
        <f t="shared" si="34"/>
        <v>2</v>
      </c>
      <c r="H249" s="57">
        <f t="shared" si="34"/>
        <v>3</v>
      </c>
      <c r="I249" s="57">
        <f t="shared" si="34"/>
        <v>3</v>
      </c>
      <c r="J249" s="57">
        <f t="shared" si="34"/>
        <v>3</v>
      </c>
      <c r="K249" s="11">
        <f t="shared" si="34"/>
        <v>2</v>
      </c>
      <c r="L249" s="63">
        <f t="shared" si="33"/>
        <v>0.67913051197703389</v>
      </c>
      <c r="M249" s="114" t="s">
        <v>400</v>
      </c>
    </row>
    <row r="250" spans="1:13" x14ac:dyDescent="0.2">
      <c r="A250" s="193" t="s">
        <v>399</v>
      </c>
      <c r="B250" s="47" t="s">
        <v>29</v>
      </c>
      <c r="C250" s="10" t="s">
        <v>65</v>
      </c>
      <c r="D250" s="282">
        <v>0</v>
      </c>
      <c r="E250" s="32" t="s">
        <v>789</v>
      </c>
      <c r="F250" s="99" t="s">
        <v>78</v>
      </c>
      <c r="G250" s="57">
        <v>1</v>
      </c>
      <c r="H250" s="57">
        <v>1</v>
      </c>
      <c r="I250" s="57">
        <v>1</v>
      </c>
      <c r="J250" s="57">
        <v>1</v>
      </c>
      <c r="K250" s="11">
        <v>3</v>
      </c>
      <c r="L250" s="63">
        <f t="shared" si="33"/>
        <v>1.0141150152164344</v>
      </c>
    </row>
    <row r="251" spans="1:13" s="72" customFormat="1" x14ac:dyDescent="0.2">
      <c r="A251" s="197" t="s">
        <v>745</v>
      </c>
      <c r="B251" s="113" t="s">
        <v>47</v>
      </c>
      <c r="C251" s="13" t="s">
        <v>65</v>
      </c>
      <c r="D251" s="130" t="s">
        <v>56</v>
      </c>
      <c r="E251" s="46"/>
      <c r="F251" s="101" t="s">
        <v>78</v>
      </c>
      <c r="G251" s="61"/>
      <c r="H251" s="61"/>
      <c r="I251" s="61"/>
      <c r="J251" s="61"/>
      <c r="K251" s="30"/>
      <c r="L251" s="62" t="str">
        <f t="shared" si="33"/>
        <v/>
      </c>
      <c r="M251" s="115" t="s">
        <v>750</v>
      </c>
    </row>
    <row r="252" spans="1:13" s="73" customFormat="1" x14ac:dyDescent="0.2">
      <c r="A252" s="192" t="s">
        <v>745</v>
      </c>
      <c r="B252" s="195" t="s">
        <v>748</v>
      </c>
      <c r="C252" s="40" t="s">
        <v>65</v>
      </c>
      <c r="D252" s="296">
        <v>0.01</v>
      </c>
      <c r="E252" s="33" t="s">
        <v>743</v>
      </c>
      <c r="F252" s="102" t="s">
        <v>78</v>
      </c>
      <c r="G252" s="59">
        <v>1</v>
      </c>
      <c r="H252" s="59">
        <v>2</v>
      </c>
      <c r="I252" s="59">
        <v>3</v>
      </c>
      <c r="J252" s="59">
        <v>3</v>
      </c>
      <c r="K252" s="15">
        <v>2</v>
      </c>
      <c r="L252" s="37">
        <f t="shared" si="33"/>
        <v>0.59189702474662764</v>
      </c>
      <c r="M252" s="97"/>
    </row>
    <row r="253" spans="1:13" x14ac:dyDescent="0.2">
      <c r="A253" s="193" t="s">
        <v>746</v>
      </c>
      <c r="B253" s="181" t="s">
        <v>338</v>
      </c>
      <c r="C253" s="10" t="s">
        <v>65</v>
      </c>
      <c r="D253" s="9">
        <v>1</v>
      </c>
      <c r="E253" s="32"/>
      <c r="F253" s="99" t="s">
        <v>78</v>
      </c>
      <c r="G253" s="74"/>
      <c r="H253" s="74"/>
      <c r="I253" s="74"/>
      <c r="J253" s="74"/>
      <c r="K253" s="85"/>
      <c r="L253" s="60" t="str">
        <f t="shared" si="33"/>
        <v/>
      </c>
      <c r="M253" s="114" t="s">
        <v>749</v>
      </c>
    </row>
    <row r="254" spans="1:13" s="72" customFormat="1" x14ac:dyDescent="0.2">
      <c r="A254" s="197" t="s">
        <v>748</v>
      </c>
      <c r="B254" s="196" t="s">
        <v>341</v>
      </c>
      <c r="C254" s="13" t="s">
        <v>65</v>
      </c>
      <c r="D254" s="291">
        <v>0.23684210526315788</v>
      </c>
      <c r="E254" s="46" t="s">
        <v>744</v>
      </c>
      <c r="F254" s="101" t="s">
        <v>78</v>
      </c>
      <c r="G254" s="58">
        <v>2</v>
      </c>
      <c r="H254" s="58">
        <v>2</v>
      </c>
      <c r="I254" s="58">
        <v>3</v>
      </c>
      <c r="J254" s="58">
        <v>3</v>
      </c>
      <c r="K254" s="14">
        <v>2</v>
      </c>
      <c r="L254" s="98">
        <f t="shared" si="33"/>
        <v>0.60108474454521421</v>
      </c>
      <c r="M254" s="115" t="s">
        <v>747</v>
      </c>
    </row>
    <row r="255" spans="1:13" x14ac:dyDescent="0.2">
      <c r="A255" s="193" t="s">
        <v>748</v>
      </c>
      <c r="B255" s="181" t="s">
        <v>341</v>
      </c>
      <c r="C255" s="10" t="s">
        <v>65</v>
      </c>
      <c r="D255" s="292">
        <v>0.74776119402985064</v>
      </c>
      <c r="E255" s="32" t="s">
        <v>744</v>
      </c>
      <c r="F255" s="99" t="s">
        <v>78</v>
      </c>
      <c r="G255" s="57">
        <v>2</v>
      </c>
      <c r="H255" s="57">
        <v>2</v>
      </c>
      <c r="I255" s="57">
        <v>3</v>
      </c>
      <c r="J255" s="57">
        <v>3</v>
      </c>
      <c r="K255" s="11">
        <v>2</v>
      </c>
      <c r="L255" s="63">
        <f t="shared" si="33"/>
        <v>0.60108474454521421</v>
      </c>
      <c r="M255" s="114" t="s">
        <v>747</v>
      </c>
    </row>
    <row r="256" spans="1:13" x14ac:dyDescent="0.2">
      <c r="A256" s="193" t="s">
        <v>748</v>
      </c>
      <c r="B256" s="181" t="s">
        <v>341</v>
      </c>
      <c r="C256" s="10" t="s">
        <v>65</v>
      </c>
      <c r="D256" s="292">
        <v>0</v>
      </c>
      <c r="E256" s="32" t="s">
        <v>744</v>
      </c>
      <c r="F256" s="99" t="s">
        <v>78</v>
      </c>
      <c r="G256" s="57">
        <v>2</v>
      </c>
      <c r="H256" s="57">
        <v>2</v>
      </c>
      <c r="I256" s="57">
        <v>3</v>
      </c>
      <c r="J256" s="57">
        <v>3</v>
      </c>
      <c r="K256" s="11">
        <v>2</v>
      </c>
      <c r="L256" s="63">
        <f t="shared" si="33"/>
        <v>0.60108474454521421</v>
      </c>
      <c r="M256" s="114" t="s">
        <v>747</v>
      </c>
    </row>
    <row r="257" spans="1:13" x14ac:dyDescent="0.2">
      <c r="A257" s="193" t="s">
        <v>748</v>
      </c>
      <c r="B257" s="181" t="s">
        <v>341</v>
      </c>
      <c r="C257" s="10" t="s">
        <v>65</v>
      </c>
      <c r="D257" s="292">
        <v>0</v>
      </c>
      <c r="E257" s="32" t="s">
        <v>744</v>
      </c>
      <c r="F257" s="99" t="s">
        <v>78</v>
      </c>
      <c r="G257" s="57">
        <v>2</v>
      </c>
      <c r="H257" s="57">
        <v>2</v>
      </c>
      <c r="I257" s="57">
        <v>3</v>
      </c>
      <c r="J257" s="57">
        <v>3</v>
      </c>
      <c r="K257" s="11">
        <v>2</v>
      </c>
      <c r="L257" s="63">
        <f t="shared" si="33"/>
        <v>0.60108474454521421</v>
      </c>
      <c r="M257" s="114" t="s">
        <v>747</v>
      </c>
    </row>
    <row r="258" spans="1:13" x14ac:dyDescent="0.2">
      <c r="A258" s="193" t="s">
        <v>748</v>
      </c>
      <c r="B258" s="181" t="s">
        <v>341</v>
      </c>
      <c r="C258" s="10" t="s">
        <v>65</v>
      </c>
      <c r="D258" s="292">
        <v>0.64035087719298245</v>
      </c>
      <c r="E258" s="32" t="s">
        <v>744</v>
      </c>
      <c r="F258" s="99" t="s">
        <v>78</v>
      </c>
      <c r="G258" s="57">
        <v>2</v>
      </c>
      <c r="H258" s="57">
        <v>2</v>
      </c>
      <c r="I258" s="57">
        <v>3</v>
      </c>
      <c r="J258" s="57">
        <v>3</v>
      </c>
      <c r="K258" s="11">
        <v>2</v>
      </c>
      <c r="L258" s="63">
        <f t="shared" si="33"/>
        <v>0.60108474454521421</v>
      </c>
      <c r="M258" s="114" t="s">
        <v>747</v>
      </c>
    </row>
    <row r="259" spans="1:13" x14ac:dyDescent="0.2">
      <c r="A259" s="193" t="s">
        <v>748</v>
      </c>
      <c r="B259" s="181" t="s">
        <v>341</v>
      </c>
      <c r="C259" s="10" t="s">
        <v>65</v>
      </c>
      <c r="D259" s="292">
        <v>0</v>
      </c>
      <c r="E259" s="32" t="s">
        <v>744</v>
      </c>
      <c r="F259" s="99" t="s">
        <v>78</v>
      </c>
      <c r="G259" s="57">
        <v>2</v>
      </c>
      <c r="H259" s="57">
        <v>2</v>
      </c>
      <c r="I259" s="57">
        <v>3</v>
      </c>
      <c r="J259" s="57">
        <v>3</v>
      </c>
      <c r="K259" s="11">
        <v>2</v>
      </c>
      <c r="L259" s="63">
        <f t="shared" si="33"/>
        <v>0.60108474454521421</v>
      </c>
      <c r="M259" s="114" t="s">
        <v>747</v>
      </c>
    </row>
    <row r="260" spans="1:13" x14ac:dyDescent="0.2">
      <c r="A260" s="193" t="s">
        <v>748</v>
      </c>
      <c r="B260" s="181" t="s">
        <v>341</v>
      </c>
      <c r="C260" s="10" t="s">
        <v>65</v>
      </c>
      <c r="D260" s="292">
        <v>0.79999999999999993</v>
      </c>
      <c r="E260" s="32" t="s">
        <v>744</v>
      </c>
      <c r="F260" s="99" t="s">
        <v>78</v>
      </c>
      <c r="G260" s="57">
        <v>2</v>
      </c>
      <c r="H260" s="57">
        <v>2</v>
      </c>
      <c r="I260" s="57">
        <v>3</v>
      </c>
      <c r="J260" s="57">
        <v>3</v>
      </c>
      <c r="K260" s="11">
        <v>2</v>
      </c>
      <c r="L260" s="63">
        <f t="shared" si="33"/>
        <v>0.60108474454521421</v>
      </c>
      <c r="M260" s="114" t="s">
        <v>747</v>
      </c>
    </row>
    <row r="261" spans="1:13" s="73" customFormat="1" x14ac:dyDescent="0.2">
      <c r="A261" s="192" t="s">
        <v>748</v>
      </c>
      <c r="B261" s="195" t="s">
        <v>338</v>
      </c>
      <c r="C261" s="40" t="s">
        <v>65</v>
      </c>
      <c r="D261" s="194" t="s">
        <v>56</v>
      </c>
      <c r="E261" s="33"/>
      <c r="F261" s="102"/>
      <c r="G261" s="75"/>
      <c r="H261" s="75"/>
      <c r="I261" s="75"/>
      <c r="J261" s="75"/>
      <c r="K261" s="29"/>
      <c r="L261" s="76" t="str">
        <f t="shared" si="33"/>
        <v/>
      </c>
      <c r="M261" s="97"/>
    </row>
    <row r="262" spans="1:13" s="72" customFormat="1" x14ac:dyDescent="0.2">
      <c r="A262" s="197" t="s">
        <v>338</v>
      </c>
      <c r="B262" s="180" t="s">
        <v>323</v>
      </c>
      <c r="C262" s="13" t="s">
        <v>65</v>
      </c>
      <c r="D262" s="39" t="s">
        <v>56</v>
      </c>
      <c r="E262" s="46"/>
      <c r="F262" s="101" t="s">
        <v>78</v>
      </c>
      <c r="G262" s="61"/>
      <c r="H262" s="61"/>
      <c r="I262" s="61"/>
      <c r="J262" s="61"/>
      <c r="K262" s="30"/>
      <c r="L262" s="62" t="str">
        <f t="shared" si="33"/>
        <v/>
      </c>
      <c r="M262" s="82" t="s">
        <v>784</v>
      </c>
    </row>
    <row r="263" spans="1:13" x14ac:dyDescent="0.2">
      <c r="A263" s="193" t="s">
        <v>338</v>
      </c>
      <c r="B263" s="178" t="s">
        <v>328</v>
      </c>
      <c r="C263" s="10" t="s">
        <v>65</v>
      </c>
      <c r="D263" s="44">
        <v>0.03</v>
      </c>
      <c r="E263" s="32" t="s">
        <v>743</v>
      </c>
      <c r="F263" s="99" t="s">
        <v>78</v>
      </c>
      <c r="G263" s="57">
        <v>1</v>
      </c>
      <c r="H263" s="57">
        <v>2</v>
      </c>
      <c r="I263" s="57">
        <v>3</v>
      </c>
      <c r="J263" s="57">
        <v>2</v>
      </c>
      <c r="K263" s="11">
        <v>2</v>
      </c>
      <c r="L263" s="63">
        <f t="shared" si="33"/>
        <v>0.50042652380814845</v>
      </c>
      <c r="M263" s="80" t="s">
        <v>783</v>
      </c>
    </row>
    <row r="264" spans="1:13" s="72" customFormat="1" x14ac:dyDescent="0.2">
      <c r="A264" s="197" t="s">
        <v>341</v>
      </c>
      <c r="B264" s="180" t="s">
        <v>343</v>
      </c>
      <c r="C264" s="13" t="s">
        <v>65</v>
      </c>
      <c r="D264" s="39" t="s">
        <v>56</v>
      </c>
      <c r="E264" s="46"/>
      <c r="F264" s="101" t="s">
        <v>78</v>
      </c>
      <c r="G264" s="61"/>
      <c r="H264" s="61"/>
      <c r="I264" s="61"/>
      <c r="J264" s="61"/>
      <c r="K264" s="30"/>
      <c r="L264" s="62" t="str">
        <f t="shared" si="33"/>
        <v/>
      </c>
      <c r="M264" s="82" t="s">
        <v>784</v>
      </c>
    </row>
    <row r="265" spans="1:13" s="73" customFormat="1" x14ac:dyDescent="0.2">
      <c r="A265" s="192" t="s">
        <v>341</v>
      </c>
      <c r="B265" s="183" t="s">
        <v>398</v>
      </c>
      <c r="C265" s="40" t="s">
        <v>65</v>
      </c>
      <c r="D265" s="43">
        <v>0.03</v>
      </c>
      <c r="E265" s="33" t="s">
        <v>743</v>
      </c>
      <c r="F265" s="102" t="s">
        <v>78</v>
      </c>
      <c r="G265" s="59">
        <v>1</v>
      </c>
      <c r="H265" s="59">
        <v>2</v>
      </c>
      <c r="I265" s="59">
        <v>3</v>
      </c>
      <c r="J265" s="59">
        <v>2</v>
      </c>
      <c r="K265" s="15">
        <v>2</v>
      </c>
      <c r="L265" s="37">
        <f t="shared" si="33"/>
        <v>0.50042652380814845</v>
      </c>
      <c r="M265" s="80" t="s">
        <v>783</v>
      </c>
    </row>
    <row r="266" spans="1:13" s="72" customFormat="1" x14ac:dyDescent="0.2">
      <c r="A266" s="185" t="s">
        <v>397</v>
      </c>
      <c r="B266" s="191" t="s">
        <v>320</v>
      </c>
      <c r="C266" s="13" t="s">
        <v>65</v>
      </c>
      <c r="D266" s="45">
        <v>0.1</v>
      </c>
      <c r="E266" s="46" t="s">
        <v>71</v>
      </c>
      <c r="F266" s="101" t="s">
        <v>78</v>
      </c>
      <c r="G266" s="58">
        <v>1</v>
      </c>
      <c r="H266" s="58">
        <v>1</v>
      </c>
      <c r="I266" s="58">
        <v>1</v>
      </c>
      <c r="J266" s="58">
        <v>1</v>
      </c>
      <c r="K266" s="14">
        <v>3</v>
      </c>
      <c r="L266" s="98">
        <f t="shared" si="33"/>
        <v>1.0141150152164344</v>
      </c>
      <c r="M266" s="82"/>
    </row>
    <row r="267" spans="1:13" x14ac:dyDescent="0.2">
      <c r="A267" s="182" t="s">
        <v>397</v>
      </c>
      <c r="B267" s="212" t="s">
        <v>328</v>
      </c>
      <c r="C267" s="10" t="s">
        <v>65</v>
      </c>
      <c r="D267" s="44">
        <v>0.3</v>
      </c>
      <c r="E267" s="32" t="s">
        <v>71</v>
      </c>
      <c r="F267" s="99"/>
      <c r="G267" s="57">
        <v>1</v>
      </c>
      <c r="H267" s="57">
        <v>1</v>
      </c>
      <c r="I267" s="57">
        <v>1</v>
      </c>
      <c r="J267" s="57">
        <v>1</v>
      </c>
      <c r="K267" s="11">
        <v>3</v>
      </c>
      <c r="L267" s="63">
        <f t="shared" si="33"/>
        <v>1.0141150152164344</v>
      </c>
    </row>
    <row r="268" spans="1:13" s="73" customFormat="1" x14ac:dyDescent="0.2">
      <c r="A268" s="184" t="s">
        <v>397</v>
      </c>
      <c r="B268" s="186" t="s">
        <v>376</v>
      </c>
      <c r="C268" s="40" t="s">
        <v>65</v>
      </c>
      <c r="D268" s="43">
        <v>0.6</v>
      </c>
      <c r="E268" s="33" t="s">
        <v>71</v>
      </c>
      <c r="F268" s="102" t="s">
        <v>78</v>
      </c>
      <c r="G268" s="59">
        <v>1</v>
      </c>
      <c r="H268" s="59">
        <v>1</v>
      </c>
      <c r="I268" s="59">
        <v>1</v>
      </c>
      <c r="J268" s="59">
        <v>1</v>
      </c>
      <c r="K268" s="15">
        <v>3</v>
      </c>
      <c r="L268" s="37">
        <f t="shared" si="33"/>
        <v>1.0141150152164344</v>
      </c>
      <c r="M268" s="81"/>
    </row>
    <row r="269" spans="1:13" s="72" customFormat="1" x14ac:dyDescent="0.2">
      <c r="A269" s="185" t="s">
        <v>394</v>
      </c>
      <c r="B269" s="180" t="s">
        <v>353</v>
      </c>
      <c r="C269" s="13" t="s">
        <v>65</v>
      </c>
      <c r="D269" s="122">
        <v>1</v>
      </c>
      <c r="E269" s="46"/>
      <c r="F269" s="101" t="s">
        <v>78</v>
      </c>
      <c r="G269" s="58">
        <v>3</v>
      </c>
      <c r="H269" s="58">
        <v>3</v>
      </c>
      <c r="I269" s="58">
        <v>3</v>
      </c>
      <c r="J269" s="58">
        <v>3</v>
      </c>
      <c r="K269" s="14">
        <v>3</v>
      </c>
      <c r="L269" s="98">
        <f t="shared" si="33"/>
        <v>1.2132328390150593</v>
      </c>
      <c r="M269" s="82"/>
    </row>
    <row r="270" spans="1:13" x14ac:dyDescent="0.2">
      <c r="A270" s="182" t="s">
        <v>394</v>
      </c>
      <c r="B270" s="178" t="s">
        <v>353</v>
      </c>
      <c r="C270" s="10" t="s">
        <v>65</v>
      </c>
      <c r="D270" s="116">
        <v>0</v>
      </c>
      <c r="E270" s="32"/>
      <c r="F270" s="99" t="s">
        <v>78</v>
      </c>
      <c r="G270" s="57">
        <v>3</v>
      </c>
      <c r="H270" s="57">
        <v>3</v>
      </c>
      <c r="I270" s="57">
        <v>3</v>
      </c>
      <c r="J270" s="57">
        <v>3</v>
      </c>
      <c r="K270" s="11">
        <v>3</v>
      </c>
      <c r="L270" s="63">
        <f t="shared" si="33"/>
        <v>1.2132328390150593</v>
      </c>
    </row>
    <row r="271" spans="1:13" s="73" customFormat="1" x14ac:dyDescent="0.2">
      <c r="A271" s="184" t="s">
        <v>394</v>
      </c>
      <c r="B271" s="186" t="s">
        <v>382</v>
      </c>
      <c r="C271" s="40" t="s">
        <v>65</v>
      </c>
      <c r="D271" s="187" t="s">
        <v>56</v>
      </c>
      <c r="E271" s="33"/>
      <c r="F271" s="102" t="s">
        <v>78</v>
      </c>
      <c r="G271" s="75"/>
      <c r="H271" s="75"/>
      <c r="I271" s="75"/>
      <c r="J271" s="75"/>
      <c r="K271" s="29"/>
      <c r="L271" s="76" t="str">
        <f t="shared" si="33"/>
        <v/>
      </c>
      <c r="M271" s="81"/>
    </row>
    <row r="272" spans="1:13" x14ac:dyDescent="0.2">
      <c r="A272" s="182" t="s">
        <v>392</v>
      </c>
      <c r="B272" s="178" t="s">
        <v>320</v>
      </c>
      <c r="C272" s="10" t="s">
        <v>65</v>
      </c>
      <c r="D272" s="116">
        <v>1</v>
      </c>
      <c r="E272" s="32"/>
      <c r="F272" s="99" t="s">
        <v>78</v>
      </c>
      <c r="G272" s="57">
        <v>3</v>
      </c>
      <c r="H272" s="57">
        <v>3</v>
      </c>
      <c r="I272" s="57">
        <v>3</v>
      </c>
      <c r="J272" s="57">
        <v>3</v>
      </c>
      <c r="K272" s="11">
        <v>3</v>
      </c>
      <c r="L272" s="63">
        <f t="shared" si="33"/>
        <v>1.2132328390150593</v>
      </c>
    </row>
    <row r="273" spans="1:13" x14ac:dyDescent="0.2">
      <c r="A273" s="182" t="s">
        <v>392</v>
      </c>
      <c r="B273" s="178" t="s">
        <v>320</v>
      </c>
      <c r="C273" s="10" t="s">
        <v>65</v>
      </c>
      <c r="D273" s="116">
        <v>0</v>
      </c>
      <c r="E273" s="32"/>
      <c r="F273" s="99" t="s">
        <v>78</v>
      </c>
      <c r="G273" s="57">
        <v>3</v>
      </c>
      <c r="H273" s="57">
        <v>3</v>
      </c>
      <c r="I273" s="57">
        <v>3</v>
      </c>
      <c r="J273" s="57">
        <v>3</v>
      </c>
      <c r="K273" s="11">
        <v>3</v>
      </c>
      <c r="L273" s="63">
        <f t="shared" si="33"/>
        <v>1.2132328390150593</v>
      </c>
    </row>
    <row r="274" spans="1:13" s="73" customFormat="1" x14ac:dyDescent="0.2">
      <c r="A274" s="184" t="s">
        <v>392</v>
      </c>
      <c r="B274" s="186" t="s">
        <v>376</v>
      </c>
      <c r="C274" s="40" t="s">
        <v>65</v>
      </c>
      <c r="D274" s="187" t="s">
        <v>56</v>
      </c>
      <c r="E274" s="33"/>
      <c r="F274" s="102" t="s">
        <v>78</v>
      </c>
      <c r="G274" s="75"/>
      <c r="H274" s="75"/>
      <c r="I274" s="75"/>
      <c r="J274" s="75"/>
      <c r="K274" s="29"/>
      <c r="L274" s="76" t="str">
        <f t="shared" si="33"/>
        <v/>
      </c>
      <c r="M274" s="81"/>
    </row>
    <row r="275" spans="1:13" s="72" customFormat="1" x14ac:dyDescent="0.2">
      <c r="A275" s="185" t="s">
        <v>391</v>
      </c>
      <c r="B275" s="191" t="s">
        <v>382</v>
      </c>
      <c r="C275" s="13" t="s">
        <v>65</v>
      </c>
      <c r="D275" s="39" t="s">
        <v>56</v>
      </c>
      <c r="E275" s="46"/>
      <c r="F275" s="101" t="s">
        <v>78</v>
      </c>
      <c r="G275" s="61"/>
      <c r="H275" s="61"/>
      <c r="I275" s="61"/>
      <c r="J275" s="61"/>
      <c r="K275" s="30"/>
      <c r="L275" s="62" t="str">
        <f t="shared" si="33"/>
        <v/>
      </c>
      <c r="M275" s="82"/>
    </row>
    <row r="276" spans="1:13" s="73" customFormat="1" x14ac:dyDescent="0.2">
      <c r="A276" s="184" t="s">
        <v>391</v>
      </c>
      <c r="B276" s="186" t="s">
        <v>386</v>
      </c>
      <c r="C276" s="40" t="s">
        <v>65</v>
      </c>
      <c r="D276" s="43">
        <v>0.03</v>
      </c>
      <c r="E276" s="32" t="s">
        <v>390</v>
      </c>
      <c r="F276" s="102" t="s">
        <v>78</v>
      </c>
      <c r="G276" s="59">
        <v>1</v>
      </c>
      <c r="H276" s="59">
        <v>2</v>
      </c>
      <c r="I276" s="59">
        <v>1</v>
      </c>
      <c r="J276" s="59">
        <v>1</v>
      </c>
      <c r="K276" s="15">
        <v>2</v>
      </c>
      <c r="L276" s="37">
        <f t="shared" si="33"/>
        <v>0.35859414261160716</v>
      </c>
      <c r="M276" s="80" t="s">
        <v>389</v>
      </c>
    </row>
    <row r="277" spans="1:13" s="72" customFormat="1" x14ac:dyDescent="0.2">
      <c r="A277" s="185" t="s">
        <v>692</v>
      </c>
      <c r="B277" s="191" t="s">
        <v>693</v>
      </c>
      <c r="C277" s="13" t="s">
        <v>65</v>
      </c>
      <c r="D277" s="39" t="s">
        <v>56</v>
      </c>
      <c r="E277" s="46"/>
      <c r="F277" s="101" t="s">
        <v>78</v>
      </c>
      <c r="G277" s="61"/>
      <c r="H277" s="61"/>
      <c r="I277" s="61"/>
      <c r="J277" s="61"/>
      <c r="K277" s="30"/>
      <c r="L277" s="62" t="str">
        <f t="shared" si="33"/>
        <v/>
      </c>
      <c r="M277" s="82"/>
    </row>
    <row r="278" spans="1:13" s="73" customFormat="1" x14ac:dyDescent="0.2">
      <c r="A278" s="184" t="s">
        <v>692</v>
      </c>
      <c r="B278" s="186" t="s">
        <v>386</v>
      </c>
      <c r="C278" s="40" t="s">
        <v>65</v>
      </c>
      <c r="D278" s="43">
        <v>0.03</v>
      </c>
      <c r="E278" s="33" t="s">
        <v>390</v>
      </c>
      <c r="F278" s="102" t="s">
        <v>78</v>
      </c>
      <c r="G278" s="59">
        <v>1</v>
      </c>
      <c r="H278" s="59">
        <v>2</v>
      </c>
      <c r="I278" s="59">
        <v>1</v>
      </c>
      <c r="J278" s="59">
        <v>1</v>
      </c>
      <c r="K278" s="15">
        <v>2</v>
      </c>
      <c r="L278" s="37">
        <f t="shared" si="33"/>
        <v>0.35859414261160716</v>
      </c>
      <c r="M278" s="81" t="s">
        <v>389</v>
      </c>
    </row>
    <row r="279" spans="1:13" x14ac:dyDescent="0.2">
      <c r="A279" s="182" t="s">
        <v>301</v>
      </c>
      <c r="B279" s="175" t="s">
        <v>376</v>
      </c>
      <c r="C279" s="10" t="s">
        <v>65</v>
      </c>
      <c r="D279" s="9" t="s">
        <v>56</v>
      </c>
      <c r="E279" s="32"/>
      <c r="F279" s="99" t="s">
        <v>78</v>
      </c>
      <c r="G279" s="74"/>
      <c r="H279" s="74"/>
      <c r="I279" s="74"/>
      <c r="J279" s="74"/>
      <c r="K279" s="85"/>
      <c r="L279" s="60" t="str">
        <f t="shared" si="33"/>
        <v/>
      </c>
    </row>
    <row r="280" spans="1:13" x14ac:dyDescent="0.2">
      <c r="A280" s="182" t="s">
        <v>301</v>
      </c>
      <c r="B280" s="175" t="s">
        <v>385</v>
      </c>
      <c r="C280" s="10" t="s">
        <v>65</v>
      </c>
      <c r="D280" s="44">
        <v>0.03</v>
      </c>
      <c r="E280" s="32" t="s">
        <v>390</v>
      </c>
      <c r="F280" s="289" t="s">
        <v>78</v>
      </c>
      <c r="G280" s="57">
        <v>1</v>
      </c>
      <c r="H280" s="57">
        <v>2</v>
      </c>
      <c r="I280" s="57">
        <v>1</v>
      </c>
      <c r="J280" s="57">
        <v>1</v>
      </c>
      <c r="K280" s="11">
        <v>2</v>
      </c>
      <c r="L280" s="63">
        <f t="shared" si="33"/>
        <v>0.35859414261160716</v>
      </c>
      <c r="M280" s="80" t="s">
        <v>389</v>
      </c>
    </row>
    <row r="281" spans="1:13" x14ac:dyDescent="0.2">
      <c r="A281" s="182" t="s">
        <v>301</v>
      </c>
      <c r="B281" s="178" t="s">
        <v>384</v>
      </c>
      <c r="C281" s="10" t="s">
        <v>65</v>
      </c>
      <c r="D281" s="44">
        <v>0.01</v>
      </c>
      <c r="E281" s="32" t="s">
        <v>388</v>
      </c>
      <c r="F281" s="99" t="s">
        <v>78</v>
      </c>
      <c r="G281" s="57">
        <v>3</v>
      </c>
      <c r="H281" s="57">
        <v>4</v>
      </c>
      <c r="I281" s="57">
        <v>3</v>
      </c>
      <c r="J281" s="57">
        <v>3</v>
      </c>
      <c r="K281" s="11">
        <v>1</v>
      </c>
      <c r="L281" s="63">
        <f t="shared" si="33"/>
        <v>1.1713319510247036</v>
      </c>
      <c r="M281" s="80" t="s">
        <v>387</v>
      </c>
    </row>
    <row r="282" spans="1:13" x14ac:dyDescent="0.2">
      <c r="A282" s="182" t="s">
        <v>301</v>
      </c>
      <c r="B282" s="178" t="s">
        <v>384</v>
      </c>
      <c r="C282" s="10" t="s">
        <v>65</v>
      </c>
      <c r="D282" s="44">
        <v>0.05</v>
      </c>
      <c r="E282" s="32" t="s">
        <v>388</v>
      </c>
      <c r="F282" s="99" t="s">
        <v>78</v>
      </c>
      <c r="G282" s="57">
        <v>3</v>
      </c>
      <c r="H282" s="57">
        <v>4</v>
      </c>
      <c r="I282" s="57">
        <v>3</v>
      </c>
      <c r="J282" s="57">
        <v>3</v>
      </c>
      <c r="K282" s="11">
        <v>1</v>
      </c>
      <c r="L282" s="63">
        <f t="shared" si="33"/>
        <v>1.1713319510247036</v>
      </c>
      <c r="M282" s="80" t="s">
        <v>387</v>
      </c>
    </row>
    <row r="283" spans="1:13" x14ac:dyDescent="0.2">
      <c r="A283" s="182" t="s">
        <v>301</v>
      </c>
      <c r="B283" s="178" t="s">
        <v>384</v>
      </c>
      <c r="C283" s="10" t="s">
        <v>65</v>
      </c>
      <c r="D283" s="44">
        <v>0.13</v>
      </c>
      <c r="E283" s="32" t="s">
        <v>388</v>
      </c>
      <c r="F283" s="99" t="s">
        <v>78</v>
      </c>
      <c r="G283" s="57">
        <v>3</v>
      </c>
      <c r="H283" s="57">
        <v>4</v>
      </c>
      <c r="I283" s="57">
        <v>3</v>
      </c>
      <c r="J283" s="57">
        <v>3</v>
      </c>
      <c r="K283" s="11">
        <v>1</v>
      </c>
      <c r="L283" s="63">
        <f t="shared" si="33"/>
        <v>1.1713319510247036</v>
      </c>
      <c r="M283" s="80" t="s">
        <v>387</v>
      </c>
    </row>
    <row r="284" spans="1:13" x14ac:dyDescent="0.2">
      <c r="A284" s="182" t="s">
        <v>301</v>
      </c>
      <c r="B284" s="178" t="s">
        <v>384</v>
      </c>
      <c r="C284" s="10" t="s">
        <v>65</v>
      </c>
      <c r="D284" s="44">
        <v>0.05</v>
      </c>
      <c r="E284" s="32" t="s">
        <v>388</v>
      </c>
      <c r="F284" s="99" t="s">
        <v>78</v>
      </c>
      <c r="G284" s="57">
        <v>3</v>
      </c>
      <c r="H284" s="57">
        <v>4</v>
      </c>
      <c r="I284" s="57">
        <v>3</v>
      </c>
      <c r="J284" s="57">
        <v>3</v>
      </c>
      <c r="K284" s="11">
        <v>1</v>
      </c>
      <c r="L284" s="63">
        <f t="shared" si="33"/>
        <v>1.1713319510247036</v>
      </c>
      <c r="M284" s="80" t="s">
        <v>387</v>
      </c>
    </row>
    <row r="285" spans="1:13" x14ac:dyDescent="0.2">
      <c r="A285" s="182" t="s">
        <v>301</v>
      </c>
      <c r="B285" s="178" t="s">
        <v>384</v>
      </c>
      <c r="C285" s="10" t="s">
        <v>65</v>
      </c>
      <c r="D285" s="44">
        <v>0.1</v>
      </c>
      <c r="E285" s="32" t="s">
        <v>388</v>
      </c>
      <c r="F285" s="99" t="s">
        <v>78</v>
      </c>
      <c r="G285" s="57">
        <v>3</v>
      </c>
      <c r="H285" s="57">
        <v>4</v>
      </c>
      <c r="I285" s="57">
        <v>3</v>
      </c>
      <c r="J285" s="57">
        <v>3</v>
      </c>
      <c r="K285" s="11">
        <v>1</v>
      </c>
      <c r="L285" s="63">
        <f t="shared" si="33"/>
        <v>1.1713319510247036</v>
      </c>
      <c r="M285" s="80" t="s">
        <v>387</v>
      </c>
    </row>
    <row r="286" spans="1:13" s="72" customFormat="1" x14ac:dyDescent="0.2">
      <c r="A286" s="185" t="s">
        <v>386</v>
      </c>
      <c r="B286" s="48" t="s">
        <v>342</v>
      </c>
      <c r="C286" s="13" t="s">
        <v>65</v>
      </c>
      <c r="D286" s="129">
        <v>1</v>
      </c>
      <c r="E286" s="46" t="s">
        <v>71</v>
      </c>
      <c r="F286" s="101" t="s">
        <v>78</v>
      </c>
      <c r="G286" s="61"/>
      <c r="H286" s="61"/>
      <c r="I286" s="61"/>
      <c r="J286" s="61"/>
      <c r="K286" s="30"/>
      <c r="L286" s="62" t="str">
        <f t="shared" si="33"/>
        <v/>
      </c>
      <c r="M286" s="82"/>
    </row>
    <row r="287" spans="1:13" s="72" customFormat="1" x14ac:dyDescent="0.2">
      <c r="A287" s="185" t="s">
        <v>385</v>
      </c>
      <c r="B287" s="48" t="s">
        <v>339</v>
      </c>
      <c r="C287" s="13" t="s">
        <v>65</v>
      </c>
      <c r="D287" s="122">
        <f t="shared" ref="D287:K292" si="35">D319</f>
        <v>0.41</v>
      </c>
      <c r="E287" s="46" t="str">
        <f t="shared" si="35"/>
        <v>Liu, Yuan et al. 2019</v>
      </c>
      <c r="F287" s="101" t="s">
        <v>78</v>
      </c>
      <c r="G287" s="58">
        <f t="shared" si="35"/>
        <v>2</v>
      </c>
      <c r="H287" s="58">
        <f t="shared" si="35"/>
        <v>2</v>
      </c>
      <c r="I287" s="58">
        <f t="shared" si="35"/>
        <v>3</v>
      </c>
      <c r="J287" s="58">
        <f t="shared" si="35"/>
        <v>3</v>
      </c>
      <c r="K287" s="14">
        <f t="shared" si="35"/>
        <v>1</v>
      </c>
      <c r="L287" s="98">
        <f t="shared" si="33"/>
        <v>0.51126068492676302</v>
      </c>
      <c r="M287" s="82"/>
    </row>
    <row r="288" spans="1:13" x14ac:dyDescent="0.2">
      <c r="A288" s="182" t="s">
        <v>385</v>
      </c>
      <c r="B288" s="47" t="s">
        <v>339</v>
      </c>
      <c r="C288" s="10" t="s">
        <v>65</v>
      </c>
      <c r="D288" s="44">
        <f t="shared" si="35"/>
        <v>0.78343949044585992</v>
      </c>
      <c r="E288" s="32" t="str">
        <f t="shared" si="35"/>
        <v>Murphy, F.; Ewins, C.; Carbonnier, F.; Quinn, B. Wastewater Treatment Works (WwTW) as a Source of Microplastics in the Aquatic Environment. Environ. Sci. Technol. 2016, acs.est.5b05416.</v>
      </c>
      <c r="F288" s="99" t="s">
        <v>78</v>
      </c>
      <c r="G288" s="57">
        <f t="shared" si="35"/>
        <v>2</v>
      </c>
      <c r="H288" s="57">
        <f t="shared" si="35"/>
        <v>2</v>
      </c>
      <c r="I288" s="57">
        <f t="shared" si="35"/>
        <v>3</v>
      </c>
      <c r="J288" s="57">
        <f t="shared" si="35"/>
        <v>3</v>
      </c>
      <c r="K288" s="11">
        <f t="shared" si="35"/>
        <v>1</v>
      </c>
      <c r="L288" s="63">
        <f t="shared" si="33"/>
        <v>0.51126068492676302</v>
      </c>
    </row>
    <row r="289" spans="1:13" x14ac:dyDescent="0.2">
      <c r="A289" s="182" t="s">
        <v>385</v>
      </c>
      <c r="B289" s="47" t="s">
        <v>339</v>
      </c>
      <c r="C289" s="10" t="s">
        <v>65</v>
      </c>
      <c r="D289" s="44">
        <f t="shared" si="35"/>
        <v>0.91509433962264153</v>
      </c>
      <c r="E289" s="32" t="str">
        <f t="shared" si="35"/>
        <v>Talvitie, J.; Heinonen, M. Preliminary Study on Synthetic Microfibers and Particles at a Municipal Waste Water Treatment Plant; 2014.</v>
      </c>
      <c r="F289" s="99" t="s">
        <v>78</v>
      </c>
      <c r="G289" s="57">
        <f t="shared" si="35"/>
        <v>2</v>
      </c>
      <c r="H289" s="57">
        <f t="shared" si="35"/>
        <v>2</v>
      </c>
      <c r="I289" s="57">
        <f t="shared" si="35"/>
        <v>3</v>
      </c>
      <c r="J289" s="57">
        <f t="shared" si="35"/>
        <v>3</v>
      </c>
      <c r="K289" s="11">
        <f t="shared" si="35"/>
        <v>1</v>
      </c>
      <c r="L289" s="63">
        <f t="shared" si="33"/>
        <v>0.51126068492676302</v>
      </c>
    </row>
    <row r="290" spans="1:13" x14ac:dyDescent="0.2">
      <c r="A290" s="182" t="s">
        <v>385</v>
      </c>
      <c r="B290" s="47" t="s">
        <v>339</v>
      </c>
      <c r="C290" s="10" t="s">
        <v>65</v>
      </c>
      <c r="D290" s="44">
        <f t="shared" si="35"/>
        <v>0.97399999999999998</v>
      </c>
      <c r="E290" s="32" t="str">
        <f t="shared" si="35"/>
        <v>Talvitie, J.; Mikola, A.; Setälä, O.; Heinonen, M.; Koistinen, A. How Well Is Microlitter Purified from Wastewater? A Detailed Study on the Stepwise Removal of Microlitter in a Tertiary Level Wastewater Treatment Plant. Water Res. 2017, 109, 164–172.</v>
      </c>
      <c r="F290" s="99" t="s">
        <v>78</v>
      </c>
      <c r="G290" s="57">
        <f t="shared" si="35"/>
        <v>2</v>
      </c>
      <c r="H290" s="57">
        <f t="shared" si="35"/>
        <v>2</v>
      </c>
      <c r="I290" s="57">
        <f t="shared" si="35"/>
        <v>3</v>
      </c>
      <c r="J290" s="57">
        <f t="shared" si="35"/>
        <v>3</v>
      </c>
      <c r="K290" s="11">
        <f t="shared" si="35"/>
        <v>1</v>
      </c>
      <c r="L290" s="63">
        <f t="shared" si="33"/>
        <v>0.51126068492676302</v>
      </c>
    </row>
    <row r="291" spans="1:13" x14ac:dyDescent="0.2">
      <c r="A291" s="182" t="s">
        <v>385</v>
      </c>
      <c r="B291" s="47" t="s">
        <v>339</v>
      </c>
      <c r="C291" s="10" t="s">
        <v>65</v>
      </c>
      <c r="D291" s="44">
        <f t="shared" si="35"/>
        <v>0.98399999999999999</v>
      </c>
      <c r="E291" s="32" t="str">
        <f t="shared" si="35"/>
        <v>Talvitie, J.; Mikola, A.; Setälä, O.; Heinonen, M.; Koistinen, A. How Well Is Microlitter Purified from Wastewater? A Detailed Study on the Stepwise Removal of Microlitter in a Tertiary Level Wastewater Treatment Plant. Water Res. 2017, 109, 164–172.</v>
      </c>
      <c r="F291" s="99" t="s">
        <v>78</v>
      </c>
      <c r="G291" s="57">
        <f t="shared" si="35"/>
        <v>2</v>
      </c>
      <c r="H291" s="57">
        <f t="shared" si="35"/>
        <v>2</v>
      </c>
      <c r="I291" s="57">
        <f t="shared" si="35"/>
        <v>3</v>
      </c>
      <c r="J291" s="57">
        <f t="shared" si="35"/>
        <v>3</v>
      </c>
      <c r="K291" s="11">
        <f t="shared" si="35"/>
        <v>1</v>
      </c>
      <c r="L291" s="63">
        <f t="shared" si="33"/>
        <v>0.51126068492676302</v>
      </c>
    </row>
    <row r="292" spans="1:13" x14ac:dyDescent="0.2">
      <c r="A292" s="182" t="s">
        <v>385</v>
      </c>
      <c r="B292" s="47" t="s">
        <v>339</v>
      </c>
      <c r="C292" s="10" t="s">
        <v>65</v>
      </c>
      <c r="D292" s="44">
        <f t="shared" si="35"/>
        <v>0.68936446173800259</v>
      </c>
      <c r="E292" s="32" t="str">
        <f t="shared" si="35"/>
        <v>Ziajahromi, S.; Neale, P. A.; Rintoul, L.; Leusch, F. D. L. Wastewater Treatment Plants as a Pathway for Microplastics: Development of a New Approach to Sample Wastewater-Based Microplastics. Water Res. 2017, 112, 93–99.</v>
      </c>
      <c r="F292" s="99" t="s">
        <v>78</v>
      </c>
      <c r="G292" s="57">
        <f t="shared" si="35"/>
        <v>2</v>
      </c>
      <c r="H292" s="57">
        <f t="shared" si="35"/>
        <v>2</v>
      </c>
      <c r="I292" s="57">
        <f t="shared" si="35"/>
        <v>3</v>
      </c>
      <c r="J292" s="57">
        <f t="shared" si="35"/>
        <v>3</v>
      </c>
      <c r="K292" s="11">
        <f t="shared" si="35"/>
        <v>1</v>
      </c>
      <c r="L292" s="63">
        <f t="shared" si="33"/>
        <v>0.51126068492676302</v>
      </c>
    </row>
    <row r="293" spans="1:13" s="73" customFormat="1" x14ac:dyDescent="0.2">
      <c r="A293" s="184" t="s">
        <v>385</v>
      </c>
      <c r="B293" s="183" t="s">
        <v>384</v>
      </c>
      <c r="C293" s="40" t="s">
        <v>65</v>
      </c>
      <c r="D293" s="187" t="s">
        <v>56</v>
      </c>
      <c r="E293" s="33"/>
      <c r="F293" s="102" t="s">
        <v>78</v>
      </c>
      <c r="G293" s="75"/>
      <c r="H293" s="75"/>
      <c r="I293" s="75"/>
      <c r="J293" s="75"/>
      <c r="K293" s="29"/>
      <c r="L293" s="76" t="str">
        <f t="shared" si="33"/>
        <v/>
      </c>
      <c r="M293" s="81"/>
    </row>
    <row r="294" spans="1:13" s="72" customFormat="1" x14ac:dyDescent="0.2">
      <c r="A294" s="185" t="s">
        <v>382</v>
      </c>
      <c r="B294" s="113" t="s">
        <v>47</v>
      </c>
      <c r="C294" s="67" t="s">
        <v>65</v>
      </c>
      <c r="D294" s="45">
        <v>0.8</v>
      </c>
      <c r="E294" s="79" t="s">
        <v>71</v>
      </c>
      <c r="F294" s="95" t="s">
        <v>78</v>
      </c>
      <c r="G294" s="68">
        <v>3</v>
      </c>
      <c r="H294" s="68">
        <v>3</v>
      </c>
      <c r="I294" s="68">
        <v>3</v>
      </c>
      <c r="J294" s="68">
        <v>3</v>
      </c>
      <c r="K294" s="83">
        <v>3</v>
      </c>
      <c r="L294" s="16">
        <f t="shared" si="33"/>
        <v>1.2132328390150593</v>
      </c>
      <c r="M294" s="82" t="s">
        <v>383</v>
      </c>
    </row>
    <row r="295" spans="1:13" x14ac:dyDescent="0.2">
      <c r="A295" s="182" t="s">
        <v>382</v>
      </c>
      <c r="B295" s="175" t="s">
        <v>374</v>
      </c>
      <c r="C295" s="64" t="s">
        <v>65</v>
      </c>
      <c r="D295" s="44">
        <v>3.2000000000000001E-2</v>
      </c>
      <c r="E295" s="77" t="s">
        <v>380</v>
      </c>
      <c r="F295" s="94" t="s">
        <v>78</v>
      </c>
      <c r="G295" s="65">
        <v>1</v>
      </c>
      <c r="H295" s="65">
        <v>3</v>
      </c>
      <c r="I295" s="65">
        <v>3</v>
      </c>
      <c r="J295" s="65">
        <v>3</v>
      </c>
      <c r="K295" s="66">
        <v>3</v>
      </c>
      <c r="L295" s="34">
        <f t="shared" si="33"/>
        <v>1.1666438005107913</v>
      </c>
      <c r="M295" s="80" t="s">
        <v>379</v>
      </c>
    </row>
    <row r="296" spans="1:13" x14ac:dyDescent="0.2">
      <c r="A296" s="182" t="s">
        <v>382</v>
      </c>
      <c r="B296" s="175" t="s">
        <v>374</v>
      </c>
      <c r="C296" s="64" t="s">
        <v>65</v>
      </c>
      <c r="D296" s="116">
        <v>2.9826370000000001E-2</v>
      </c>
      <c r="E296" s="77" t="s">
        <v>378</v>
      </c>
      <c r="F296" s="94" t="s">
        <v>78</v>
      </c>
      <c r="G296" s="65">
        <v>1</v>
      </c>
      <c r="H296" s="65">
        <v>4</v>
      </c>
      <c r="I296" s="65">
        <v>3</v>
      </c>
      <c r="J296" s="65">
        <v>3</v>
      </c>
      <c r="K296" s="66">
        <v>1</v>
      </c>
      <c r="L296" s="34">
        <f t="shared" si="33"/>
        <v>1.123005955058592</v>
      </c>
    </row>
    <row r="297" spans="1:13" s="73" customFormat="1" x14ac:dyDescent="0.2">
      <c r="A297" s="184" t="s">
        <v>382</v>
      </c>
      <c r="B297" s="186" t="s">
        <v>370</v>
      </c>
      <c r="C297" s="69" t="s">
        <v>65</v>
      </c>
      <c r="D297" s="87" t="s">
        <v>56</v>
      </c>
      <c r="E297" s="78"/>
      <c r="F297" s="96" t="s">
        <v>78</v>
      </c>
      <c r="G297" s="75"/>
      <c r="H297" s="75"/>
      <c r="I297" s="75"/>
      <c r="J297" s="75"/>
      <c r="K297" s="29"/>
      <c r="L297" s="76" t="str">
        <f t="shared" si="33"/>
        <v/>
      </c>
      <c r="M297" s="81"/>
    </row>
    <row r="298" spans="1:13" s="72" customFormat="1" x14ac:dyDescent="0.2">
      <c r="A298" s="185" t="s">
        <v>693</v>
      </c>
      <c r="B298" s="113" t="s">
        <v>47</v>
      </c>
      <c r="C298" s="67" t="s">
        <v>65</v>
      </c>
      <c r="D298" s="45">
        <v>0.3</v>
      </c>
      <c r="E298" s="79" t="s">
        <v>71</v>
      </c>
      <c r="F298" s="95" t="s">
        <v>78</v>
      </c>
      <c r="G298" s="68">
        <v>3</v>
      </c>
      <c r="H298" s="68">
        <v>3</v>
      </c>
      <c r="I298" s="68">
        <v>3</v>
      </c>
      <c r="J298" s="68">
        <v>3</v>
      </c>
      <c r="K298" s="83">
        <v>3</v>
      </c>
      <c r="L298" s="16">
        <f t="shared" si="33"/>
        <v>1.2132328390150593</v>
      </c>
      <c r="M298" s="82" t="s">
        <v>383</v>
      </c>
    </row>
    <row r="299" spans="1:13" x14ac:dyDescent="0.2">
      <c r="A299" s="182" t="s">
        <v>693</v>
      </c>
      <c r="B299" s="175" t="s">
        <v>694</v>
      </c>
      <c r="C299" s="64" t="s">
        <v>65</v>
      </c>
      <c r="D299" s="44">
        <v>3.2000000000000001E-2</v>
      </c>
      <c r="E299" s="77" t="s">
        <v>380</v>
      </c>
      <c r="F299" s="94" t="s">
        <v>78</v>
      </c>
      <c r="G299" s="65">
        <v>1</v>
      </c>
      <c r="H299" s="65">
        <v>3</v>
      </c>
      <c r="I299" s="65">
        <v>3</v>
      </c>
      <c r="J299" s="65">
        <v>3</v>
      </c>
      <c r="K299" s="66">
        <v>3</v>
      </c>
      <c r="L299" s="34">
        <f t="shared" si="33"/>
        <v>1.1666438005107913</v>
      </c>
      <c r="M299" s="80" t="s">
        <v>379</v>
      </c>
    </row>
    <row r="300" spans="1:13" x14ac:dyDescent="0.2">
      <c r="A300" s="182" t="s">
        <v>693</v>
      </c>
      <c r="B300" s="175" t="s">
        <v>694</v>
      </c>
      <c r="C300" s="64" t="s">
        <v>65</v>
      </c>
      <c r="D300" s="116">
        <v>2.9826370000000001E-2</v>
      </c>
      <c r="E300" s="77" t="s">
        <v>378</v>
      </c>
      <c r="F300" s="94" t="s">
        <v>78</v>
      </c>
      <c r="G300" s="65">
        <v>1</v>
      </c>
      <c r="H300" s="65">
        <v>4</v>
      </c>
      <c r="I300" s="65">
        <v>3</v>
      </c>
      <c r="J300" s="65">
        <v>3</v>
      </c>
      <c r="K300" s="66">
        <v>1</v>
      </c>
      <c r="L300" s="34">
        <f t="shared" si="33"/>
        <v>1.123005955058592</v>
      </c>
    </row>
    <row r="301" spans="1:13" s="73" customFormat="1" x14ac:dyDescent="0.2">
      <c r="A301" s="184" t="s">
        <v>693</v>
      </c>
      <c r="B301" s="186" t="s">
        <v>695</v>
      </c>
      <c r="C301" s="69" t="s">
        <v>65</v>
      </c>
      <c r="D301" s="87" t="s">
        <v>56</v>
      </c>
      <c r="E301" s="78"/>
      <c r="F301" s="96" t="s">
        <v>78</v>
      </c>
      <c r="G301" s="75"/>
      <c r="H301" s="75"/>
      <c r="I301" s="75"/>
      <c r="J301" s="75"/>
      <c r="K301" s="29"/>
      <c r="L301" s="76" t="str">
        <f t="shared" si="33"/>
        <v/>
      </c>
      <c r="M301" s="81"/>
    </row>
    <row r="302" spans="1:13" s="72" customFormat="1" x14ac:dyDescent="0.2">
      <c r="A302" s="185" t="s">
        <v>376</v>
      </c>
      <c r="B302" s="113" t="s">
        <v>47</v>
      </c>
      <c r="C302" s="67" t="s">
        <v>65</v>
      </c>
      <c r="D302" s="39">
        <v>0</v>
      </c>
      <c r="E302" s="79"/>
      <c r="F302" s="95" t="s">
        <v>78</v>
      </c>
      <c r="G302" s="61"/>
      <c r="H302" s="61"/>
      <c r="I302" s="61"/>
      <c r="J302" s="61"/>
      <c r="K302" s="30"/>
      <c r="L302" s="62" t="str">
        <f t="shared" si="33"/>
        <v/>
      </c>
      <c r="M302" s="82" t="s">
        <v>381</v>
      </c>
    </row>
    <row r="303" spans="1:13" x14ac:dyDescent="0.2">
      <c r="A303" s="182" t="s">
        <v>376</v>
      </c>
      <c r="B303" s="175" t="s">
        <v>373</v>
      </c>
      <c r="C303" s="64" t="s">
        <v>65</v>
      </c>
      <c r="D303" s="44">
        <v>3.2000000000000001E-2</v>
      </c>
      <c r="E303" s="77" t="s">
        <v>380</v>
      </c>
      <c r="F303" s="94" t="s">
        <v>78</v>
      </c>
      <c r="G303" s="57">
        <v>1</v>
      </c>
      <c r="H303" s="57">
        <v>3</v>
      </c>
      <c r="I303" s="57">
        <v>3</v>
      </c>
      <c r="J303" s="57">
        <v>3</v>
      </c>
      <c r="K303" s="11">
        <v>3</v>
      </c>
      <c r="L303" s="34">
        <f t="shared" si="33"/>
        <v>1.1666438005107913</v>
      </c>
      <c r="M303" s="80" t="s">
        <v>379</v>
      </c>
    </row>
    <row r="304" spans="1:13" x14ac:dyDescent="0.2">
      <c r="A304" s="182" t="s">
        <v>376</v>
      </c>
      <c r="B304" s="175" t="s">
        <v>373</v>
      </c>
      <c r="C304" s="64" t="s">
        <v>65</v>
      </c>
      <c r="D304" s="116">
        <v>2.9826370000000001E-2</v>
      </c>
      <c r="E304" s="77" t="s">
        <v>378</v>
      </c>
      <c r="F304" s="99" t="s">
        <v>78</v>
      </c>
      <c r="G304" s="57">
        <v>1</v>
      </c>
      <c r="H304" s="57">
        <v>4</v>
      </c>
      <c r="I304" s="57">
        <v>3</v>
      </c>
      <c r="J304" s="57">
        <v>3</v>
      </c>
      <c r="K304" s="11">
        <v>1</v>
      </c>
      <c r="L304" s="34">
        <f t="shared" si="33"/>
        <v>1.123005955058592</v>
      </c>
      <c r="M304" s="80" t="s">
        <v>377</v>
      </c>
    </row>
    <row r="305" spans="1:13" x14ac:dyDescent="0.2">
      <c r="A305" s="182" t="s">
        <v>376</v>
      </c>
      <c r="B305" s="175" t="s">
        <v>363</v>
      </c>
      <c r="C305" s="64" t="s">
        <v>65</v>
      </c>
      <c r="D305" s="9" t="s">
        <v>56</v>
      </c>
      <c r="F305" s="94" t="s">
        <v>78</v>
      </c>
      <c r="G305" s="74"/>
      <c r="H305" s="74"/>
      <c r="I305" s="74"/>
      <c r="J305" s="74"/>
      <c r="K305" s="85"/>
      <c r="L305" s="60" t="str">
        <f t="shared" ref="L305:L360" si="36">IF( OR( ISBLANK(G305),ISBLANK(H305), ISBLANK(I305), ISBLANK(J305), ISBLANK(K305) ), "", 1.5*SQRT(   EXP(2.21*(G305-1)) + EXP(2.21*(H305-1)) + EXP(2.21*(I305-1)) + EXP(2.21*(J305-1)) + EXP(2.21*K305)   )/100*2.45 )</f>
        <v/>
      </c>
      <c r="M305" s="80" t="s">
        <v>375</v>
      </c>
    </row>
    <row r="306" spans="1:13" s="72" customFormat="1" x14ac:dyDescent="0.2">
      <c r="A306" s="185" t="s">
        <v>374</v>
      </c>
      <c r="B306" s="113" t="s">
        <v>47</v>
      </c>
      <c r="C306" s="13" t="s">
        <v>65</v>
      </c>
      <c r="D306" s="45">
        <v>0</v>
      </c>
      <c r="E306" s="46" t="s">
        <v>71</v>
      </c>
      <c r="F306" s="101" t="s">
        <v>78</v>
      </c>
      <c r="G306" s="58">
        <v>3</v>
      </c>
      <c r="H306" s="58">
        <v>3</v>
      </c>
      <c r="I306" s="58">
        <v>3</v>
      </c>
      <c r="J306" s="58">
        <v>3</v>
      </c>
      <c r="K306" s="14">
        <v>3</v>
      </c>
      <c r="L306" s="98">
        <f t="shared" si="36"/>
        <v>1.2132328390150593</v>
      </c>
      <c r="M306" s="82"/>
    </row>
    <row r="307" spans="1:13" x14ac:dyDescent="0.2">
      <c r="A307" s="182" t="s">
        <v>374</v>
      </c>
      <c r="B307" s="52" t="s">
        <v>47</v>
      </c>
      <c r="C307" s="10" t="s">
        <v>65</v>
      </c>
      <c r="D307" s="44">
        <v>1</v>
      </c>
      <c r="E307" s="32" t="s">
        <v>71</v>
      </c>
      <c r="F307" s="99" t="s">
        <v>78</v>
      </c>
      <c r="G307" s="57">
        <v>3</v>
      </c>
      <c r="H307" s="57">
        <v>3</v>
      </c>
      <c r="I307" s="57">
        <v>3</v>
      </c>
      <c r="J307" s="57">
        <v>3</v>
      </c>
      <c r="K307" s="11">
        <v>3</v>
      </c>
      <c r="L307" s="63">
        <f t="shared" si="36"/>
        <v>1.2132328390150593</v>
      </c>
    </row>
    <row r="308" spans="1:13" s="73" customFormat="1" x14ac:dyDescent="0.2">
      <c r="A308" s="184" t="s">
        <v>374</v>
      </c>
      <c r="B308" s="183" t="s">
        <v>353</v>
      </c>
      <c r="C308" s="40" t="s">
        <v>65</v>
      </c>
      <c r="D308" s="87" t="s">
        <v>56</v>
      </c>
      <c r="E308" s="33"/>
      <c r="F308" s="102" t="s">
        <v>78</v>
      </c>
      <c r="G308" s="75"/>
      <c r="H308" s="75"/>
      <c r="I308" s="75"/>
      <c r="J308" s="75"/>
      <c r="K308" s="29"/>
      <c r="L308" s="76" t="str">
        <f t="shared" si="36"/>
        <v/>
      </c>
      <c r="M308" s="81"/>
    </row>
    <row r="309" spans="1:13" s="72" customFormat="1" x14ac:dyDescent="0.2">
      <c r="A309" s="185" t="s">
        <v>694</v>
      </c>
      <c r="B309" s="113" t="s">
        <v>47</v>
      </c>
      <c r="C309" s="13" t="s">
        <v>65</v>
      </c>
      <c r="D309" s="45">
        <v>0</v>
      </c>
      <c r="E309" s="46" t="s">
        <v>71</v>
      </c>
      <c r="F309" s="101" t="s">
        <v>78</v>
      </c>
      <c r="G309" s="58">
        <v>3</v>
      </c>
      <c r="H309" s="58">
        <v>3</v>
      </c>
      <c r="I309" s="58">
        <v>3</v>
      </c>
      <c r="J309" s="58">
        <v>3</v>
      </c>
      <c r="K309" s="14">
        <v>3</v>
      </c>
      <c r="L309" s="98">
        <f t="shared" si="36"/>
        <v>1.2132328390150593</v>
      </c>
      <c r="M309" s="82"/>
    </row>
    <row r="310" spans="1:13" s="73" customFormat="1" x14ac:dyDescent="0.2">
      <c r="A310" s="184" t="s">
        <v>694</v>
      </c>
      <c r="B310" s="183" t="s">
        <v>353</v>
      </c>
      <c r="C310" s="40" t="s">
        <v>65</v>
      </c>
      <c r="D310" s="87" t="s">
        <v>56</v>
      </c>
      <c r="E310" s="33"/>
      <c r="F310" s="102" t="s">
        <v>78</v>
      </c>
      <c r="G310" s="75"/>
      <c r="H310" s="75"/>
      <c r="I310" s="75"/>
      <c r="J310" s="75"/>
      <c r="K310" s="29"/>
      <c r="L310" s="76" t="str">
        <f t="shared" si="36"/>
        <v/>
      </c>
      <c r="M310" s="81"/>
    </row>
    <row r="311" spans="1:13" s="108" customFormat="1" x14ac:dyDescent="0.2">
      <c r="A311" s="284" t="s">
        <v>373</v>
      </c>
      <c r="B311" s="285" t="s">
        <v>320</v>
      </c>
      <c r="C311" s="271" t="s">
        <v>65</v>
      </c>
      <c r="D311" s="272">
        <v>1</v>
      </c>
      <c r="E311" s="273" t="s">
        <v>71</v>
      </c>
      <c r="F311" s="274" t="s">
        <v>78</v>
      </c>
      <c r="G311" s="110"/>
      <c r="H311" s="110"/>
      <c r="I311" s="110"/>
      <c r="J311" s="110"/>
      <c r="K311" s="111"/>
      <c r="L311" s="112" t="str">
        <f t="shared" si="36"/>
        <v/>
      </c>
      <c r="M311" s="109"/>
    </row>
    <row r="312" spans="1:13" x14ac:dyDescent="0.2">
      <c r="A312" s="182" t="s">
        <v>370</v>
      </c>
      <c r="B312" s="178" t="s">
        <v>353</v>
      </c>
      <c r="C312" s="64" t="s">
        <v>65</v>
      </c>
      <c r="D312" s="9">
        <v>0</v>
      </c>
      <c r="E312" s="77" t="s">
        <v>356</v>
      </c>
      <c r="F312" s="94" t="s">
        <v>78</v>
      </c>
      <c r="G312" s="74"/>
      <c r="H312" s="74"/>
      <c r="I312" s="74"/>
      <c r="J312" s="74"/>
      <c r="K312" s="85"/>
      <c r="L312" s="60" t="str">
        <f t="shared" si="36"/>
        <v/>
      </c>
      <c r="M312" s="80" t="s">
        <v>369</v>
      </c>
    </row>
    <row r="313" spans="1:13" x14ac:dyDescent="0.2">
      <c r="A313" s="182" t="s">
        <v>370</v>
      </c>
      <c r="B313" s="175" t="s">
        <v>342</v>
      </c>
      <c r="C313" s="64" t="s">
        <v>65</v>
      </c>
      <c r="D313" s="116">
        <f>(0.9-D294)/(1-D294-D295)</f>
        <v>0.59523809523809523</v>
      </c>
      <c r="E313" s="77" t="s">
        <v>372</v>
      </c>
      <c r="F313" s="94" t="s">
        <v>78</v>
      </c>
      <c r="G313" s="57">
        <v>1</v>
      </c>
      <c r="H313" s="57">
        <v>1</v>
      </c>
      <c r="I313" s="57">
        <v>3</v>
      </c>
      <c r="J313" s="57">
        <v>3</v>
      </c>
      <c r="K313" s="11">
        <v>3</v>
      </c>
      <c r="L313" s="34">
        <f t="shared" si="36"/>
        <v>1.1181151966036349</v>
      </c>
      <c r="M313" s="80" t="s">
        <v>371</v>
      </c>
    </row>
    <row r="314" spans="1:13" s="73" customFormat="1" x14ac:dyDescent="0.2">
      <c r="A314" s="184" t="s">
        <v>370</v>
      </c>
      <c r="B314" s="186" t="s">
        <v>360</v>
      </c>
      <c r="C314" s="69" t="s">
        <v>65</v>
      </c>
      <c r="D314" s="187" t="s">
        <v>56</v>
      </c>
      <c r="E314" s="78"/>
      <c r="F314" s="96" t="s">
        <v>78</v>
      </c>
      <c r="G314" s="75"/>
      <c r="H314" s="75"/>
      <c r="I314" s="75"/>
      <c r="J314" s="75"/>
      <c r="K314" s="29"/>
      <c r="L314" s="76" t="str">
        <f t="shared" si="36"/>
        <v/>
      </c>
      <c r="M314" s="81" t="s">
        <v>369</v>
      </c>
    </row>
    <row r="315" spans="1:13" s="72" customFormat="1" x14ac:dyDescent="0.2">
      <c r="A315" s="185" t="s">
        <v>695</v>
      </c>
      <c r="B315" s="180" t="s">
        <v>353</v>
      </c>
      <c r="C315" s="67" t="s">
        <v>65</v>
      </c>
      <c r="D315" s="39">
        <v>0</v>
      </c>
      <c r="E315" s="77" t="s">
        <v>356</v>
      </c>
      <c r="F315" s="95" t="s">
        <v>78</v>
      </c>
      <c r="G315" s="61"/>
      <c r="H315" s="61"/>
      <c r="I315" s="61"/>
      <c r="J315" s="61"/>
      <c r="K315" s="30"/>
      <c r="L315" s="62" t="str">
        <f t="shared" si="36"/>
        <v/>
      </c>
      <c r="M315" s="80" t="s">
        <v>369</v>
      </c>
    </row>
    <row r="316" spans="1:13" x14ac:dyDescent="0.2">
      <c r="A316" s="182" t="s">
        <v>695</v>
      </c>
      <c r="B316" s="175" t="s">
        <v>342</v>
      </c>
      <c r="C316" s="64" t="s">
        <v>65</v>
      </c>
      <c r="D316" s="116">
        <f>(0.5-D298)/(1-D298-D299)</f>
        <v>0.29940119760479045</v>
      </c>
      <c r="E316" s="77" t="s">
        <v>71</v>
      </c>
      <c r="F316" s="94" t="s">
        <v>78</v>
      </c>
      <c r="G316" s="57">
        <v>1</v>
      </c>
      <c r="H316" s="57">
        <v>1</v>
      </c>
      <c r="I316" s="57">
        <v>3</v>
      </c>
      <c r="J316" s="57">
        <v>3</v>
      </c>
      <c r="K316" s="11">
        <v>3</v>
      </c>
      <c r="L316" s="34">
        <f t="shared" si="36"/>
        <v>1.1181151966036349</v>
      </c>
      <c r="M316" s="80" t="s">
        <v>791</v>
      </c>
    </row>
    <row r="317" spans="1:13" s="73" customFormat="1" x14ac:dyDescent="0.2">
      <c r="A317" s="184" t="s">
        <v>695</v>
      </c>
      <c r="B317" s="286" t="s">
        <v>734</v>
      </c>
      <c r="C317" s="69" t="s">
        <v>65</v>
      </c>
      <c r="D317" s="187" t="str">
        <f>D314</f>
        <v>rest</v>
      </c>
      <c r="E317" s="78" t="s">
        <v>356</v>
      </c>
      <c r="F317" s="96" t="s">
        <v>78</v>
      </c>
      <c r="G317" s="75"/>
      <c r="H317" s="75"/>
      <c r="I317" s="75"/>
      <c r="J317" s="75"/>
      <c r="K317" s="29"/>
      <c r="L317" s="76" t="str">
        <f t="shared" si="36"/>
        <v/>
      </c>
      <c r="M317" s="81" t="s">
        <v>369</v>
      </c>
    </row>
    <row r="318" spans="1:13" x14ac:dyDescent="0.2">
      <c r="A318" s="386" t="s">
        <v>363</v>
      </c>
      <c r="B318" s="172" t="s">
        <v>320</v>
      </c>
      <c r="C318" s="10" t="s">
        <v>65</v>
      </c>
      <c r="D318" s="44">
        <v>0</v>
      </c>
      <c r="E318" s="77" t="s">
        <v>356</v>
      </c>
      <c r="F318" s="94" t="s">
        <v>78</v>
      </c>
      <c r="G318" s="74"/>
      <c r="H318" s="74"/>
      <c r="I318" s="74"/>
      <c r="J318" s="74"/>
      <c r="K318" s="85"/>
      <c r="L318" s="60" t="str">
        <f t="shared" si="36"/>
        <v/>
      </c>
      <c r="M318" s="80" t="s">
        <v>369</v>
      </c>
    </row>
    <row r="319" spans="1:13" x14ac:dyDescent="0.2">
      <c r="A319" s="386" t="s">
        <v>363</v>
      </c>
      <c r="B319" s="213" t="s">
        <v>339</v>
      </c>
      <c r="C319" s="10" t="s">
        <v>65</v>
      </c>
      <c r="D319" s="116">
        <v>0.41</v>
      </c>
      <c r="E319" s="77" t="s">
        <v>827</v>
      </c>
      <c r="F319" s="94" t="s">
        <v>78</v>
      </c>
      <c r="G319" s="57">
        <v>2</v>
      </c>
      <c r="H319" s="57">
        <v>2</v>
      </c>
      <c r="I319" s="57">
        <v>3</v>
      </c>
      <c r="J319" s="57">
        <v>3</v>
      </c>
      <c r="K319" s="11">
        <v>1</v>
      </c>
      <c r="L319" s="34">
        <f t="shared" si="36"/>
        <v>0.51126068492676302</v>
      </c>
      <c r="M319" s="80" t="s">
        <v>368</v>
      </c>
    </row>
    <row r="320" spans="1:13" x14ac:dyDescent="0.2">
      <c r="A320" s="386" t="s">
        <v>363</v>
      </c>
      <c r="B320" s="213" t="s">
        <v>339</v>
      </c>
      <c r="C320" s="10" t="s">
        <v>65</v>
      </c>
      <c r="D320" s="116">
        <f>1-3.4/15.7</f>
        <v>0.78343949044585992</v>
      </c>
      <c r="E320" s="77" t="s">
        <v>367</v>
      </c>
      <c r="F320" s="94" t="s">
        <v>78</v>
      </c>
      <c r="G320" s="57">
        <v>2</v>
      </c>
      <c r="H320" s="57">
        <v>2</v>
      </c>
      <c r="I320" s="57">
        <v>3</v>
      </c>
      <c r="J320" s="57">
        <v>3</v>
      </c>
      <c r="K320" s="11">
        <v>1</v>
      </c>
      <c r="L320" s="34">
        <f t="shared" si="36"/>
        <v>0.51126068492676302</v>
      </c>
    </row>
    <row r="321" spans="1:13" x14ac:dyDescent="0.2">
      <c r="A321" s="386" t="s">
        <v>363</v>
      </c>
      <c r="B321" s="213" t="s">
        <v>339</v>
      </c>
      <c r="C321" s="10" t="s">
        <v>65</v>
      </c>
      <c r="D321" s="116">
        <f>1-(33+21)/(476+160)</f>
        <v>0.91509433962264153</v>
      </c>
      <c r="E321" s="77" t="s">
        <v>366</v>
      </c>
      <c r="F321" s="94" t="s">
        <v>78</v>
      </c>
      <c r="G321" s="57">
        <v>2</v>
      </c>
      <c r="H321" s="57">
        <v>2</v>
      </c>
      <c r="I321" s="57">
        <v>3</v>
      </c>
      <c r="J321" s="57">
        <v>3</v>
      </c>
      <c r="K321" s="11">
        <v>1</v>
      </c>
      <c r="L321" s="34">
        <f t="shared" si="36"/>
        <v>0.51126068492676302</v>
      </c>
      <c r="M321" s="80" t="s">
        <v>365</v>
      </c>
    </row>
    <row r="322" spans="1:13" x14ac:dyDescent="0.2">
      <c r="A322" s="386" t="s">
        <v>363</v>
      </c>
      <c r="B322" s="213" t="s">
        <v>339</v>
      </c>
      <c r="C322" s="10" t="s">
        <v>65</v>
      </c>
      <c r="D322" s="116">
        <v>0.97399999999999998</v>
      </c>
      <c r="E322" s="77" t="s">
        <v>348</v>
      </c>
      <c r="F322" s="94" t="s">
        <v>78</v>
      </c>
      <c r="G322" s="57">
        <v>2</v>
      </c>
      <c r="H322" s="57">
        <v>2</v>
      </c>
      <c r="I322" s="57">
        <v>3</v>
      </c>
      <c r="J322" s="57">
        <v>3</v>
      </c>
      <c r="K322" s="11">
        <v>1</v>
      </c>
      <c r="L322" s="34">
        <f t="shared" si="36"/>
        <v>0.51126068492676302</v>
      </c>
    </row>
    <row r="323" spans="1:13" x14ac:dyDescent="0.2">
      <c r="A323" s="386" t="s">
        <v>363</v>
      </c>
      <c r="B323" s="213" t="s">
        <v>339</v>
      </c>
      <c r="C323" s="10" t="s">
        <v>65</v>
      </c>
      <c r="D323" s="116">
        <v>0.98399999999999999</v>
      </c>
      <c r="E323" s="77" t="s">
        <v>348</v>
      </c>
      <c r="F323" s="94" t="s">
        <v>78</v>
      </c>
      <c r="G323" s="57">
        <v>2</v>
      </c>
      <c r="H323" s="57">
        <v>2</v>
      </c>
      <c r="I323" s="57">
        <v>3</v>
      </c>
      <c r="J323" s="57">
        <v>3</v>
      </c>
      <c r="K323" s="11">
        <v>1</v>
      </c>
      <c r="L323" s="34">
        <f t="shared" si="36"/>
        <v>0.51126068492676302</v>
      </c>
    </row>
    <row r="324" spans="1:13" x14ac:dyDescent="0.2">
      <c r="A324" s="386" t="s">
        <v>363</v>
      </c>
      <c r="B324" s="213" t="s">
        <v>339</v>
      </c>
      <c r="C324" s="10" t="s">
        <v>65</v>
      </c>
      <c r="D324" s="116">
        <f>1-0.479/1.542</f>
        <v>0.68936446173800259</v>
      </c>
      <c r="E324" s="77" t="s">
        <v>346</v>
      </c>
      <c r="F324" s="94" t="s">
        <v>78</v>
      </c>
      <c r="G324" s="57">
        <v>2</v>
      </c>
      <c r="H324" s="57">
        <v>2</v>
      </c>
      <c r="I324" s="57">
        <v>3</v>
      </c>
      <c r="J324" s="57">
        <v>3</v>
      </c>
      <c r="K324" s="11">
        <v>1</v>
      </c>
      <c r="L324" s="34">
        <f t="shared" si="36"/>
        <v>0.51126068492676302</v>
      </c>
      <c r="M324" s="80" t="s">
        <v>364</v>
      </c>
    </row>
    <row r="325" spans="1:13" s="73" customFormat="1" x14ac:dyDescent="0.2">
      <c r="A325" s="387" t="s">
        <v>363</v>
      </c>
      <c r="B325" s="286" t="s">
        <v>357</v>
      </c>
      <c r="C325" s="40" t="s">
        <v>65</v>
      </c>
      <c r="D325" s="388" t="s">
        <v>56</v>
      </c>
      <c r="E325" s="78"/>
      <c r="F325" s="96" t="s">
        <v>78</v>
      </c>
      <c r="G325" s="59">
        <f>G314</f>
        <v>0</v>
      </c>
      <c r="H325" s="59">
        <f>H314</f>
        <v>0</v>
      </c>
      <c r="I325" s="59">
        <f>I314</f>
        <v>0</v>
      </c>
      <c r="J325" s="59">
        <f>J314</f>
        <v>0</v>
      </c>
      <c r="K325" s="15">
        <f>K314</f>
        <v>0</v>
      </c>
      <c r="L325" s="37">
        <f t="shared" si="36"/>
        <v>4.4081660908397297E-2</v>
      </c>
      <c r="M325" s="81" t="s">
        <v>362</v>
      </c>
    </row>
    <row r="326" spans="1:13" x14ac:dyDescent="0.2">
      <c r="A326" s="386" t="s">
        <v>360</v>
      </c>
      <c r="B326" s="172" t="s">
        <v>353</v>
      </c>
      <c r="C326" s="10" t="s">
        <v>65</v>
      </c>
      <c r="D326" s="389">
        <v>0</v>
      </c>
      <c r="E326" s="79"/>
      <c r="F326" s="94" t="s">
        <v>78</v>
      </c>
      <c r="G326" s="74"/>
      <c r="H326" s="74"/>
      <c r="I326" s="74"/>
      <c r="J326" s="74"/>
      <c r="K326" s="85"/>
      <c r="L326" s="60" t="str">
        <f t="shared" si="36"/>
        <v/>
      </c>
      <c r="M326" s="80" t="s">
        <v>737</v>
      </c>
    </row>
    <row r="327" spans="1:13" x14ac:dyDescent="0.2">
      <c r="A327" s="386" t="s">
        <v>360</v>
      </c>
      <c r="B327" s="213" t="s">
        <v>342</v>
      </c>
      <c r="C327" s="10" t="s">
        <v>65</v>
      </c>
      <c r="D327" s="44">
        <v>1</v>
      </c>
      <c r="E327" s="77" t="s">
        <v>71</v>
      </c>
      <c r="F327" s="94" t="s">
        <v>78</v>
      </c>
      <c r="G327" s="57">
        <v>3</v>
      </c>
      <c r="H327" s="57">
        <v>3</v>
      </c>
      <c r="I327" s="57">
        <v>3</v>
      </c>
      <c r="J327" s="57">
        <v>3</v>
      </c>
      <c r="K327" s="11">
        <v>3</v>
      </c>
      <c r="L327" s="34">
        <f t="shared" si="36"/>
        <v>1.2132328390150593</v>
      </c>
      <c r="M327" s="80" t="s">
        <v>736</v>
      </c>
    </row>
    <row r="328" spans="1:13" s="73" customFormat="1" x14ac:dyDescent="0.2">
      <c r="A328" s="387" t="s">
        <v>360</v>
      </c>
      <c r="B328" s="286" t="s">
        <v>354</v>
      </c>
      <c r="C328" s="40" t="s">
        <v>65</v>
      </c>
      <c r="D328" s="43">
        <v>0</v>
      </c>
      <c r="E328" s="78" t="s">
        <v>71</v>
      </c>
      <c r="F328" s="96" t="s">
        <v>78</v>
      </c>
      <c r="G328" s="75"/>
      <c r="H328" s="75"/>
      <c r="I328" s="75"/>
      <c r="J328" s="75"/>
      <c r="K328" s="29"/>
      <c r="L328" s="76" t="str">
        <f t="shared" si="36"/>
        <v/>
      </c>
      <c r="M328" s="81"/>
    </row>
    <row r="329" spans="1:13" x14ac:dyDescent="0.2">
      <c r="A329" s="386" t="s">
        <v>734</v>
      </c>
      <c r="B329" s="172" t="s">
        <v>353</v>
      </c>
      <c r="C329" s="10" t="s">
        <v>65</v>
      </c>
      <c r="D329" s="116" t="s">
        <v>56</v>
      </c>
      <c r="E329" s="79"/>
      <c r="F329" s="94" t="s">
        <v>78</v>
      </c>
      <c r="G329" s="74"/>
      <c r="H329" s="74"/>
      <c r="I329" s="74"/>
      <c r="J329" s="74"/>
      <c r="K329" s="85"/>
      <c r="L329" s="60" t="str">
        <f t="shared" si="36"/>
        <v/>
      </c>
    </row>
    <row r="330" spans="1:13" x14ac:dyDescent="0.2">
      <c r="A330" s="386" t="s">
        <v>734</v>
      </c>
      <c r="B330" s="213" t="s">
        <v>342</v>
      </c>
      <c r="C330" s="10" t="s">
        <v>65</v>
      </c>
      <c r="D330" s="44">
        <v>0.5</v>
      </c>
      <c r="E330" s="77" t="s">
        <v>71</v>
      </c>
      <c r="F330" s="94" t="s">
        <v>78</v>
      </c>
      <c r="G330" s="57">
        <v>3</v>
      </c>
      <c r="H330" s="57">
        <v>3</v>
      </c>
      <c r="I330" s="57">
        <v>3</v>
      </c>
      <c r="J330" s="57">
        <v>3</v>
      </c>
      <c r="K330" s="11">
        <v>3</v>
      </c>
      <c r="L330" s="34">
        <f t="shared" si="36"/>
        <v>1.2132328390150593</v>
      </c>
      <c r="M330" s="80" t="s">
        <v>361</v>
      </c>
    </row>
    <row r="331" spans="1:13" s="73" customFormat="1" x14ac:dyDescent="0.2">
      <c r="A331" s="387" t="s">
        <v>734</v>
      </c>
      <c r="B331" s="286" t="s">
        <v>354</v>
      </c>
      <c r="C331" s="40" t="s">
        <v>65</v>
      </c>
      <c r="D331" s="388">
        <f>(1-0.0322)*(1-D330)</f>
        <v>0.4839</v>
      </c>
      <c r="E331" s="78" t="s">
        <v>356</v>
      </c>
      <c r="F331" s="96" t="s">
        <v>78</v>
      </c>
      <c r="G331" s="59">
        <v>1</v>
      </c>
      <c r="H331" s="59">
        <v>2</v>
      </c>
      <c r="I331" s="59">
        <v>1</v>
      </c>
      <c r="J331" s="59">
        <v>1</v>
      </c>
      <c r="K331" s="15">
        <v>2</v>
      </c>
      <c r="L331" s="37">
        <f t="shared" si="36"/>
        <v>0.35859414261160716</v>
      </c>
      <c r="M331" s="81" t="s">
        <v>735</v>
      </c>
    </row>
    <row r="332" spans="1:13" x14ac:dyDescent="0.2">
      <c r="A332" s="386" t="s">
        <v>357</v>
      </c>
      <c r="B332" s="172" t="s">
        <v>320</v>
      </c>
      <c r="C332" s="10" t="s">
        <v>65</v>
      </c>
      <c r="D332" s="116">
        <v>0</v>
      </c>
      <c r="E332" s="77" t="s">
        <v>356</v>
      </c>
      <c r="F332" s="94" t="s">
        <v>78</v>
      </c>
      <c r="G332" s="57">
        <v>1</v>
      </c>
      <c r="H332" s="57">
        <v>1</v>
      </c>
      <c r="I332" s="57">
        <v>1</v>
      </c>
      <c r="J332" s="57">
        <v>1</v>
      </c>
      <c r="K332" s="11">
        <v>2</v>
      </c>
      <c r="L332" s="63">
        <f t="shared" si="36"/>
        <v>0.34297081055722239</v>
      </c>
      <c r="M332" s="80" t="s">
        <v>808</v>
      </c>
    </row>
    <row r="333" spans="1:13" x14ac:dyDescent="0.2">
      <c r="A333" s="386" t="s">
        <v>357</v>
      </c>
      <c r="B333" s="213" t="s">
        <v>339</v>
      </c>
      <c r="C333" s="10" t="s">
        <v>65</v>
      </c>
      <c r="D333" s="116">
        <f>1-(13.8+68.6)/(14.2+290.7)</f>
        <v>0.72974745818301079</v>
      </c>
      <c r="E333" s="77" t="s">
        <v>352</v>
      </c>
      <c r="F333" s="94" t="s">
        <v>78</v>
      </c>
      <c r="G333" s="57">
        <v>2</v>
      </c>
      <c r="H333" s="57">
        <v>2</v>
      </c>
      <c r="I333" s="57">
        <v>3</v>
      </c>
      <c r="J333" s="57">
        <v>3</v>
      </c>
      <c r="K333" s="11">
        <v>1</v>
      </c>
      <c r="L333" s="34">
        <f t="shared" si="36"/>
        <v>0.51126068492676302</v>
      </c>
      <c r="M333" s="80" t="s">
        <v>359</v>
      </c>
    </row>
    <row r="334" spans="1:13" x14ac:dyDescent="0.2">
      <c r="A334" s="386" t="s">
        <v>357</v>
      </c>
      <c r="B334" s="213" t="s">
        <v>339</v>
      </c>
      <c r="C334" s="10" t="s">
        <v>65</v>
      </c>
      <c r="D334" s="116">
        <v>7.0000000000000007E-2</v>
      </c>
      <c r="E334" s="77" t="s">
        <v>348</v>
      </c>
      <c r="F334" s="94" t="s">
        <v>78</v>
      </c>
      <c r="G334" s="57">
        <v>2</v>
      </c>
      <c r="H334" s="57">
        <v>2</v>
      </c>
      <c r="I334" s="57">
        <v>3</v>
      </c>
      <c r="J334" s="57">
        <v>3</v>
      </c>
      <c r="K334" s="11">
        <v>1</v>
      </c>
      <c r="L334" s="34">
        <f t="shared" si="36"/>
        <v>0.51126068492676302</v>
      </c>
    </row>
    <row r="335" spans="1:13" x14ac:dyDescent="0.2">
      <c r="A335" s="386" t="s">
        <v>357</v>
      </c>
      <c r="B335" s="213" t="s">
        <v>339</v>
      </c>
      <c r="C335" s="10" t="s">
        <v>65</v>
      </c>
      <c r="D335" s="116">
        <v>0.2</v>
      </c>
      <c r="E335" s="77" t="s">
        <v>348</v>
      </c>
      <c r="F335" s="94" t="s">
        <v>78</v>
      </c>
      <c r="G335" s="57">
        <v>2</v>
      </c>
      <c r="H335" s="57">
        <v>2</v>
      </c>
      <c r="I335" s="57">
        <v>3</v>
      </c>
      <c r="J335" s="57">
        <v>3</v>
      </c>
      <c r="K335" s="11">
        <v>1</v>
      </c>
      <c r="L335" s="34">
        <f t="shared" si="36"/>
        <v>0.51126068492676302</v>
      </c>
    </row>
    <row r="336" spans="1:13" x14ac:dyDescent="0.2">
      <c r="A336" s="386" t="s">
        <v>357</v>
      </c>
      <c r="B336" s="213" t="s">
        <v>339</v>
      </c>
      <c r="C336" s="10" t="s">
        <v>65</v>
      </c>
      <c r="D336" s="116">
        <f>1-0.342/0.479</f>
        <v>0.28601252609603334</v>
      </c>
      <c r="E336" s="77" t="s">
        <v>346</v>
      </c>
      <c r="F336" s="94" t="s">
        <v>78</v>
      </c>
      <c r="G336" s="57">
        <v>2</v>
      </c>
      <c r="H336" s="57">
        <v>2</v>
      </c>
      <c r="I336" s="57">
        <v>3</v>
      </c>
      <c r="J336" s="57">
        <v>3</v>
      </c>
      <c r="K336" s="11">
        <v>1</v>
      </c>
      <c r="L336" s="34">
        <f t="shared" si="36"/>
        <v>0.51126068492676302</v>
      </c>
      <c r="M336" s="80" t="s">
        <v>358</v>
      </c>
    </row>
    <row r="337" spans="1:13" x14ac:dyDescent="0.2">
      <c r="A337" s="386" t="s">
        <v>357</v>
      </c>
      <c r="B337" s="213" t="s">
        <v>339</v>
      </c>
      <c r="C337" s="10" t="s">
        <v>65</v>
      </c>
      <c r="D337" s="116">
        <v>0.81</v>
      </c>
      <c r="E337" s="77" t="s">
        <v>347</v>
      </c>
      <c r="F337" s="94" t="s">
        <v>78</v>
      </c>
      <c r="G337" s="57">
        <v>1</v>
      </c>
      <c r="H337" s="57">
        <v>2</v>
      </c>
      <c r="I337" s="57">
        <v>3</v>
      </c>
      <c r="J337" s="57">
        <v>3</v>
      </c>
      <c r="K337" s="11">
        <v>1</v>
      </c>
      <c r="L337" s="34">
        <f t="shared" si="36"/>
        <v>0.50042652380814845</v>
      </c>
    </row>
    <row r="338" spans="1:13" s="73" customFormat="1" x14ac:dyDescent="0.2">
      <c r="A338" s="387" t="s">
        <v>357</v>
      </c>
      <c r="B338" s="286" t="s">
        <v>344</v>
      </c>
      <c r="C338" s="40" t="s">
        <v>65</v>
      </c>
      <c r="D338" s="388">
        <v>0</v>
      </c>
      <c r="E338" s="78" t="s">
        <v>356</v>
      </c>
      <c r="F338" s="96" t="s">
        <v>78</v>
      </c>
      <c r="G338" s="59">
        <v>1</v>
      </c>
      <c r="H338" s="59">
        <v>2</v>
      </c>
      <c r="I338" s="59">
        <v>1</v>
      </c>
      <c r="J338" s="59">
        <v>1</v>
      </c>
      <c r="K338" s="15">
        <v>2</v>
      </c>
      <c r="L338" s="37">
        <f t="shared" si="36"/>
        <v>0.35859414261160716</v>
      </c>
      <c r="M338" s="81" t="s">
        <v>735</v>
      </c>
    </row>
    <row r="339" spans="1:13" s="72" customFormat="1" x14ac:dyDescent="0.2">
      <c r="A339" s="185" t="s">
        <v>354</v>
      </c>
      <c r="B339" s="113" t="s">
        <v>47</v>
      </c>
      <c r="C339" s="67" t="s">
        <v>65</v>
      </c>
      <c r="D339" s="39">
        <v>1</v>
      </c>
      <c r="E339" s="79" t="s">
        <v>71</v>
      </c>
      <c r="F339" s="95" t="s">
        <v>78</v>
      </c>
      <c r="G339" s="61"/>
      <c r="H339" s="61"/>
      <c r="I339" s="61"/>
      <c r="J339" s="61"/>
      <c r="K339" s="30"/>
      <c r="L339" s="62" t="str">
        <f t="shared" si="36"/>
        <v/>
      </c>
      <c r="M339" s="82" t="s">
        <v>355</v>
      </c>
    </row>
    <row r="340" spans="1:13" s="73" customFormat="1" x14ac:dyDescent="0.2">
      <c r="A340" s="184" t="s">
        <v>354</v>
      </c>
      <c r="B340" s="183" t="s">
        <v>353</v>
      </c>
      <c r="C340" s="69" t="s">
        <v>65</v>
      </c>
      <c r="D340" s="87">
        <v>0</v>
      </c>
      <c r="E340" s="78"/>
      <c r="F340" s="96" t="s">
        <v>78</v>
      </c>
      <c r="G340" s="75"/>
      <c r="H340" s="75"/>
      <c r="I340" s="75"/>
      <c r="J340" s="75"/>
      <c r="K340" s="29"/>
      <c r="L340" s="76" t="str">
        <f t="shared" si="36"/>
        <v/>
      </c>
      <c r="M340" s="81"/>
    </row>
    <row r="341" spans="1:13" x14ac:dyDescent="0.2">
      <c r="A341" s="386" t="s">
        <v>344</v>
      </c>
      <c r="B341" s="390" t="s">
        <v>47</v>
      </c>
      <c r="C341" s="10" t="s">
        <v>65</v>
      </c>
      <c r="D341" s="116">
        <f>1-(4.9+8.6)/(13.8+68.6)</f>
        <v>0.83616504854368934</v>
      </c>
      <c r="E341" s="77" t="s">
        <v>352</v>
      </c>
      <c r="F341" s="94" t="s">
        <v>78</v>
      </c>
      <c r="G341" s="57">
        <v>2</v>
      </c>
      <c r="H341" s="57">
        <v>2</v>
      </c>
      <c r="I341" s="57">
        <v>3</v>
      </c>
      <c r="J341" s="57">
        <v>3</v>
      </c>
      <c r="K341" s="11">
        <v>1</v>
      </c>
      <c r="L341" s="34">
        <f t="shared" si="36"/>
        <v>0.51126068492676302</v>
      </c>
      <c r="M341" s="80" t="s">
        <v>351</v>
      </c>
    </row>
    <row r="342" spans="1:13" x14ac:dyDescent="0.2">
      <c r="A342" s="386" t="s">
        <v>344</v>
      </c>
      <c r="B342" s="390" t="s">
        <v>47</v>
      </c>
      <c r="C342" s="10" t="s">
        <v>65</v>
      </c>
      <c r="D342" s="116">
        <v>0.97</v>
      </c>
      <c r="E342" s="77" t="s">
        <v>350</v>
      </c>
      <c r="F342" s="94" t="s">
        <v>78</v>
      </c>
      <c r="G342" s="57">
        <v>2</v>
      </c>
      <c r="H342" s="57">
        <v>2</v>
      </c>
      <c r="I342" s="57">
        <v>3</v>
      </c>
      <c r="J342" s="57">
        <v>3</v>
      </c>
      <c r="K342" s="11">
        <v>1</v>
      </c>
      <c r="L342" s="34">
        <f t="shared" si="36"/>
        <v>0.51126068492676302</v>
      </c>
      <c r="M342" s="80" t="s">
        <v>349</v>
      </c>
    </row>
    <row r="343" spans="1:13" x14ac:dyDescent="0.2">
      <c r="A343" s="386" t="s">
        <v>344</v>
      </c>
      <c r="B343" s="390" t="s">
        <v>47</v>
      </c>
      <c r="C343" s="10" t="s">
        <v>65</v>
      </c>
      <c r="D343" s="116">
        <v>0</v>
      </c>
      <c r="E343" s="77" t="s">
        <v>348</v>
      </c>
      <c r="F343" s="94" t="s">
        <v>78</v>
      </c>
      <c r="G343" s="57">
        <v>2</v>
      </c>
      <c r="H343" s="57">
        <v>2</v>
      </c>
      <c r="I343" s="57">
        <v>3</v>
      </c>
      <c r="J343" s="57">
        <v>3</v>
      </c>
      <c r="K343" s="11">
        <v>1</v>
      </c>
      <c r="L343" s="34">
        <f t="shared" si="36"/>
        <v>0.51126068492676302</v>
      </c>
    </row>
    <row r="344" spans="1:13" x14ac:dyDescent="0.2">
      <c r="A344" s="386" t="s">
        <v>344</v>
      </c>
      <c r="B344" s="390" t="s">
        <v>47</v>
      </c>
      <c r="C344" s="10" t="s">
        <v>65</v>
      </c>
      <c r="D344" s="116">
        <v>0.61</v>
      </c>
      <c r="E344" s="77" t="s">
        <v>347</v>
      </c>
      <c r="F344" s="94" t="s">
        <v>78</v>
      </c>
      <c r="G344" s="57">
        <v>1</v>
      </c>
      <c r="H344" s="57">
        <v>2</v>
      </c>
      <c r="I344" s="57">
        <v>3</v>
      </c>
      <c r="J344" s="57">
        <v>3</v>
      </c>
      <c r="K344" s="11">
        <v>1</v>
      </c>
      <c r="L344" s="34">
        <f t="shared" si="36"/>
        <v>0.50042652380814845</v>
      </c>
    </row>
    <row r="345" spans="1:13" x14ac:dyDescent="0.2">
      <c r="A345" s="386" t="s">
        <v>344</v>
      </c>
      <c r="B345" s="390" t="s">
        <v>47</v>
      </c>
      <c r="C345" s="10" t="s">
        <v>65</v>
      </c>
      <c r="D345" s="116">
        <f>1-0.207/0.342</f>
        <v>0.39473684210526327</v>
      </c>
      <c r="E345" s="77" t="s">
        <v>346</v>
      </c>
      <c r="F345" s="94" t="s">
        <v>78</v>
      </c>
      <c r="G345" s="57">
        <v>2</v>
      </c>
      <c r="H345" s="57">
        <v>2</v>
      </c>
      <c r="I345" s="57">
        <v>3</v>
      </c>
      <c r="J345" s="57">
        <v>3</v>
      </c>
      <c r="K345" s="11">
        <v>1</v>
      </c>
      <c r="L345" s="34">
        <f t="shared" si="36"/>
        <v>0.51126068492676302</v>
      </c>
      <c r="M345" s="80" t="s">
        <v>345</v>
      </c>
    </row>
    <row r="346" spans="1:13" x14ac:dyDescent="0.2">
      <c r="A346" s="386" t="s">
        <v>344</v>
      </c>
      <c r="B346" s="390" t="s">
        <v>47</v>
      </c>
      <c r="C346" s="10" t="s">
        <v>65</v>
      </c>
      <c r="D346" s="116">
        <v>1</v>
      </c>
      <c r="E346" s="77" t="s">
        <v>738</v>
      </c>
      <c r="F346" s="94" t="s">
        <v>78</v>
      </c>
      <c r="G346" s="74"/>
      <c r="H346" s="74"/>
      <c r="I346" s="74"/>
      <c r="J346" s="74"/>
      <c r="K346" s="85"/>
      <c r="L346" s="60" t="str">
        <f t="shared" si="36"/>
        <v/>
      </c>
    </row>
    <row r="347" spans="1:13" s="73" customFormat="1" x14ac:dyDescent="0.2">
      <c r="A347" s="387" t="s">
        <v>344</v>
      </c>
      <c r="B347" s="170" t="s">
        <v>320</v>
      </c>
      <c r="C347" s="40" t="s">
        <v>65</v>
      </c>
      <c r="D347" s="43" t="s">
        <v>56</v>
      </c>
      <c r="E347" s="78"/>
      <c r="F347" s="96" t="s">
        <v>78</v>
      </c>
      <c r="G347" s="75"/>
      <c r="H347" s="75"/>
      <c r="I347" s="75"/>
      <c r="J347" s="75"/>
      <c r="K347" s="29"/>
      <c r="L347" s="76" t="str">
        <f t="shared" si="36"/>
        <v/>
      </c>
      <c r="M347" s="81"/>
    </row>
    <row r="348" spans="1:13" s="72" customFormat="1" x14ac:dyDescent="0.2">
      <c r="A348" s="279" t="s">
        <v>342</v>
      </c>
      <c r="B348" s="113" t="s">
        <v>47</v>
      </c>
      <c r="C348" s="67" t="s">
        <v>65</v>
      </c>
      <c r="D348" s="39">
        <v>1</v>
      </c>
      <c r="E348" s="79" t="s">
        <v>340</v>
      </c>
      <c r="F348" s="95" t="s">
        <v>78</v>
      </c>
      <c r="G348" s="61"/>
      <c r="H348" s="61"/>
      <c r="I348" s="61"/>
      <c r="J348" s="61"/>
      <c r="K348" s="30"/>
      <c r="L348" s="62" t="str">
        <f t="shared" si="36"/>
        <v/>
      </c>
      <c r="M348" s="280"/>
    </row>
    <row r="349" spans="1:13" s="73" customFormat="1" x14ac:dyDescent="0.2">
      <c r="A349" s="184" t="s">
        <v>339</v>
      </c>
      <c r="B349" s="20" t="s">
        <v>47</v>
      </c>
      <c r="C349" s="69" t="s">
        <v>65</v>
      </c>
      <c r="D349" s="87">
        <v>1</v>
      </c>
      <c r="E349" s="78" t="s">
        <v>340</v>
      </c>
      <c r="F349" s="96" t="s">
        <v>78</v>
      </c>
      <c r="G349" s="75"/>
      <c r="H349" s="75"/>
      <c r="I349" s="75"/>
      <c r="J349" s="75"/>
      <c r="K349" s="29"/>
      <c r="L349" s="76" t="str">
        <f t="shared" si="36"/>
        <v/>
      </c>
      <c r="M349" s="81"/>
    </row>
    <row r="350" spans="1:13" x14ac:dyDescent="0.2">
      <c r="A350" s="179" t="s">
        <v>332</v>
      </c>
      <c r="B350" s="178" t="s">
        <v>321</v>
      </c>
      <c r="C350" s="64" t="s">
        <v>65</v>
      </c>
      <c r="D350" s="123">
        <f>0.71/(0.71+0.65)</f>
        <v>0.5220588235294118</v>
      </c>
      <c r="E350" s="77" t="s">
        <v>334</v>
      </c>
      <c r="F350" s="94" t="s">
        <v>78</v>
      </c>
      <c r="G350" s="65">
        <v>3</v>
      </c>
      <c r="H350" s="65">
        <v>3</v>
      </c>
      <c r="I350" s="65">
        <v>3</v>
      </c>
      <c r="J350" s="65">
        <v>3</v>
      </c>
      <c r="K350" s="66">
        <v>3</v>
      </c>
      <c r="L350" s="34">
        <f t="shared" si="36"/>
        <v>1.2132328390150593</v>
      </c>
      <c r="M350" s="80" t="s">
        <v>337</v>
      </c>
    </row>
    <row r="351" spans="1:13" x14ac:dyDescent="0.2">
      <c r="A351" s="179" t="s">
        <v>332</v>
      </c>
      <c r="B351" s="178" t="s">
        <v>321</v>
      </c>
      <c r="C351" s="64" t="s">
        <v>65</v>
      </c>
      <c r="D351" s="123">
        <f>0.71/(0.71+3)</f>
        <v>0.19137466307277629</v>
      </c>
      <c r="E351" s="77" t="s">
        <v>334</v>
      </c>
      <c r="F351" s="94" t="s">
        <v>78</v>
      </c>
      <c r="G351" s="65">
        <v>3</v>
      </c>
      <c r="H351" s="65">
        <v>3</v>
      </c>
      <c r="I351" s="65">
        <v>3</v>
      </c>
      <c r="J351" s="65">
        <v>3</v>
      </c>
      <c r="K351" s="66">
        <v>3</v>
      </c>
      <c r="L351" s="34">
        <f t="shared" si="36"/>
        <v>1.2132328390150593</v>
      </c>
      <c r="M351" s="80" t="s">
        <v>336</v>
      </c>
    </row>
    <row r="352" spans="1:13" x14ac:dyDescent="0.2">
      <c r="A352" s="179" t="s">
        <v>332</v>
      </c>
      <c r="B352" s="178" t="s">
        <v>321</v>
      </c>
      <c r="C352" s="64" t="s">
        <v>65</v>
      </c>
      <c r="D352" s="123">
        <f>0.71/(0.71+5.5)</f>
        <v>0.1143317230273752</v>
      </c>
      <c r="E352" s="77" t="s">
        <v>334</v>
      </c>
      <c r="F352" s="94" t="s">
        <v>78</v>
      </c>
      <c r="G352" s="65">
        <v>3</v>
      </c>
      <c r="H352" s="65">
        <v>3</v>
      </c>
      <c r="I352" s="65">
        <v>3</v>
      </c>
      <c r="J352" s="65">
        <v>3</v>
      </c>
      <c r="K352" s="66">
        <v>3</v>
      </c>
      <c r="L352" s="34">
        <f t="shared" si="36"/>
        <v>1.2132328390150593</v>
      </c>
      <c r="M352" s="80" t="s">
        <v>335</v>
      </c>
    </row>
    <row r="353" spans="1:13" x14ac:dyDescent="0.2">
      <c r="A353" s="179" t="s">
        <v>332</v>
      </c>
      <c r="B353" s="178" t="s">
        <v>321</v>
      </c>
      <c r="C353" s="64" t="s">
        <v>65</v>
      </c>
      <c r="D353" s="123">
        <f>0.71/(0.71+2.1)</f>
        <v>0.25266903914590744</v>
      </c>
      <c r="E353" s="77" t="s">
        <v>334</v>
      </c>
      <c r="F353" s="94" t="s">
        <v>78</v>
      </c>
      <c r="G353" s="65">
        <v>3</v>
      </c>
      <c r="H353" s="65">
        <v>3</v>
      </c>
      <c r="I353" s="65">
        <v>3</v>
      </c>
      <c r="J353" s="65">
        <v>3</v>
      </c>
      <c r="K353" s="66">
        <v>3</v>
      </c>
      <c r="L353" s="34">
        <f t="shared" si="36"/>
        <v>1.2132328390150593</v>
      </c>
      <c r="M353" s="80" t="s">
        <v>333</v>
      </c>
    </row>
    <row r="354" spans="1:13" s="73" customFormat="1" x14ac:dyDescent="0.2">
      <c r="A354" s="177" t="s">
        <v>332</v>
      </c>
      <c r="B354" s="176" t="s">
        <v>329</v>
      </c>
      <c r="C354" s="69" t="s">
        <v>65</v>
      </c>
      <c r="D354" s="87" t="s">
        <v>56</v>
      </c>
      <c r="E354" s="78"/>
      <c r="F354" s="96" t="s">
        <v>78</v>
      </c>
      <c r="G354" s="75"/>
      <c r="H354" s="75"/>
      <c r="I354" s="75"/>
      <c r="J354" s="75"/>
      <c r="K354" s="29"/>
      <c r="L354" s="76" t="str">
        <f t="shared" si="36"/>
        <v/>
      </c>
      <c r="M354" s="81"/>
    </row>
    <row r="355" spans="1:13" x14ac:dyDescent="0.2">
      <c r="A355" s="174" t="s">
        <v>329</v>
      </c>
      <c r="B355" s="175" t="s">
        <v>301</v>
      </c>
      <c r="C355" s="64" t="s">
        <v>65</v>
      </c>
      <c r="D355" s="44">
        <v>0.151</v>
      </c>
      <c r="E355" s="77" t="s">
        <v>331</v>
      </c>
      <c r="F355" s="289" t="s">
        <v>78</v>
      </c>
      <c r="G355" s="65">
        <v>3</v>
      </c>
      <c r="H355" s="65">
        <v>2</v>
      </c>
      <c r="I355" s="65">
        <v>3</v>
      </c>
      <c r="J355" s="65">
        <v>3</v>
      </c>
      <c r="K355" s="66">
        <v>1</v>
      </c>
      <c r="L355" s="34">
        <f t="shared" si="36"/>
        <v>0.60108474454521421</v>
      </c>
      <c r="M355" s="80" t="s">
        <v>330</v>
      </c>
    </row>
    <row r="356" spans="1:13" x14ac:dyDescent="0.2">
      <c r="A356" s="174" t="s">
        <v>329</v>
      </c>
      <c r="B356" s="47" t="s">
        <v>29</v>
      </c>
      <c r="C356" s="64" t="s">
        <v>65</v>
      </c>
      <c r="D356" s="9" t="s">
        <v>56</v>
      </c>
      <c r="F356" s="94" t="s">
        <v>78</v>
      </c>
      <c r="G356" s="74"/>
      <c r="H356" s="74"/>
      <c r="I356" s="74"/>
      <c r="J356" s="74"/>
      <c r="K356" s="85"/>
      <c r="L356" s="60" t="str">
        <f t="shared" si="36"/>
        <v/>
      </c>
    </row>
    <row r="357" spans="1:13" x14ac:dyDescent="0.2">
      <c r="A357" s="173" t="s">
        <v>321</v>
      </c>
      <c r="B357" s="172" t="s">
        <v>328</v>
      </c>
      <c r="C357" s="64" t="s">
        <v>65</v>
      </c>
      <c r="D357" s="44">
        <v>7.4999999999999997E-2</v>
      </c>
      <c r="E357" s="77" t="s">
        <v>327</v>
      </c>
      <c r="F357" s="94" t="s">
        <v>78</v>
      </c>
      <c r="G357" s="65">
        <v>1</v>
      </c>
      <c r="H357" s="65">
        <v>2</v>
      </c>
      <c r="I357" s="65">
        <v>1</v>
      </c>
      <c r="J357" s="65">
        <v>4</v>
      </c>
      <c r="K357" s="66">
        <v>1</v>
      </c>
      <c r="L357" s="34">
        <f t="shared" si="36"/>
        <v>1.0248662490928169</v>
      </c>
    </row>
    <row r="358" spans="1:13" x14ac:dyDescent="0.2">
      <c r="A358" s="173" t="s">
        <v>321</v>
      </c>
      <c r="B358" s="172" t="s">
        <v>326</v>
      </c>
      <c r="C358" s="64" t="s">
        <v>65</v>
      </c>
      <c r="D358" s="44">
        <v>0.52300000000000002</v>
      </c>
      <c r="E358" s="77" t="s">
        <v>325</v>
      </c>
      <c r="F358" s="94" t="s">
        <v>78</v>
      </c>
      <c r="G358" s="65">
        <v>1</v>
      </c>
      <c r="H358" s="65">
        <v>2</v>
      </c>
      <c r="I358" s="65">
        <v>1</v>
      </c>
      <c r="J358" s="65">
        <v>4</v>
      </c>
      <c r="K358" s="66">
        <v>1</v>
      </c>
      <c r="L358" s="34">
        <f t="shared" si="36"/>
        <v>1.0248662490928169</v>
      </c>
      <c r="M358" s="80" t="s">
        <v>324</v>
      </c>
    </row>
    <row r="359" spans="1:13" x14ac:dyDescent="0.2">
      <c r="A359" s="173" t="s">
        <v>321</v>
      </c>
      <c r="B359" s="172" t="s">
        <v>323</v>
      </c>
      <c r="C359" s="64" t="s">
        <v>65</v>
      </c>
      <c r="D359" s="44">
        <v>0.35899999999999999</v>
      </c>
      <c r="E359" s="77" t="s">
        <v>322</v>
      </c>
      <c r="F359" s="94" t="s">
        <v>78</v>
      </c>
      <c r="G359" s="65">
        <v>1</v>
      </c>
      <c r="H359" s="65">
        <v>2</v>
      </c>
      <c r="I359" s="65">
        <v>1</v>
      </c>
      <c r="J359" s="65">
        <v>4</v>
      </c>
      <c r="K359" s="66">
        <v>1</v>
      </c>
      <c r="L359" s="34">
        <f t="shared" si="36"/>
        <v>1.0248662490928169</v>
      </c>
    </row>
    <row r="360" spans="1:13" s="73" customFormat="1" x14ac:dyDescent="0.2">
      <c r="A360" s="171" t="s">
        <v>321</v>
      </c>
      <c r="B360" s="170" t="s">
        <v>320</v>
      </c>
      <c r="C360" s="69" t="s">
        <v>65</v>
      </c>
      <c r="D360" s="43">
        <v>4.2999999999999997E-2</v>
      </c>
      <c r="E360" s="78" t="s">
        <v>319</v>
      </c>
      <c r="F360" s="96" t="s">
        <v>78</v>
      </c>
      <c r="G360" s="70">
        <v>1</v>
      </c>
      <c r="H360" s="70">
        <v>2</v>
      </c>
      <c r="I360" s="70">
        <v>1</v>
      </c>
      <c r="J360" s="70">
        <v>4</v>
      </c>
      <c r="K360" s="84">
        <v>1</v>
      </c>
      <c r="L360" s="17">
        <f t="shared" si="36"/>
        <v>1.0248662490928169</v>
      </c>
      <c r="M360" s="81" t="s">
        <v>318</v>
      </c>
    </row>
  </sheetData>
  <conditionalFormatting sqref="G122:K360 G2:K60 G71:K71 G74:K76 G79:K79 G82:K84 G87:K87 G90:K116 G63:K63 G66:K68">
    <cfRule type="dataBar" priority="1405">
      <dataBar>
        <cfvo type="min"/>
        <cfvo type="max"/>
        <color rgb="FFFFB628"/>
      </dataBar>
      <extLst>
        <ext xmlns:x14="http://schemas.microsoft.com/office/spreadsheetml/2009/9/main" uri="{B025F937-C7B1-47D3-B67F-A62EFF666E3E}">
          <x14:id>{85F87362-4191-490D-9AEE-1FEAA5FA7B7F}</x14:id>
        </ext>
      </extLst>
    </cfRule>
  </conditionalFormatting>
  <conditionalFormatting sqref="L122:L360 L2:L60 L71 L74:L76 L79 L82:L84 L87 L90:L116 L63 L66:L68">
    <cfRule type="dataBar" priority="1407">
      <dataBar>
        <cfvo type="min"/>
        <cfvo type="max"/>
        <color rgb="FF3FCDFF"/>
      </dataBar>
      <extLst>
        <ext xmlns:x14="http://schemas.microsoft.com/office/spreadsheetml/2009/9/main" uri="{B025F937-C7B1-47D3-B67F-A62EFF666E3E}">
          <x14:id>{89C96C4C-A9A2-4145-BBEB-A78CD4EA9C25}</x14:id>
        </ext>
      </extLst>
    </cfRule>
  </conditionalFormatting>
  <conditionalFormatting sqref="G69:K70">
    <cfRule type="dataBar" priority="21">
      <dataBar>
        <cfvo type="min"/>
        <cfvo type="max"/>
        <color rgb="FFFFB628"/>
      </dataBar>
      <extLst>
        <ext xmlns:x14="http://schemas.microsoft.com/office/spreadsheetml/2009/9/main" uri="{B025F937-C7B1-47D3-B67F-A62EFF666E3E}">
          <x14:id>{3F6881F9-CB3D-EB4F-B61F-C361F573C4FD}</x14:id>
        </ext>
      </extLst>
    </cfRule>
  </conditionalFormatting>
  <conditionalFormatting sqref="L69:L70">
    <cfRule type="dataBar" priority="22">
      <dataBar>
        <cfvo type="min"/>
        <cfvo type="max"/>
        <color rgb="FF3FCDFF"/>
      </dataBar>
      <extLst>
        <ext xmlns:x14="http://schemas.microsoft.com/office/spreadsheetml/2009/9/main" uri="{B025F937-C7B1-47D3-B67F-A62EFF666E3E}">
          <x14:id>{A025634A-4014-D046-819A-54014BEC6568}</x14:id>
        </ext>
      </extLst>
    </cfRule>
  </conditionalFormatting>
  <conditionalFormatting sqref="G72:K73">
    <cfRule type="dataBar" priority="19">
      <dataBar>
        <cfvo type="min"/>
        <cfvo type="max"/>
        <color rgb="FFFFB628"/>
      </dataBar>
      <extLst>
        <ext xmlns:x14="http://schemas.microsoft.com/office/spreadsheetml/2009/9/main" uri="{B025F937-C7B1-47D3-B67F-A62EFF666E3E}">
          <x14:id>{9792947A-9EFF-4A43-830B-6AFFCCE52079}</x14:id>
        </ext>
      </extLst>
    </cfRule>
  </conditionalFormatting>
  <conditionalFormatting sqref="L72:L73">
    <cfRule type="dataBar" priority="20">
      <dataBar>
        <cfvo type="min"/>
        <cfvo type="max"/>
        <color rgb="FF3FCDFF"/>
      </dataBar>
      <extLst>
        <ext xmlns:x14="http://schemas.microsoft.com/office/spreadsheetml/2009/9/main" uri="{B025F937-C7B1-47D3-B67F-A62EFF666E3E}">
          <x14:id>{6B8827C0-E50A-CF4B-876E-183A9A239835}</x14:id>
        </ext>
      </extLst>
    </cfRule>
  </conditionalFormatting>
  <conditionalFormatting sqref="G77:K78">
    <cfRule type="dataBar" priority="17">
      <dataBar>
        <cfvo type="min"/>
        <cfvo type="max"/>
        <color rgb="FFFFB628"/>
      </dataBar>
      <extLst>
        <ext xmlns:x14="http://schemas.microsoft.com/office/spreadsheetml/2009/9/main" uri="{B025F937-C7B1-47D3-B67F-A62EFF666E3E}">
          <x14:id>{39A08BE5-56F2-924E-BCA9-47A316EB45DA}</x14:id>
        </ext>
      </extLst>
    </cfRule>
  </conditionalFormatting>
  <conditionalFormatting sqref="L77:L78">
    <cfRule type="dataBar" priority="18">
      <dataBar>
        <cfvo type="min"/>
        <cfvo type="max"/>
        <color rgb="FF3FCDFF"/>
      </dataBar>
      <extLst>
        <ext xmlns:x14="http://schemas.microsoft.com/office/spreadsheetml/2009/9/main" uri="{B025F937-C7B1-47D3-B67F-A62EFF666E3E}">
          <x14:id>{B6C29661-F31B-6549-8A4B-41DFC365BD48}</x14:id>
        </ext>
      </extLst>
    </cfRule>
  </conditionalFormatting>
  <conditionalFormatting sqref="G80:K81">
    <cfRule type="dataBar" priority="15">
      <dataBar>
        <cfvo type="min"/>
        <cfvo type="max"/>
        <color rgb="FFFFB628"/>
      </dataBar>
      <extLst>
        <ext xmlns:x14="http://schemas.microsoft.com/office/spreadsheetml/2009/9/main" uri="{B025F937-C7B1-47D3-B67F-A62EFF666E3E}">
          <x14:id>{09120A46-C34C-B547-BE1E-69D6A9E6E10A}</x14:id>
        </ext>
      </extLst>
    </cfRule>
  </conditionalFormatting>
  <conditionalFormatting sqref="L80:L81">
    <cfRule type="dataBar" priority="16">
      <dataBar>
        <cfvo type="min"/>
        <cfvo type="max"/>
        <color rgb="FF3FCDFF"/>
      </dataBar>
      <extLst>
        <ext xmlns:x14="http://schemas.microsoft.com/office/spreadsheetml/2009/9/main" uri="{B025F937-C7B1-47D3-B67F-A62EFF666E3E}">
          <x14:id>{30F90AD0-C059-4D43-8270-C58FAA20263A}</x14:id>
        </ext>
      </extLst>
    </cfRule>
  </conditionalFormatting>
  <conditionalFormatting sqref="G86:K86">
    <cfRule type="dataBar" priority="13">
      <dataBar>
        <cfvo type="min"/>
        <cfvo type="max"/>
        <color rgb="FFFFB628"/>
      </dataBar>
      <extLst>
        <ext xmlns:x14="http://schemas.microsoft.com/office/spreadsheetml/2009/9/main" uri="{B025F937-C7B1-47D3-B67F-A62EFF666E3E}">
          <x14:id>{069C7A78-08DA-1442-9605-01E01100DC8F}</x14:id>
        </ext>
      </extLst>
    </cfRule>
  </conditionalFormatting>
  <conditionalFormatting sqref="L86">
    <cfRule type="dataBar" priority="14">
      <dataBar>
        <cfvo type="min"/>
        <cfvo type="max"/>
        <color rgb="FF3FCDFF"/>
      </dataBar>
      <extLst>
        <ext xmlns:x14="http://schemas.microsoft.com/office/spreadsheetml/2009/9/main" uri="{B025F937-C7B1-47D3-B67F-A62EFF666E3E}">
          <x14:id>{FDFB1DA1-A5C0-7549-929D-8DED5E719F32}</x14:id>
        </ext>
      </extLst>
    </cfRule>
  </conditionalFormatting>
  <conditionalFormatting sqref="G88:K89">
    <cfRule type="dataBar" priority="11">
      <dataBar>
        <cfvo type="min"/>
        <cfvo type="max"/>
        <color rgb="FFFFB628"/>
      </dataBar>
      <extLst>
        <ext xmlns:x14="http://schemas.microsoft.com/office/spreadsheetml/2009/9/main" uri="{B025F937-C7B1-47D3-B67F-A62EFF666E3E}">
          <x14:id>{186B9BF2-BD88-4F4E-808C-C20EF0E27FB2}</x14:id>
        </ext>
      </extLst>
    </cfRule>
  </conditionalFormatting>
  <conditionalFormatting sqref="L88:L89">
    <cfRule type="dataBar" priority="12">
      <dataBar>
        <cfvo type="min"/>
        <cfvo type="max"/>
        <color rgb="FF3FCDFF"/>
      </dataBar>
      <extLst>
        <ext xmlns:x14="http://schemas.microsoft.com/office/spreadsheetml/2009/9/main" uri="{B025F937-C7B1-47D3-B67F-A62EFF666E3E}">
          <x14:id>{0D2965B7-5406-784F-90B8-2ACD27CE25D5}</x14:id>
        </ext>
      </extLst>
    </cfRule>
  </conditionalFormatting>
  <conditionalFormatting sqref="G85:K85">
    <cfRule type="dataBar" priority="9">
      <dataBar>
        <cfvo type="min"/>
        <cfvo type="max"/>
        <color rgb="FFFFB628"/>
      </dataBar>
      <extLst>
        <ext xmlns:x14="http://schemas.microsoft.com/office/spreadsheetml/2009/9/main" uri="{B025F937-C7B1-47D3-B67F-A62EFF666E3E}">
          <x14:id>{32B6E898-F534-CC49-96F6-E62E4C6BA1E5}</x14:id>
        </ext>
      </extLst>
    </cfRule>
  </conditionalFormatting>
  <conditionalFormatting sqref="L85">
    <cfRule type="dataBar" priority="10">
      <dataBar>
        <cfvo type="min"/>
        <cfvo type="max"/>
        <color rgb="FF3FCDFF"/>
      </dataBar>
      <extLst>
        <ext xmlns:x14="http://schemas.microsoft.com/office/spreadsheetml/2009/9/main" uri="{B025F937-C7B1-47D3-B67F-A62EFF666E3E}">
          <x14:id>{9AE9BFBE-B420-0F4C-8A47-2502DB72C17B}</x14:id>
        </ext>
      </extLst>
    </cfRule>
  </conditionalFormatting>
  <conditionalFormatting sqref="G61:K62">
    <cfRule type="dataBar" priority="7">
      <dataBar>
        <cfvo type="min"/>
        <cfvo type="max"/>
        <color rgb="FFFFB628"/>
      </dataBar>
      <extLst>
        <ext xmlns:x14="http://schemas.microsoft.com/office/spreadsheetml/2009/9/main" uri="{B025F937-C7B1-47D3-B67F-A62EFF666E3E}">
          <x14:id>{7C5D99D5-142B-C743-8AAA-2BBF9DDA6E01}</x14:id>
        </ext>
      </extLst>
    </cfRule>
  </conditionalFormatting>
  <conditionalFormatting sqref="L61:L62">
    <cfRule type="dataBar" priority="8">
      <dataBar>
        <cfvo type="min"/>
        <cfvo type="max"/>
        <color rgb="FF3FCDFF"/>
      </dataBar>
      <extLst>
        <ext xmlns:x14="http://schemas.microsoft.com/office/spreadsheetml/2009/9/main" uri="{B025F937-C7B1-47D3-B67F-A62EFF666E3E}">
          <x14:id>{C65D2342-1059-0C48-8062-EC7B1A83E162}</x14:id>
        </ext>
      </extLst>
    </cfRule>
  </conditionalFormatting>
  <conditionalFormatting sqref="G64:K65">
    <cfRule type="dataBar" priority="5">
      <dataBar>
        <cfvo type="min"/>
        <cfvo type="max"/>
        <color rgb="FFFFB628"/>
      </dataBar>
      <extLst>
        <ext xmlns:x14="http://schemas.microsoft.com/office/spreadsheetml/2009/9/main" uri="{B025F937-C7B1-47D3-B67F-A62EFF666E3E}">
          <x14:id>{F5583048-BDD4-3040-878A-61C86FE2C94C}</x14:id>
        </ext>
      </extLst>
    </cfRule>
  </conditionalFormatting>
  <conditionalFormatting sqref="L64:L65">
    <cfRule type="dataBar" priority="6">
      <dataBar>
        <cfvo type="min"/>
        <cfvo type="max"/>
        <color rgb="FF3FCDFF"/>
      </dataBar>
      <extLst>
        <ext xmlns:x14="http://schemas.microsoft.com/office/spreadsheetml/2009/9/main" uri="{B025F937-C7B1-47D3-B67F-A62EFF666E3E}">
          <x14:id>{E708ED7C-064A-CB4A-B8EC-38F5745614FF}</x14:id>
        </ext>
      </extLst>
    </cfRule>
  </conditionalFormatting>
  <conditionalFormatting sqref="G117:K117">
    <cfRule type="dataBar" priority="3">
      <dataBar>
        <cfvo type="min"/>
        <cfvo type="max"/>
        <color rgb="FFFFB628"/>
      </dataBar>
      <extLst>
        <ext xmlns:x14="http://schemas.microsoft.com/office/spreadsheetml/2009/9/main" uri="{B025F937-C7B1-47D3-B67F-A62EFF666E3E}">
          <x14:id>{F6E7B42C-9465-D242-9DDA-BD5FB424CB7A}</x14:id>
        </ext>
      </extLst>
    </cfRule>
  </conditionalFormatting>
  <conditionalFormatting sqref="L117">
    <cfRule type="dataBar" priority="4">
      <dataBar>
        <cfvo type="min"/>
        <cfvo type="max"/>
        <color rgb="FF3FCDFF"/>
      </dataBar>
      <extLst>
        <ext xmlns:x14="http://schemas.microsoft.com/office/spreadsheetml/2009/9/main" uri="{B025F937-C7B1-47D3-B67F-A62EFF666E3E}">
          <x14:id>{C3A3D293-87A0-1D42-B7D0-C43E81379A5C}</x14:id>
        </ext>
      </extLst>
    </cfRule>
  </conditionalFormatting>
  <conditionalFormatting sqref="G118:K121">
    <cfRule type="dataBar" priority="1">
      <dataBar>
        <cfvo type="min"/>
        <cfvo type="max"/>
        <color rgb="FFFFB628"/>
      </dataBar>
      <extLst>
        <ext xmlns:x14="http://schemas.microsoft.com/office/spreadsheetml/2009/9/main" uri="{B025F937-C7B1-47D3-B67F-A62EFF666E3E}">
          <x14:id>{26B3D3D7-5BF9-4049-8830-16C0585EAF94}</x14:id>
        </ext>
      </extLst>
    </cfRule>
  </conditionalFormatting>
  <conditionalFormatting sqref="L118:L121">
    <cfRule type="dataBar" priority="2">
      <dataBar>
        <cfvo type="min"/>
        <cfvo type="max"/>
        <color rgb="FF3FCDFF"/>
      </dataBar>
      <extLst>
        <ext xmlns:x14="http://schemas.microsoft.com/office/spreadsheetml/2009/9/main" uri="{B025F937-C7B1-47D3-B67F-A62EFF666E3E}">
          <x14:id>{FFC67702-3CF7-9141-A214-4DAF99D02A10}</x14:id>
        </ext>
      </extLst>
    </cfRule>
  </conditionalFormatting>
  <pageMargins left="0.7" right="0.7" top="0.75" bottom="0.75" header="0.3" footer="0.3"/>
  <pageSetup paperSize="9" orientation="portrait" r:id="rId1"/>
  <ignoredErrors>
    <ignoredError sqref="J4:J5 J10:J11 D36" formula="1"/>
  </ignoredErrors>
  <extLst>
    <ext xmlns:x14="http://schemas.microsoft.com/office/spreadsheetml/2009/9/main" uri="{78C0D931-6437-407d-A8EE-F0AAD7539E65}">
      <x14:conditionalFormattings>
        <x14:conditionalFormatting xmlns:xm="http://schemas.microsoft.com/office/excel/2006/main">
          <x14:cfRule type="dataBar" id="{85F87362-4191-490D-9AEE-1FEAA5FA7B7F}">
            <x14:dataBar minLength="0" maxLength="100" gradient="0">
              <x14:cfvo type="autoMin"/>
              <x14:cfvo type="autoMax"/>
              <x14:negativeFillColor rgb="FFFF0000"/>
              <x14:axisColor rgb="FF000000"/>
            </x14:dataBar>
          </x14:cfRule>
          <xm:sqref>G122:K360 G2:K60 G71:K71 G74:K76 G79:K79 G82:K84 G87:K87 G90:K116 G63:K63 G66:K68</xm:sqref>
        </x14:conditionalFormatting>
        <x14:conditionalFormatting xmlns:xm="http://schemas.microsoft.com/office/excel/2006/main">
          <x14:cfRule type="dataBar" id="{89C96C4C-A9A2-4145-BBEB-A78CD4EA9C25}">
            <x14:dataBar minLength="0" maxLength="100" gradient="0">
              <x14:cfvo type="autoMin"/>
              <x14:cfvo type="autoMax"/>
              <x14:negativeFillColor rgb="FFFF0000"/>
              <x14:axisColor rgb="FF000000"/>
            </x14:dataBar>
          </x14:cfRule>
          <xm:sqref>L122:L360 L2:L60 L71 L74:L76 L79 L82:L84 L87 L90:L116 L63 L66:L68</xm:sqref>
        </x14:conditionalFormatting>
        <x14:conditionalFormatting xmlns:xm="http://schemas.microsoft.com/office/excel/2006/main">
          <x14:cfRule type="dataBar" id="{3F6881F9-CB3D-EB4F-B61F-C361F573C4FD}">
            <x14:dataBar minLength="0" maxLength="100" gradient="0">
              <x14:cfvo type="autoMin"/>
              <x14:cfvo type="autoMax"/>
              <x14:negativeFillColor rgb="FFFF0000"/>
              <x14:axisColor rgb="FF000000"/>
            </x14:dataBar>
          </x14:cfRule>
          <xm:sqref>G69:K70</xm:sqref>
        </x14:conditionalFormatting>
        <x14:conditionalFormatting xmlns:xm="http://schemas.microsoft.com/office/excel/2006/main">
          <x14:cfRule type="dataBar" id="{A025634A-4014-D046-819A-54014BEC6568}">
            <x14:dataBar minLength="0" maxLength="100" gradient="0">
              <x14:cfvo type="autoMin"/>
              <x14:cfvo type="autoMax"/>
              <x14:negativeFillColor rgb="FFFF0000"/>
              <x14:axisColor rgb="FF000000"/>
            </x14:dataBar>
          </x14:cfRule>
          <xm:sqref>L69:L70</xm:sqref>
        </x14:conditionalFormatting>
        <x14:conditionalFormatting xmlns:xm="http://schemas.microsoft.com/office/excel/2006/main">
          <x14:cfRule type="dataBar" id="{9792947A-9EFF-4A43-830B-6AFFCCE52079}">
            <x14:dataBar minLength="0" maxLength="100" gradient="0">
              <x14:cfvo type="autoMin"/>
              <x14:cfvo type="autoMax"/>
              <x14:negativeFillColor rgb="FFFF0000"/>
              <x14:axisColor rgb="FF000000"/>
            </x14:dataBar>
          </x14:cfRule>
          <xm:sqref>G72:K73</xm:sqref>
        </x14:conditionalFormatting>
        <x14:conditionalFormatting xmlns:xm="http://schemas.microsoft.com/office/excel/2006/main">
          <x14:cfRule type="dataBar" id="{6B8827C0-E50A-CF4B-876E-183A9A239835}">
            <x14:dataBar minLength="0" maxLength="100" gradient="0">
              <x14:cfvo type="autoMin"/>
              <x14:cfvo type="autoMax"/>
              <x14:negativeFillColor rgb="FFFF0000"/>
              <x14:axisColor rgb="FF000000"/>
            </x14:dataBar>
          </x14:cfRule>
          <xm:sqref>L72:L73</xm:sqref>
        </x14:conditionalFormatting>
        <x14:conditionalFormatting xmlns:xm="http://schemas.microsoft.com/office/excel/2006/main">
          <x14:cfRule type="dataBar" id="{39A08BE5-56F2-924E-BCA9-47A316EB45DA}">
            <x14:dataBar minLength="0" maxLength="100" gradient="0">
              <x14:cfvo type="autoMin"/>
              <x14:cfvo type="autoMax"/>
              <x14:negativeFillColor rgb="FFFF0000"/>
              <x14:axisColor rgb="FF000000"/>
            </x14:dataBar>
          </x14:cfRule>
          <xm:sqref>G77:K78</xm:sqref>
        </x14:conditionalFormatting>
        <x14:conditionalFormatting xmlns:xm="http://schemas.microsoft.com/office/excel/2006/main">
          <x14:cfRule type="dataBar" id="{B6C29661-F31B-6549-8A4B-41DFC365BD48}">
            <x14:dataBar minLength="0" maxLength="100" gradient="0">
              <x14:cfvo type="autoMin"/>
              <x14:cfvo type="autoMax"/>
              <x14:negativeFillColor rgb="FFFF0000"/>
              <x14:axisColor rgb="FF000000"/>
            </x14:dataBar>
          </x14:cfRule>
          <xm:sqref>L77:L78</xm:sqref>
        </x14:conditionalFormatting>
        <x14:conditionalFormatting xmlns:xm="http://schemas.microsoft.com/office/excel/2006/main">
          <x14:cfRule type="dataBar" id="{09120A46-C34C-B547-BE1E-69D6A9E6E10A}">
            <x14:dataBar minLength="0" maxLength="100" gradient="0">
              <x14:cfvo type="autoMin"/>
              <x14:cfvo type="autoMax"/>
              <x14:negativeFillColor rgb="FFFF0000"/>
              <x14:axisColor rgb="FF000000"/>
            </x14:dataBar>
          </x14:cfRule>
          <xm:sqref>G80:K81</xm:sqref>
        </x14:conditionalFormatting>
        <x14:conditionalFormatting xmlns:xm="http://schemas.microsoft.com/office/excel/2006/main">
          <x14:cfRule type="dataBar" id="{30F90AD0-C059-4D43-8270-C58FAA20263A}">
            <x14:dataBar minLength="0" maxLength="100" gradient="0">
              <x14:cfvo type="autoMin"/>
              <x14:cfvo type="autoMax"/>
              <x14:negativeFillColor rgb="FFFF0000"/>
              <x14:axisColor rgb="FF000000"/>
            </x14:dataBar>
          </x14:cfRule>
          <xm:sqref>L80:L81</xm:sqref>
        </x14:conditionalFormatting>
        <x14:conditionalFormatting xmlns:xm="http://schemas.microsoft.com/office/excel/2006/main">
          <x14:cfRule type="dataBar" id="{069C7A78-08DA-1442-9605-01E01100DC8F}">
            <x14:dataBar minLength="0" maxLength="100" gradient="0">
              <x14:cfvo type="autoMin"/>
              <x14:cfvo type="autoMax"/>
              <x14:negativeFillColor rgb="FFFF0000"/>
              <x14:axisColor rgb="FF000000"/>
            </x14:dataBar>
          </x14:cfRule>
          <xm:sqref>G86:K86</xm:sqref>
        </x14:conditionalFormatting>
        <x14:conditionalFormatting xmlns:xm="http://schemas.microsoft.com/office/excel/2006/main">
          <x14:cfRule type="dataBar" id="{FDFB1DA1-A5C0-7549-929D-8DED5E719F32}">
            <x14:dataBar minLength="0" maxLength="100" gradient="0">
              <x14:cfvo type="autoMin"/>
              <x14:cfvo type="autoMax"/>
              <x14:negativeFillColor rgb="FFFF0000"/>
              <x14:axisColor rgb="FF000000"/>
            </x14:dataBar>
          </x14:cfRule>
          <xm:sqref>L86</xm:sqref>
        </x14:conditionalFormatting>
        <x14:conditionalFormatting xmlns:xm="http://schemas.microsoft.com/office/excel/2006/main">
          <x14:cfRule type="dataBar" id="{186B9BF2-BD88-4F4E-808C-C20EF0E27FB2}">
            <x14:dataBar minLength="0" maxLength="100" gradient="0">
              <x14:cfvo type="autoMin"/>
              <x14:cfvo type="autoMax"/>
              <x14:negativeFillColor rgb="FFFF0000"/>
              <x14:axisColor rgb="FF000000"/>
            </x14:dataBar>
          </x14:cfRule>
          <xm:sqref>G88:K89</xm:sqref>
        </x14:conditionalFormatting>
        <x14:conditionalFormatting xmlns:xm="http://schemas.microsoft.com/office/excel/2006/main">
          <x14:cfRule type="dataBar" id="{0D2965B7-5406-784F-90B8-2ACD27CE25D5}">
            <x14:dataBar minLength="0" maxLength="100" gradient="0">
              <x14:cfvo type="autoMin"/>
              <x14:cfvo type="autoMax"/>
              <x14:negativeFillColor rgb="FFFF0000"/>
              <x14:axisColor rgb="FF000000"/>
            </x14:dataBar>
          </x14:cfRule>
          <xm:sqref>L88:L89</xm:sqref>
        </x14:conditionalFormatting>
        <x14:conditionalFormatting xmlns:xm="http://schemas.microsoft.com/office/excel/2006/main">
          <x14:cfRule type="dataBar" id="{32B6E898-F534-CC49-96F6-E62E4C6BA1E5}">
            <x14:dataBar minLength="0" maxLength="100" gradient="0">
              <x14:cfvo type="autoMin"/>
              <x14:cfvo type="autoMax"/>
              <x14:negativeFillColor rgb="FFFF0000"/>
              <x14:axisColor rgb="FF000000"/>
            </x14:dataBar>
          </x14:cfRule>
          <xm:sqref>G85:K85</xm:sqref>
        </x14:conditionalFormatting>
        <x14:conditionalFormatting xmlns:xm="http://schemas.microsoft.com/office/excel/2006/main">
          <x14:cfRule type="dataBar" id="{9AE9BFBE-B420-0F4C-8A47-2502DB72C17B}">
            <x14:dataBar minLength="0" maxLength="100" gradient="0">
              <x14:cfvo type="autoMin"/>
              <x14:cfvo type="autoMax"/>
              <x14:negativeFillColor rgb="FFFF0000"/>
              <x14:axisColor rgb="FF000000"/>
            </x14:dataBar>
          </x14:cfRule>
          <xm:sqref>L85</xm:sqref>
        </x14:conditionalFormatting>
        <x14:conditionalFormatting xmlns:xm="http://schemas.microsoft.com/office/excel/2006/main">
          <x14:cfRule type="dataBar" id="{7C5D99D5-142B-C743-8AAA-2BBF9DDA6E01}">
            <x14:dataBar minLength="0" maxLength="100" gradient="0">
              <x14:cfvo type="autoMin"/>
              <x14:cfvo type="autoMax"/>
              <x14:negativeFillColor rgb="FFFF0000"/>
              <x14:axisColor rgb="FF000000"/>
            </x14:dataBar>
          </x14:cfRule>
          <xm:sqref>G61:K62</xm:sqref>
        </x14:conditionalFormatting>
        <x14:conditionalFormatting xmlns:xm="http://schemas.microsoft.com/office/excel/2006/main">
          <x14:cfRule type="dataBar" id="{C65D2342-1059-0C48-8062-EC7B1A83E162}">
            <x14:dataBar minLength="0" maxLength="100" gradient="0">
              <x14:cfvo type="autoMin"/>
              <x14:cfvo type="autoMax"/>
              <x14:negativeFillColor rgb="FFFF0000"/>
              <x14:axisColor rgb="FF000000"/>
            </x14:dataBar>
          </x14:cfRule>
          <xm:sqref>L61:L62</xm:sqref>
        </x14:conditionalFormatting>
        <x14:conditionalFormatting xmlns:xm="http://schemas.microsoft.com/office/excel/2006/main">
          <x14:cfRule type="dataBar" id="{F5583048-BDD4-3040-878A-61C86FE2C94C}">
            <x14:dataBar minLength="0" maxLength="100" gradient="0">
              <x14:cfvo type="autoMin"/>
              <x14:cfvo type="autoMax"/>
              <x14:negativeFillColor rgb="FFFF0000"/>
              <x14:axisColor rgb="FF000000"/>
            </x14:dataBar>
          </x14:cfRule>
          <xm:sqref>G64:K65</xm:sqref>
        </x14:conditionalFormatting>
        <x14:conditionalFormatting xmlns:xm="http://schemas.microsoft.com/office/excel/2006/main">
          <x14:cfRule type="dataBar" id="{E708ED7C-064A-CB4A-B8EC-38F5745614FF}">
            <x14:dataBar minLength="0" maxLength="100" gradient="0">
              <x14:cfvo type="autoMin"/>
              <x14:cfvo type="autoMax"/>
              <x14:negativeFillColor rgb="FFFF0000"/>
              <x14:axisColor rgb="FF000000"/>
            </x14:dataBar>
          </x14:cfRule>
          <xm:sqref>L64:L65</xm:sqref>
        </x14:conditionalFormatting>
        <x14:conditionalFormatting xmlns:xm="http://schemas.microsoft.com/office/excel/2006/main">
          <x14:cfRule type="dataBar" id="{F6E7B42C-9465-D242-9DDA-BD5FB424CB7A}">
            <x14:dataBar minLength="0" maxLength="100" gradient="0">
              <x14:cfvo type="autoMin"/>
              <x14:cfvo type="autoMax"/>
              <x14:negativeFillColor rgb="FFFF0000"/>
              <x14:axisColor rgb="FF000000"/>
            </x14:dataBar>
          </x14:cfRule>
          <xm:sqref>G117:K117</xm:sqref>
        </x14:conditionalFormatting>
        <x14:conditionalFormatting xmlns:xm="http://schemas.microsoft.com/office/excel/2006/main">
          <x14:cfRule type="dataBar" id="{C3A3D293-87A0-1D42-B7D0-C43E81379A5C}">
            <x14:dataBar minLength="0" maxLength="100" gradient="0">
              <x14:cfvo type="autoMin"/>
              <x14:cfvo type="autoMax"/>
              <x14:negativeFillColor rgb="FFFF0000"/>
              <x14:axisColor rgb="FF000000"/>
            </x14:dataBar>
          </x14:cfRule>
          <xm:sqref>L117</xm:sqref>
        </x14:conditionalFormatting>
        <x14:conditionalFormatting xmlns:xm="http://schemas.microsoft.com/office/excel/2006/main">
          <x14:cfRule type="dataBar" id="{26B3D3D7-5BF9-4049-8830-16C0585EAF94}">
            <x14:dataBar minLength="0" maxLength="100" gradient="0">
              <x14:cfvo type="autoMin"/>
              <x14:cfvo type="autoMax"/>
              <x14:negativeFillColor rgb="FFFF0000"/>
              <x14:axisColor rgb="FF000000"/>
            </x14:dataBar>
          </x14:cfRule>
          <xm:sqref>G118:K121</xm:sqref>
        </x14:conditionalFormatting>
        <x14:conditionalFormatting xmlns:xm="http://schemas.microsoft.com/office/excel/2006/main">
          <x14:cfRule type="dataBar" id="{FFC67702-3CF7-9141-A214-4DAF99D02A10}">
            <x14:dataBar minLength="0" maxLength="100" gradient="0">
              <x14:cfvo type="autoMin"/>
              <x14:cfvo type="autoMax"/>
              <x14:negativeFillColor rgb="FFFF0000"/>
              <x14:axisColor rgb="FF000000"/>
            </x14:dataBar>
          </x14:cfRule>
          <xm:sqref>L118:L121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L412"/>
  <sheetViews>
    <sheetView zoomScale="130" zoomScaleNormal="130" workbookViewId="0">
      <pane ySplit="1" topLeftCell="A2" activePane="bottomLeft" state="frozen"/>
      <selection pane="bottomLeft" activeCell="G29" sqref="G29"/>
    </sheetView>
  </sheetViews>
  <sheetFormatPr baseColWidth="10" defaultColWidth="9.1640625" defaultRowHeight="15" x14ac:dyDescent="0.2"/>
  <cols>
    <col min="1" max="1" width="20.6640625" style="135" customWidth="1"/>
    <col min="2" max="2" width="5.6640625" style="103" customWidth="1"/>
    <col min="3" max="3" width="10.33203125" style="135" bestFit="1" customWidth="1"/>
    <col min="4" max="4" width="18.5" style="223" customWidth="1"/>
    <col min="5" max="8" width="6.1640625" style="27" customWidth="1"/>
    <col min="9" max="9" width="6.1640625" style="134" customWidth="1"/>
    <col min="10" max="10" width="7" style="134" customWidth="1"/>
    <col min="11" max="11" width="10.1640625" style="158" customWidth="1"/>
    <col min="12" max="12" width="10.1640625" style="26" customWidth="1"/>
    <col min="13" max="16384" width="9.1640625" style="26"/>
  </cols>
  <sheetData>
    <row r="1" spans="1:12" s="159" customFormat="1" ht="48" x14ac:dyDescent="0.2">
      <c r="A1" s="169" t="s">
        <v>473</v>
      </c>
      <c r="B1" s="229" t="s">
        <v>472</v>
      </c>
      <c r="C1" s="167" t="s">
        <v>471</v>
      </c>
      <c r="D1" s="228" t="s">
        <v>57</v>
      </c>
      <c r="E1" s="163" t="s">
        <v>64</v>
      </c>
      <c r="F1" s="163" t="s">
        <v>60</v>
      </c>
      <c r="G1" s="163" t="s">
        <v>61</v>
      </c>
      <c r="H1" s="163" t="s">
        <v>62</v>
      </c>
      <c r="I1" s="162" t="s">
        <v>63</v>
      </c>
      <c r="J1" s="161" t="s">
        <v>116</v>
      </c>
      <c r="K1" s="227" t="s">
        <v>68</v>
      </c>
      <c r="L1" s="159" t="s">
        <v>470</v>
      </c>
    </row>
    <row r="2" spans="1:12" x14ac:dyDescent="0.2">
      <c r="A2" s="135" t="s">
        <v>468</v>
      </c>
      <c r="B2" s="103" t="s">
        <v>467</v>
      </c>
      <c r="C2" s="135">
        <v>39</v>
      </c>
      <c r="D2" s="223" t="s">
        <v>469</v>
      </c>
      <c r="E2" s="188">
        <v>2</v>
      </c>
      <c r="F2" s="188">
        <v>2</v>
      </c>
      <c r="G2" s="188">
        <v>3</v>
      </c>
      <c r="H2" s="188">
        <v>2</v>
      </c>
      <c r="I2" s="134">
        <v>2</v>
      </c>
      <c r="J2" s="147">
        <f t="shared" ref="J2:J64" si="0">IF( OR( ISBLANK(E2),ISBLANK(F2), ISBLANK(G2), ISBLANK(H2), ISBLANK(I2) ), "", 1.5*SQRT(   EXP(2.21*(E2-1)) + EXP(2.21*(F2-1)) + EXP(2.21*(G2-1)) + EXP(2.21*(H2-1)) + EXP(2.21*I2)   )/100*2.45 )</f>
        <v>0.51126068492676302</v>
      </c>
    </row>
    <row r="3" spans="1:12" x14ac:dyDescent="0.2">
      <c r="A3" s="135" t="s">
        <v>468</v>
      </c>
      <c r="B3" s="103" t="s">
        <v>467</v>
      </c>
      <c r="C3" s="135">
        <v>19</v>
      </c>
      <c r="D3" s="223" t="s">
        <v>429</v>
      </c>
      <c r="E3" s="188">
        <v>2</v>
      </c>
      <c r="F3" s="188">
        <v>2</v>
      </c>
      <c r="G3" s="188">
        <v>3</v>
      </c>
      <c r="H3" s="188">
        <v>3</v>
      </c>
      <c r="I3" s="134">
        <v>2</v>
      </c>
      <c r="J3" s="147">
        <f t="shared" si="0"/>
        <v>0.60108474454521421</v>
      </c>
    </row>
    <row r="4" spans="1:12" x14ac:dyDescent="0.2">
      <c r="A4" s="135" t="s">
        <v>466</v>
      </c>
      <c r="B4" s="103" t="s">
        <v>465</v>
      </c>
      <c r="C4" s="224">
        <v>5.9</v>
      </c>
      <c r="D4" s="223" t="s">
        <v>464</v>
      </c>
      <c r="E4" s="188">
        <f>E3</f>
        <v>2</v>
      </c>
      <c r="F4" s="188">
        <f>F3</f>
        <v>2</v>
      </c>
      <c r="G4" s="27">
        <f>G3</f>
        <v>3</v>
      </c>
      <c r="H4" s="27">
        <f>H3</f>
        <v>3</v>
      </c>
      <c r="I4" s="134">
        <v>2</v>
      </c>
      <c r="J4" s="147">
        <f t="shared" si="0"/>
        <v>0.60108474454521421</v>
      </c>
    </row>
    <row r="5" spans="1:12" x14ac:dyDescent="0.2">
      <c r="A5" s="135" t="s">
        <v>460</v>
      </c>
      <c r="B5" s="103" t="s">
        <v>459</v>
      </c>
      <c r="C5" s="226">
        <f>0.1/1000</f>
        <v>1E-4</v>
      </c>
      <c r="D5" s="223" t="s">
        <v>463</v>
      </c>
      <c r="E5" s="188">
        <v>2</v>
      </c>
      <c r="F5" s="188">
        <v>2</v>
      </c>
      <c r="G5" s="27">
        <v>3</v>
      </c>
      <c r="H5" s="27">
        <v>2</v>
      </c>
      <c r="I5" s="134">
        <v>1</v>
      </c>
      <c r="J5" s="147">
        <f t="shared" si="0"/>
        <v>0.40183591897512122</v>
      </c>
    </row>
    <row r="6" spans="1:12" x14ac:dyDescent="0.2">
      <c r="A6" s="135" t="s">
        <v>460</v>
      </c>
      <c r="B6" s="103" t="s">
        <v>459</v>
      </c>
      <c r="C6" s="226">
        <f>0.022/100</f>
        <v>2.1999999999999998E-4</v>
      </c>
      <c r="D6" s="223" t="s">
        <v>462</v>
      </c>
      <c r="E6" s="188">
        <v>2</v>
      </c>
      <c r="F6" s="188">
        <v>2</v>
      </c>
      <c r="G6" s="27">
        <v>3</v>
      </c>
      <c r="H6" s="27">
        <v>2</v>
      </c>
      <c r="I6" s="134">
        <v>1</v>
      </c>
      <c r="J6" s="147">
        <f t="shared" si="0"/>
        <v>0.40183591897512122</v>
      </c>
    </row>
    <row r="7" spans="1:12" x14ac:dyDescent="0.2">
      <c r="A7" s="135" t="s">
        <v>460</v>
      </c>
      <c r="B7" s="103" t="s">
        <v>459</v>
      </c>
      <c r="C7" s="226">
        <f>0.054/100</f>
        <v>5.4000000000000001E-4</v>
      </c>
      <c r="D7" s="223" t="s">
        <v>462</v>
      </c>
      <c r="E7" s="188">
        <v>2</v>
      </c>
      <c r="F7" s="188">
        <v>2</v>
      </c>
      <c r="G7" s="27">
        <v>3</v>
      </c>
      <c r="H7" s="27">
        <v>2</v>
      </c>
      <c r="I7" s="134">
        <v>1</v>
      </c>
      <c r="J7" s="147">
        <f t="shared" si="0"/>
        <v>0.40183591897512122</v>
      </c>
    </row>
    <row r="8" spans="1:12" x14ac:dyDescent="0.2">
      <c r="A8" s="135" t="s">
        <v>460</v>
      </c>
      <c r="B8" s="103" t="s">
        <v>459</v>
      </c>
      <c r="C8" s="226">
        <f>0.177/100</f>
        <v>1.7699999999999999E-3</v>
      </c>
      <c r="D8" s="223" t="s">
        <v>461</v>
      </c>
      <c r="E8" s="188">
        <v>2</v>
      </c>
      <c r="F8" s="188">
        <v>2</v>
      </c>
      <c r="G8" s="27">
        <v>3</v>
      </c>
      <c r="H8" s="27">
        <v>2</v>
      </c>
      <c r="I8" s="134">
        <v>1</v>
      </c>
      <c r="J8" s="147">
        <f t="shared" si="0"/>
        <v>0.40183591897512122</v>
      </c>
    </row>
    <row r="9" spans="1:12" x14ac:dyDescent="0.2">
      <c r="A9" s="135" t="s">
        <v>460</v>
      </c>
      <c r="B9" s="103" t="s">
        <v>459</v>
      </c>
      <c r="C9" s="226">
        <f>0.008/100</f>
        <v>8.0000000000000007E-5</v>
      </c>
      <c r="D9" s="223" t="s">
        <v>461</v>
      </c>
      <c r="E9" s="188">
        <v>2</v>
      </c>
      <c r="F9" s="188">
        <v>2</v>
      </c>
      <c r="G9" s="27">
        <v>3</v>
      </c>
      <c r="H9" s="27">
        <v>2</v>
      </c>
      <c r="I9" s="134">
        <v>1</v>
      </c>
      <c r="J9" s="147">
        <f t="shared" si="0"/>
        <v>0.40183591897512122</v>
      </c>
    </row>
    <row r="10" spans="1:12" x14ac:dyDescent="0.2">
      <c r="A10" s="135" t="s">
        <v>460</v>
      </c>
      <c r="B10" s="103" t="s">
        <v>459</v>
      </c>
      <c r="C10" s="226">
        <f>0.0013/100</f>
        <v>1.2999999999999999E-5</v>
      </c>
      <c r="D10" s="223" t="s">
        <v>456</v>
      </c>
      <c r="E10" s="188">
        <v>2</v>
      </c>
      <c r="F10" s="188">
        <v>2</v>
      </c>
      <c r="G10" s="27">
        <v>3</v>
      </c>
      <c r="H10" s="27">
        <v>2</v>
      </c>
      <c r="I10" s="134">
        <v>1</v>
      </c>
      <c r="J10" s="147">
        <f t="shared" si="0"/>
        <v>0.40183591897512122</v>
      </c>
    </row>
    <row r="11" spans="1:12" x14ac:dyDescent="0.2">
      <c r="A11" s="135" t="s">
        <v>460</v>
      </c>
      <c r="B11" s="103" t="s">
        <v>459</v>
      </c>
      <c r="C11" s="226">
        <f>0.399/5/1000</f>
        <v>7.9800000000000015E-5</v>
      </c>
      <c r="D11" s="223" t="s">
        <v>785</v>
      </c>
      <c r="E11" s="188">
        <v>2</v>
      </c>
      <c r="F11" s="188">
        <v>2</v>
      </c>
      <c r="G11" s="27">
        <v>3</v>
      </c>
      <c r="H11" s="27">
        <v>2</v>
      </c>
      <c r="I11" s="134">
        <v>1</v>
      </c>
      <c r="J11" s="147">
        <f t="shared" si="0"/>
        <v>0.40183591897512122</v>
      </c>
    </row>
    <row r="12" spans="1:12" x14ac:dyDescent="0.2">
      <c r="A12" s="135" t="s">
        <v>460</v>
      </c>
      <c r="B12" s="103" t="s">
        <v>459</v>
      </c>
      <c r="C12" s="226">
        <f>0.057/5/1000</f>
        <v>1.1400000000000001E-5</v>
      </c>
      <c r="D12" s="223" t="s">
        <v>785</v>
      </c>
      <c r="E12" s="188">
        <v>2</v>
      </c>
      <c r="F12" s="188">
        <v>2</v>
      </c>
      <c r="G12" s="27">
        <v>3</v>
      </c>
      <c r="H12" s="27">
        <v>2</v>
      </c>
      <c r="I12" s="134">
        <v>1</v>
      </c>
      <c r="J12" s="147">
        <f t="shared" si="0"/>
        <v>0.40183591897512122</v>
      </c>
    </row>
    <row r="13" spans="1:12" x14ac:dyDescent="0.2">
      <c r="A13" s="135" t="s">
        <v>458</v>
      </c>
      <c r="B13" s="103" t="s">
        <v>457</v>
      </c>
      <c r="C13" s="226">
        <f>3.5*C10</f>
        <v>4.5499999999999995E-5</v>
      </c>
      <c r="D13" s="223" t="s">
        <v>456</v>
      </c>
      <c r="E13" s="188">
        <f>E10</f>
        <v>2</v>
      </c>
      <c r="F13" s="188">
        <f>F10</f>
        <v>2</v>
      </c>
      <c r="G13" s="27">
        <f>G10</f>
        <v>3</v>
      </c>
      <c r="H13" s="27">
        <f>H10+1</f>
        <v>3</v>
      </c>
      <c r="I13" s="134">
        <v>1</v>
      </c>
      <c r="J13" s="147">
        <f t="shared" si="0"/>
        <v>0.51126068492676302</v>
      </c>
    </row>
    <row r="14" spans="1:12" x14ac:dyDescent="0.2">
      <c r="A14" s="135" t="s">
        <v>455</v>
      </c>
      <c r="B14" s="103" t="s">
        <v>454</v>
      </c>
      <c r="C14" s="278">
        <v>0</v>
      </c>
      <c r="D14" s="223" t="s">
        <v>71</v>
      </c>
      <c r="E14" s="188">
        <v>2</v>
      </c>
      <c r="F14" s="188">
        <v>3</v>
      </c>
      <c r="G14" s="27">
        <v>3</v>
      </c>
      <c r="H14" s="27">
        <v>3</v>
      </c>
      <c r="I14" s="134">
        <v>3</v>
      </c>
      <c r="J14" s="147">
        <f t="shared" si="0"/>
        <v>1.1713319510247036</v>
      </c>
    </row>
    <row r="15" spans="1:12" x14ac:dyDescent="0.2">
      <c r="A15" s="135" t="s">
        <v>455</v>
      </c>
      <c r="B15" s="103" t="s">
        <v>454</v>
      </c>
      <c r="C15" s="281">
        <v>0.5</v>
      </c>
      <c r="D15" s="223" t="s">
        <v>71</v>
      </c>
      <c r="E15" s="188">
        <v>2</v>
      </c>
      <c r="F15" s="188">
        <v>3</v>
      </c>
      <c r="G15" s="27">
        <v>3</v>
      </c>
      <c r="H15" s="27">
        <v>3</v>
      </c>
      <c r="I15" s="134">
        <v>3</v>
      </c>
      <c r="J15" s="147">
        <f t="shared" ref="J15" si="1">IF( OR( ISBLANK(E15),ISBLANK(F15), ISBLANK(G15), ISBLANK(H15), ISBLANK(I15) ), "", 1.5*SQRT(   EXP(2.21*(E15-1)) + EXP(2.21*(F15-1)) + EXP(2.21*(G15-1)) + EXP(2.21*(H15-1)) + EXP(2.21*I15)   )/100*2.45 )</f>
        <v>1.1713319510247036</v>
      </c>
    </row>
    <row r="16" spans="1:12" x14ac:dyDescent="0.2">
      <c r="A16" s="135" t="s">
        <v>451</v>
      </c>
      <c r="B16" s="103" t="s">
        <v>448</v>
      </c>
      <c r="C16" s="225">
        <v>2.6822016900000011E-3</v>
      </c>
      <c r="D16" s="223" t="s">
        <v>452</v>
      </c>
      <c r="E16" s="188">
        <v>2</v>
      </c>
      <c r="F16" s="188">
        <v>4</v>
      </c>
      <c r="G16" s="188">
        <v>3</v>
      </c>
      <c r="H16" s="188">
        <v>3</v>
      </c>
      <c r="I16" s="134">
        <v>3</v>
      </c>
      <c r="J16" s="147">
        <f t="shared" si="0"/>
        <v>1.5109000055213746</v>
      </c>
    </row>
    <row r="17" spans="1:10" x14ac:dyDescent="0.2">
      <c r="A17" s="135" t="s">
        <v>451</v>
      </c>
      <c r="B17" s="103" t="s">
        <v>448</v>
      </c>
      <c r="C17" s="225">
        <v>3.7655226000000004E-4</v>
      </c>
      <c r="D17" s="223" t="s">
        <v>452</v>
      </c>
      <c r="E17" s="188">
        <v>2</v>
      </c>
      <c r="F17" s="188">
        <v>4</v>
      </c>
      <c r="G17" s="188">
        <v>3</v>
      </c>
      <c r="H17" s="188">
        <v>3</v>
      </c>
      <c r="I17" s="134">
        <v>3</v>
      </c>
      <c r="J17" s="147">
        <f t="shared" si="0"/>
        <v>1.5109000055213746</v>
      </c>
    </row>
    <row r="18" spans="1:10" x14ac:dyDescent="0.2">
      <c r="A18" s="135" t="s">
        <v>451</v>
      </c>
      <c r="B18" s="103" t="s">
        <v>448</v>
      </c>
      <c r="C18" s="225">
        <v>4.0000000000000002E-4</v>
      </c>
      <c r="D18" s="223" t="s">
        <v>452</v>
      </c>
      <c r="E18" s="188">
        <v>2</v>
      </c>
      <c r="F18" s="188">
        <v>4</v>
      </c>
      <c r="G18" s="188">
        <v>3</v>
      </c>
      <c r="H18" s="188">
        <v>3</v>
      </c>
      <c r="I18" s="134">
        <v>3</v>
      </c>
      <c r="J18" s="147">
        <f t="shared" si="0"/>
        <v>1.5109000055213746</v>
      </c>
    </row>
    <row r="19" spans="1:10" x14ac:dyDescent="0.2">
      <c r="A19" s="135" t="s">
        <v>451</v>
      </c>
      <c r="B19" s="103" t="s">
        <v>448</v>
      </c>
      <c r="C19" s="225">
        <f>0.86/100</f>
        <v>8.6E-3</v>
      </c>
      <c r="D19" s="223" t="s">
        <v>396</v>
      </c>
      <c r="E19" s="188">
        <v>2</v>
      </c>
      <c r="F19" s="188">
        <v>4</v>
      </c>
      <c r="G19" s="188">
        <v>4</v>
      </c>
      <c r="H19" s="188">
        <v>3</v>
      </c>
      <c r="I19" s="134">
        <v>3</v>
      </c>
      <c r="J19" s="147">
        <f t="shared" si="0"/>
        <v>1.7870699801288255</v>
      </c>
    </row>
    <row r="20" spans="1:10" x14ac:dyDescent="0.2">
      <c r="A20" s="135" t="s">
        <v>449</v>
      </c>
      <c r="B20" s="103" t="s">
        <v>450</v>
      </c>
      <c r="C20" s="225">
        <v>1.2999999999999999E-2</v>
      </c>
      <c r="D20" s="223" t="s">
        <v>453</v>
      </c>
      <c r="E20" s="188">
        <v>2</v>
      </c>
      <c r="F20" s="188">
        <v>4</v>
      </c>
      <c r="G20" s="188">
        <v>3</v>
      </c>
      <c r="H20" s="188">
        <v>3</v>
      </c>
      <c r="I20" s="134">
        <v>3</v>
      </c>
      <c r="J20" s="147">
        <f t="shared" si="0"/>
        <v>1.5109000055213746</v>
      </c>
    </row>
    <row r="21" spans="1:10" x14ac:dyDescent="0.2">
      <c r="A21" s="135" t="s">
        <v>449</v>
      </c>
      <c r="B21" s="103" t="s">
        <v>448</v>
      </c>
      <c r="C21" s="225">
        <f>0.86/100</f>
        <v>8.6E-3</v>
      </c>
      <c r="D21" s="223" t="s">
        <v>396</v>
      </c>
      <c r="E21" s="188">
        <v>2</v>
      </c>
      <c r="F21" s="188">
        <v>4</v>
      </c>
      <c r="G21" s="188">
        <v>4</v>
      </c>
      <c r="H21" s="188">
        <v>3</v>
      </c>
      <c r="I21" s="134">
        <v>3</v>
      </c>
      <c r="J21" s="147">
        <f t="shared" si="0"/>
        <v>1.7870699801288255</v>
      </c>
    </row>
    <row r="22" spans="1:10" x14ac:dyDescent="0.2">
      <c r="A22" s="135" t="s">
        <v>447</v>
      </c>
      <c r="B22" s="103" t="s">
        <v>446</v>
      </c>
      <c r="C22" s="225">
        <v>0.11</v>
      </c>
      <c r="D22" s="223" t="s">
        <v>396</v>
      </c>
      <c r="E22" s="188">
        <v>2</v>
      </c>
      <c r="F22" s="188">
        <v>4</v>
      </c>
      <c r="G22" s="188">
        <v>4</v>
      </c>
      <c r="H22" s="188">
        <v>3</v>
      </c>
      <c r="I22" s="134">
        <v>3</v>
      </c>
      <c r="J22" s="147">
        <f t="shared" si="0"/>
        <v>1.7870699801288255</v>
      </c>
    </row>
    <row r="23" spans="1:10" x14ac:dyDescent="0.2">
      <c r="A23" s="135" t="s">
        <v>445</v>
      </c>
      <c r="B23" s="103" t="s">
        <v>444</v>
      </c>
      <c r="C23" s="135">
        <v>0.25</v>
      </c>
      <c r="D23" s="223" t="s">
        <v>443</v>
      </c>
      <c r="E23" s="188">
        <v>2</v>
      </c>
      <c r="F23" s="188">
        <v>3</v>
      </c>
      <c r="G23" s="27">
        <v>3</v>
      </c>
      <c r="H23" s="27">
        <v>1</v>
      </c>
      <c r="I23" s="134">
        <v>2</v>
      </c>
      <c r="J23" s="147">
        <f t="shared" si="0"/>
        <v>0.59189702474662764</v>
      </c>
    </row>
    <row r="24" spans="1:10" x14ac:dyDescent="0.2">
      <c r="A24" s="135" t="s">
        <v>442</v>
      </c>
      <c r="B24" s="103" t="s">
        <v>441</v>
      </c>
      <c r="C24" s="135">
        <v>0.34</v>
      </c>
      <c r="D24" s="223" t="s">
        <v>438</v>
      </c>
      <c r="E24" s="188">
        <v>2</v>
      </c>
      <c r="F24" s="188">
        <v>2</v>
      </c>
      <c r="G24" s="27">
        <v>3</v>
      </c>
      <c r="H24" s="27">
        <v>1</v>
      </c>
      <c r="I24" s="134">
        <v>2</v>
      </c>
      <c r="J24" s="147">
        <f t="shared" si="0"/>
        <v>0.50042652380814845</v>
      </c>
    </row>
    <row r="25" spans="1:10" x14ac:dyDescent="0.2">
      <c r="A25" s="135" t="s">
        <v>440</v>
      </c>
      <c r="B25" s="103" t="s">
        <v>439</v>
      </c>
      <c r="C25" s="135">
        <v>0.41</v>
      </c>
      <c r="D25" s="223" t="s">
        <v>438</v>
      </c>
      <c r="E25" s="188">
        <v>2</v>
      </c>
      <c r="F25" s="188">
        <v>2</v>
      </c>
      <c r="G25" s="27">
        <v>3</v>
      </c>
      <c r="H25" s="27">
        <v>1</v>
      </c>
      <c r="I25" s="134">
        <v>2</v>
      </c>
      <c r="J25" s="147">
        <f t="shared" si="0"/>
        <v>0.50042652380814845</v>
      </c>
    </row>
    <row r="26" spans="1:10" x14ac:dyDescent="0.2">
      <c r="A26" s="135" t="s">
        <v>437</v>
      </c>
      <c r="B26" s="103" t="s">
        <v>436</v>
      </c>
      <c r="C26" s="135">
        <v>7.0000000000000007E-2</v>
      </c>
      <c r="D26" s="223" t="s">
        <v>435</v>
      </c>
      <c r="E26" s="27">
        <v>3</v>
      </c>
      <c r="F26" s="27">
        <v>4</v>
      </c>
      <c r="G26" s="27">
        <v>1</v>
      </c>
      <c r="H26" s="27">
        <v>1</v>
      </c>
      <c r="I26" s="134">
        <v>1</v>
      </c>
      <c r="J26" s="147">
        <f t="shared" si="0"/>
        <v>1.0725046436742278</v>
      </c>
    </row>
    <row r="27" spans="1:10" x14ac:dyDescent="0.2">
      <c r="A27" s="224" t="s">
        <v>434</v>
      </c>
      <c r="B27" s="144" t="s">
        <v>433</v>
      </c>
      <c r="C27" s="135">
        <v>0</v>
      </c>
      <c r="D27" s="223" t="s">
        <v>71</v>
      </c>
      <c r="E27" s="26">
        <v>3</v>
      </c>
      <c r="F27" s="26">
        <v>3</v>
      </c>
      <c r="G27" s="26">
        <v>3</v>
      </c>
      <c r="H27" s="26">
        <v>3</v>
      </c>
      <c r="I27" s="26">
        <v>3</v>
      </c>
      <c r="J27" s="147">
        <f t="shared" si="0"/>
        <v>1.2132328390150593</v>
      </c>
    </row>
    <row r="28" spans="1:10" x14ac:dyDescent="0.2">
      <c r="A28" s="224" t="s">
        <v>434</v>
      </c>
      <c r="B28" s="144" t="s">
        <v>433</v>
      </c>
      <c r="C28" s="135">
        <v>0.01</v>
      </c>
      <c r="D28" s="223" t="s">
        <v>71</v>
      </c>
      <c r="E28" s="26">
        <v>3</v>
      </c>
      <c r="F28" s="26">
        <v>3</v>
      </c>
      <c r="G28" s="26">
        <v>3</v>
      </c>
      <c r="H28" s="26">
        <v>3</v>
      </c>
      <c r="I28" s="26">
        <v>3</v>
      </c>
      <c r="J28" s="147">
        <f t="shared" si="0"/>
        <v>1.2132328390150593</v>
      </c>
    </row>
    <row r="29" spans="1:10" x14ac:dyDescent="0.2">
      <c r="A29" s="224" t="s">
        <v>432</v>
      </c>
      <c r="B29" s="144" t="s">
        <v>431</v>
      </c>
      <c r="C29" s="135">
        <v>0</v>
      </c>
      <c r="D29" s="223" t="s">
        <v>71</v>
      </c>
      <c r="E29" s="26">
        <v>3</v>
      </c>
      <c r="F29" s="26">
        <v>3</v>
      </c>
      <c r="G29" s="26">
        <v>3</v>
      </c>
      <c r="H29" s="26">
        <v>3</v>
      </c>
      <c r="I29" s="26">
        <v>3</v>
      </c>
      <c r="J29" s="147">
        <f t="shared" si="0"/>
        <v>1.2132328390150593</v>
      </c>
    </row>
    <row r="30" spans="1:10" x14ac:dyDescent="0.2">
      <c r="A30" s="224" t="s">
        <v>432</v>
      </c>
      <c r="B30" s="144" t="s">
        <v>431</v>
      </c>
      <c r="C30" s="135">
        <v>0.01</v>
      </c>
      <c r="D30" s="223" t="s">
        <v>71</v>
      </c>
      <c r="E30" s="26">
        <v>3</v>
      </c>
      <c r="F30" s="26">
        <v>3</v>
      </c>
      <c r="G30" s="26">
        <v>3</v>
      </c>
      <c r="H30" s="26">
        <v>3</v>
      </c>
      <c r="I30" s="26">
        <v>3</v>
      </c>
      <c r="J30" s="147">
        <f t="shared" si="0"/>
        <v>1.2132328390150593</v>
      </c>
    </row>
    <row r="31" spans="1:10" x14ac:dyDescent="0.2">
      <c r="A31" s="26"/>
      <c r="B31" s="26"/>
      <c r="D31" s="134"/>
      <c r="E31" s="26"/>
      <c r="F31" s="26"/>
      <c r="G31" s="26"/>
      <c r="H31" s="26"/>
      <c r="I31" s="26"/>
      <c r="J31" s="147" t="str">
        <f t="shared" si="0"/>
        <v/>
      </c>
    </row>
    <row r="32" spans="1:10" x14ac:dyDescent="0.2">
      <c r="A32" s="26"/>
      <c r="B32" s="26"/>
      <c r="D32" s="134"/>
      <c r="E32" s="26"/>
      <c r="F32" s="26"/>
      <c r="G32" s="26"/>
      <c r="H32" s="26"/>
      <c r="I32" s="26"/>
      <c r="J32" s="147" t="str">
        <f t="shared" si="0"/>
        <v/>
      </c>
    </row>
    <row r="33" spans="1:10" x14ac:dyDescent="0.2">
      <c r="A33" s="26"/>
      <c r="B33" s="26"/>
      <c r="D33" s="134"/>
      <c r="E33" s="26"/>
      <c r="F33" s="26"/>
      <c r="G33" s="26"/>
      <c r="H33" s="26"/>
      <c r="I33" s="26"/>
      <c r="J33" s="147" t="str">
        <f t="shared" si="0"/>
        <v/>
      </c>
    </row>
    <row r="34" spans="1:10" x14ac:dyDescent="0.2">
      <c r="A34" s="26"/>
      <c r="B34" s="26"/>
      <c r="D34" s="134"/>
      <c r="E34" s="26"/>
      <c r="F34" s="26"/>
      <c r="G34" s="26"/>
      <c r="H34" s="26"/>
      <c r="I34" s="26"/>
      <c r="J34" s="147" t="str">
        <f t="shared" si="0"/>
        <v/>
      </c>
    </row>
    <row r="35" spans="1:10" x14ac:dyDescent="0.2">
      <c r="A35" s="26"/>
      <c r="B35" s="26"/>
      <c r="D35" s="134"/>
      <c r="E35" s="26"/>
      <c r="F35" s="26"/>
      <c r="G35" s="26"/>
      <c r="H35" s="26"/>
      <c r="I35" s="26"/>
      <c r="J35" s="147" t="str">
        <f t="shared" si="0"/>
        <v/>
      </c>
    </row>
    <row r="36" spans="1:10" x14ac:dyDescent="0.2">
      <c r="A36" s="26"/>
      <c r="B36" s="26"/>
      <c r="D36" s="134"/>
      <c r="E36" s="26"/>
      <c r="F36" s="26"/>
      <c r="G36" s="26"/>
      <c r="H36" s="26"/>
      <c r="I36" s="26"/>
      <c r="J36" s="147" t="str">
        <f t="shared" si="0"/>
        <v/>
      </c>
    </row>
    <row r="37" spans="1:10" x14ac:dyDescent="0.2">
      <c r="A37" s="26"/>
      <c r="B37" s="26"/>
      <c r="D37" s="134"/>
      <c r="E37" s="26"/>
      <c r="F37" s="26"/>
      <c r="G37" s="26"/>
      <c r="H37" s="26"/>
      <c r="I37" s="26"/>
      <c r="J37" s="147" t="str">
        <f t="shared" si="0"/>
        <v/>
      </c>
    </row>
    <row r="38" spans="1:10" x14ac:dyDescent="0.2">
      <c r="A38" s="26"/>
      <c r="B38" s="26"/>
      <c r="D38" s="134"/>
      <c r="E38" s="26"/>
      <c r="F38" s="26"/>
      <c r="G38" s="26"/>
      <c r="H38" s="26"/>
      <c r="I38" s="26"/>
      <c r="J38" s="147" t="str">
        <f t="shared" si="0"/>
        <v/>
      </c>
    </row>
    <row r="39" spans="1:10" x14ac:dyDescent="0.2">
      <c r="A39" s="26"/>
      <c r="B39" s="26"/>
      <c r="D39" s="134"/>
      <c r="E39" s="26"/>
      <c r="F39" s="26"/>
      <c r="G39" s="26"/>
      <c r="H39" s="26"/>
      <c r="I39" s="26"/>
      <c r="J39" s="147" t="str">
        <f t="shared" si="0"/>
        <v/>
      </c>
    </row>
    <row r="40" spans="1:10" x14ac:dyDescent="0.2">
      <c r="A40" s="26"/>
      <c r="B40" s="26"/>
      <c r="D40" s="134"/>
      <c r="E40" s="26"/>
      <c r="F40" s="26"/>
      <c r="G40" s="26"/>
      <c r="H40" s="26"/>
      <c r="I40" s="26"/>
      <c r="J40" s="147" t="str">
        <f t="shared" si="0"/>
        <v/>
      </c>
    </row>
    <row r="41" spans="1:10" x14ac:dyDescent="0.2">
      <c r="A41" s="26"/>
      <c r="B41" s="26"/>
      <c r="D41" s="134"/>
      <c r="E41" s="26"/>
      <c r="F41" s="26"/>
      <c r="G41" s="26"/>
      <c r="H41" s="26"/>
      <c r="I41" s="26"/>
      <c r="J41" s="147" t="str">
        <f t="shared" si="0"/>
        <v/>
      </c>
    </row>
    <row r="42" spans="1:10" x14ac:dyDescent="0.2">
      <c r="A42" s="26"/>
      <c r="B42" s="26"/>
      <c r="D42" s="134"/>
      <c r="E42" s="26"/>
      <c r="F42" s="26"/>
      <c r="G42" s="26"/>
      <c r="H42" s="26"/>
      <c r="I42" s="26"/>
      <c r="J42" s="147" t="str">
        <f t="shared" si="0"/>
        <v/>
      </c>
    </row>
    <row r="43" spans="1:10" x14ac:dyDescent="0.2">
      <c r="A43" s="26"/>
      <c r="B43" s="26"/>
      <c r="D43" s="134"/>
      <c r="E43" s="26"/>
      <c r="F43" s="26"/>
      <c r="G43" s="26"/>
      <c r="H43" s="26"/>
      <c r="I43" s="26"/>
      <c r="J43" s="147" t="str">
        <f t="shared" si="0"/>
        <v/>
      </c>
    </row>
    <row r="44" spans="1:10" x14ac:dyDescent="0.2">
      <c r="A44" s="26"/>
      <c r="B44" s="26"/>
      <c r="D44" s="134"/>
      <c r="E44" s="26"/>
      <c r="F44" s="26"/>
      <c r="G44" s="26"/>
      <c r="H44" s="26"/>
      <c r="I44" s="26"/>
      <c r="J44" s="147" t="str">
        <f t="shared" si="0"/>
        <v/>
      </c>
    </row>
    <row r="45" spans="1:10" x14ac:dyDescent="0.2">
      <c r="A45" s="26"/>
      <c r="B45" s="26"/>
      <c r="D45" s="134"/>
      <c r="E45" s="26"/>
      <c r="F45" s="26"/>
      <c r="G45" s="26"/>
      <c r="H45" s="26"/>
      <c r="I45" s="26"/>
      <c r="J45" s="147" t="str">
        <f t="shared" si="0"/>
        <v/>
      </c>
    </row>
    <row r="46" spans="1:10" x14ac:dyDescent="0.2">
      <c r="A46" s="26"/>
      <c r="B46" s="26"/>
      <c r="D46" s="134"/>
      <c r="E46" s="26"/>
      <c r="F46" s="26"/>
      <c r="G46" s="26"/>
      <c r="H46" s="26"/>
      <c r="I46" s="26"/>
      <c r="J46" s="147" t="str">
        <f t="shared" si="0"/>
        <v/>
      </c>
    </row>
    <row r="47" spans="1:10" x14ac:dyDescent="0.2">
      <c r="A47" s="26"/>
      <c r="B47" s="26"/>
      <c r="D47" s="134"/>
      <c r="E47" s="26"/>
      <c r="F47" s="26"/>
      <c r="G47" s="26"/>
      <c r="H47" s="26"/>
      <c r="I47" s="26"/>
      <c r="J47" s="147" t="str">
        <f t="shared" si="0"/>
        <v/>
      </c>
    </row>
    <row r="48" spans="1:10" x14ac:dyDescent="0.2">
      <c r="A48" s="26"/>
      <c r="B48" s="26"/>
      <c r="D48" s="134"/>
      <c r="E48" s="26"/>
      <c r="F48" s="26"/>
      <c r="G48" s="26"/>
      <c r="H48" s="26"/>
      <c r="I48" s="26"/>
      <c r="J48" s="147" t="str">
        <f t="shared" si="0"/>
        <v/>
      </c>
    </row>
    <row r="49" spans="1:10" x14ac:dyDescent="0.2">
      <c r="A49" s="26"/>
      <c r="B49" s="26"/>
      <c r="D49" s="134"/>
      <c r="E49" s="26"/>
      <c r="F49" s="26"/>
      <c r="G49" s="26"/>
      <c r="H49" s="26"/>
      <c r="I49" s="26"/>
      <c r="J49" s="147" t="str">
        <f t="shared" si="0"/>
        <v/>
      </c>
    </row>
    <row r="50" spans="1:10" x14ac:dyDescent="0.2">
      <c r="A50" s="26"/>
      <c r="B50" s="26"/>
      <c r="D50" s="134"/>
      <c r="E50" s="26"/>
      <c r="F50" s="26"/>
      <c r="G50" s="26"/>
      <c r="H50" s="26"/>
      <c r="I50" s="26"/>
      <c r="J50" s="147" t="str">
        <f t="shared" si="0"/>
        <v/>
      </c>
    </row>
    <row r="51" spans="1:10" x14ac:dyDescent="0.2">
      <c r="A51" s="26"/>
      <c r="B51" s="26"/>
      <c r="D51" s="134"/>
      <c r="E51" s="26"/>
      <c r="F51" s="26"/>
      <c r="G51" s="26"/>
      <c r="H51" s="26"/>
      <c r="I51" s="26"/>
      <c r="J51" s="147" t="str">
        <f t="shared" si="0"/>
        <v/>
      </c>
    </row>
    <row r="52" spans="1:10" x14ac:dyDescent="0.2">
      <c r="A52" s="26"/>
      <c r="B52" s="26"/>
      <c r="D52" s="134"/>
      <c r="E52" s="26"/>
      <c r="F52" s="26"/>
      <c r="G52" s="26"/>
      <c r="H52" s="26"/>
      <c r="I52" s="26"/>
      <c r="J52" s="147" t="str">
        <f t="shared" si="0"/>
        <v/>
      </c>
    </row>
    <row r="53" spans="1:10" x14ac:dyDescent="0.2">
      <c r="A53" s="26"/>
      <c r="B53" s="26"/>
      <c r="D53" s="134"/>
      <c r="E53" s="26"/>
      <c r="F53" s="26"/>
      <c r="G53" s="26"/>
      <c r="H53" s="26"/>
      <c r="I53" s="26"/>
      <c r="J53" s="147" t="str">
        <f t="shared" si="0"/>
        <v/>
      </c>
    </row>
    <row r="54" spans="1:10" x14ac:dyDescent="0.2">
      <c r="A54" s="26"/>
      <c r="B54" s="26"/>
      <c r="D54" s="134"/>
      <c r="E54" s="26"/>
      <c r="F54" s="26"/>
      <c r="G54" s="26"/>
      <c r="H54" s="26"/>
      <c r="I54" s="26"/>
      <c r="J54" s="147" t="str">
        <f t="shared" si="0"/>
        <v/>
      </c>
    </row>
    <row r="55" spans="1:10" x14ac:dyDescent="0.2">
      <c r="A55" s="26"/>
      <c r="B55" s="26"/>
      <c r="D55" s="134"/>
      <c r="E55" s="26"/>
      <c r="F55" s="26"/>
      <c r="G55" s="26"/>
      <c r="H55" s="26"/>
      <c r="I55" s="26"/>
      <c r="J55" s="134" t="str">
        <f t="shared" si="0"/>
        <v/>
      </c>
    </row>
    <row r="56" spans="1:10" x14ac:dyDescent="0.2">
      <c r="A56" s="26"/>
      <c r="B56" s="26"/>
      <c r="D56" s="134"/>
      <c r="E56" s="26"/>
      <c r="F56" s="26"/>
      <c r="G56" s="26"/>
      <c r="H56" s="26"/>
      <c r="I56" s="26"/>
      <c r="J56" s="134" t="str">
        <f t="shared" si="0"/>
        <v/>
      </c>
    </row>
    <row r="57" spans="1:10" x14ac:dyDescent="0.2">
      <c r="A57" s="26"/>
      <c r="B57" s="26"/>
      <c r="D57" s="134"/>
      <c r="E57" s="26"/>
      <c r="F57" s="26"/>
      <c r="G57" s="26"/>
      <c r="H57" s="26"/>
      <c r="I57" s="26"/>
      <c r="J57" s="134" t="str">
        <f t="shared" si="0"/>
        <v/>
      </c>
    </row>
    <row r="58" spans="1:10" x14ac:dyDescent="0.2">
      <c r="A58" s="26"/>
      <c r="B58" s="26"/>
      <c r="D58" s="134"/>
      <c r="E58" s="26"/>
      <c r="F58" s="26"/>
      <c r="G58" s="26"/>
      <c r="H58" s="26"/>
      <c r="I58" s="26"/>
      <c r="J58" s="134" t="str">
        <f t="shared" si="0"/>
        <v/>
      </c>
    </row>
    <row r="59" spans="1:10" x14ac:dyDescent="0.2">
      <c r="A59" s="26"/>
      <c r="B59" s="26"/>
      <c r="D59" s="134"/>
      <c r="E59" s="26"/>
      <c r="F59" s="26"/>
      <c r="G59" s="26"/>
      <c r="H59" s="26"/>
      <c r="I59" s="26"/>
      <c r="J59" s="134" t="str">
        <f t="shared" si="0"/>
        <v/>
      </c>
    </row>
    <row r="60" spans="1:10" x14ac:dyDescent="0.2">
      <c r="A60" s="26"/>
      <c r="B60" s="26"/>
      <c r="D60" s="134"/>
      <c r="E60" s="26"/>
      <c r="F60" s="26"/>
      <c r="G60" s="26"/>
      <c r="H60" s="26"/>
      <c r="I60" s="26"/>
      <c r="J60" s="134" t="str">
        <f t="shared" si="0"/>
        <v/>
      </c>
    </row>
    <row r="61" spans="1:10" x14ac:dyDescent="0.2">
      <c r="A61" s="26"/>
      <c r="B61" s="26"/>
      <c r="D61" s="134"/>
      <c r="E61" s="26"/>
      <c r="F61" s="26"/>
      <c r="G61" s="26"/>
      <c r="H61" s="26"/>
      <c r="I61" s="26"/>
      <c r="J61" s="134" t="str">
        <f t="shared" si="0"/>
        <v/>
      </c>
    </row>
    <row r="62" spans="1:10" x14ac:dyDescent="0.2">
      <c r="A62" s="26"/>
      <c r="B62" s="26"/>
      <c r="D62" s="134"/>
      <c r="E62" s="26"/>
      <c r="F62" s="26"/>
      <c r="G62" s="26"/>
      <c r="H62" s="26"/>
      <c r="I62" s="26"/>
      <c r="J62" s="134" t="str">
        <f t="shared" si="0"/>
        <v/>
      </c>
    </row>
    <row r="63" spans="1:10" x14ac:dyDescent="0.2">
      <c r="A63" s="26"/>
      <c r="B63" s="26"/>
      <c r="D63" s="134"/>
      <c r="E63" s="26"/>
      <c r="F63" s="26"/>
      <c r="G63" s="26"/>
      <c r="H63" s="26"/>
      <c r="I63" s="26"/>
      <c r="J63" s="134" t="str">
        <f t="shared" si="0"/>
        <v/>
      </c>
    </row>
    <row r="64" spans="1:10" x14ac:dyDescent="0.2">
      <c r="A64" s="26"/>
      <c r="B64" s="26"/>
      <c r="D64" s="134"/>
      <c r="E64" s="26"/>
      <c r="F64" s="26"/>
      <c r="G64" s="26"/>
      <c r="H64" s="26"/>
      <c r="I64" s="26"/>
      <c r="J64" s="134" t="str">
        <f t="shared" si="0"/>
        <v/>
      </c>
    </row>
    <row r="65" spans="1:10" x14ac:dyDescent="0.2">
      <c r="A65" s="26"/>
      <c r="B65" s="26"/>
      <c r="D65" s="134"/>
      <c r="E65" s="26"/>
      <c r="F65" s="26"/>
      <c r="G65" s="26"/>
      <c r="H65" s="26"/>
      <c r="I65" s="26"/>
      <c r="J65" s="134" t="str">
        <f t="shared" ref="J65:J128" si="2">IF( OR( ISBLANK(E65),ISBLANK(F65), ISBLANK(G65), ISBLANK(H65), ISBLANK(I65) ), "", 1.5*SQRT(   EXP(2.21*(E65-1)) + EXP(2.21*(F65-1)) + EXP(2.21*(G65-1)) + EXP(2.21*(H65-1)) + EXP(2.21*I65)   )/100*2.45 )</f>
        <v/>
      </c>
    </row>
    <row r="66" spans="1:10" x14ac:dyDescent="0.2">
      <c r="A66" s="26"/>
      <c r="B66" s="26"/>
      <c r="D66" s="134"/>
      <c r="E66" s="26"/>
      <c r="F66" s="26"/>
      <c r="G66" s="26"/>
      <c r="H66" s="26"/>
      <c r="I66" s="26"/>
      <c r="J66" s="134" t="str">
        <f t="shared" si="2"/>
        <v/>
      </c>
    </row>
    <row r="67" spans="1:10" x14ac:dyDescent="0.2">
      <c r="A67" s="26"/>
      <c r="B67" s="26"/>
      <c r="D67" s="134"/>
      <c r="E67" s="26"/>
      <c r="F67" s="26"/>
      <c r="G67" s="26"/>
      <c r="H67" s="26"/>
      <c r="I67" s="26"/>
      <c r="J67" s="134" t="str">
        <f t="shared" si="2"/>
        <v/>
      </c>
    </row>
    <row r="68" spans="1:10" x14ac:dyDescent="0.2">
      <c r="A68" s="26"/>
      <c r="B68" s="26"/>
      <c r="D68" s="134"/>
      <c r="E68" s="26"/>
      <c r="F68" s="26"/>
      <c r="G68" s="26"/>
      <c r="H68" s="26"/>
      <c r="I68" s="26"/>
      <c r="J68" s="134" t="str">
        <f t="shared" si="2"/>
        <v/>
      </c>
    </row>
    <row r="69" spans="1:10" x14ac:dyDescent="0.2">
      <c r="A69" s="26"/>
      <c r="B69" s="26"/>
      <c r="D69" s="134"/>
      <c r="E69" s="26"/>
      <c r="F69" s="26"/>
      <c r="G69" s="26"/>
      <c r="H69" s="26"/>
      <c r="I69" s="26"/>
      <c r="J69" s="134" t="str">
        <f t="shared" si="2"/>
        <v/>
      </c>
    </row>
    <row r="70" spans="1:10" x14ac:dyDescent="0.2">
      <c r="A70" s="26"/>
      <c r="B70" s="26"/>
      <c r="D70" s="134"/>
      <c r="E70" s="26"/>
      <c r="F70" s="26"/>
      <c r="G70" s="26"/>
      <c r="H70" s="26"/>
      <c r="I70" s="26"/>
      <c r="J70" s="134" t="str">
        <f t="shared" si="2"/>
        <v/>
      </c>
    </row>
    <row r="71" spans="1:10" x14ac:dyDescent="0.2">
      <c r="A71" s="26"/>
      <c r="B71" s="26"/>
      <c r="D71" s="134"/>
      <c r="E71" s="26"/>
      <c r="F71" s="26"/>
      <c r="G71" s="26"/>
      <c r="H71" s="26"/>
      <c r="I71" s="26"/>
      <c r="J71" s="134" t="str">
        <f t="shared" si="2"/>
        <v/>
      </c>
    </row>
    <row r="72" spans="1:10" x14ac:dyDescent="0.2">
      <c r="A72" s="26"/>
      <c r="B72" s="26"/>
      <c r="D72" s="134"/>
      <c r="E72" s="26"/>
      <c r="F72" s="26"/>
      <c r="G72" s="26"/>
      <c r="H72" s="26"/>
      <c r="I72" s="26"/>
      <c r="J72" s="134" t="str">
        <f t="shared" si="2"/>
        <v/>
      </c>
    </row>
    <row r="73" spans="1:10" x14ac:dyDescent="0.2">
      <c r="A73" s="26"/>
      <c r="B73" s="26"/>
      <c r="D73" s="134"/>
      <c r="E73" s="26"/>
      <c r="F73" s="26"/>
      <c r="G73" s="26"/>
      <c r="H73" s="26"/>
      <c r="I73" s="26"/>
      <c r="J73" s="134" t="str">
        <f t="shared" si="2"/>
        <v/>
      </c>
    </row>
    <row r="74" spans="1:10" x14ac:dyDescent="0.2">
      <c r="A74" s="26"/>
      <c r="B74" s="26"/>
      <c r="D74" s="134"/>
      <c r="E74" s="26"/>
      <c r="F74" s="26"/>
      <c r="G74" s="26"/>
      <c r="H74" s="26"/>
      <c r="I74" s="26"/>
      <c r="J74" s="134" t="str">
        <f t="shared" si="2"/>
        <v/>
      </c>
    </row>
    <row r="75" spans="1:10" x14ac:dyDescent="0.2">
      <c r="A75" s="26"/>
      <c r="B75" s="26"/>
      <c r="D75" s="134"/>
      <c r="E75" s="26"/>
      <c r="F75" s="26"/>
      <c r="G75" s="26"/>
      <c r="H75" s="26"/>
      <c r="I75" s="26"/>
      <c r="J75" s="134" t="str">
        <f t="shared" si="2"/>
        <v/>
      </c>
    </row>
    <row r="76" spans="1:10" x14ac:dyDescent="0.2">
      <c r="A76" s="26"/>
      <c r="B76" s="26"/>
      <c r="D76" s="134"/>
      <c r="E76" s="26"/>
      <c r="F76" s="26"/>
      <c r="G76" s="26"/>
      <c r="H76" s="26"/>
      <c r="I76" s="26"/>
      <c r="J76" s="134" t="str">
        <f t="shared" si="2"/>
        <v/>
      </c>
    </row>
    <row r="77" spans="1:10" x14ac:dyDescent="0.2">
      <c r="A77" s="26"/>
      <c r="B77" s="26"/>
      <c r="D77" s="134"/>
      <c r="E77" s="26"/>
      <c r="F77" s="26"/>
      <c r="G77" s="26"/>
      <c r="H77" s="26"/>
      <c r="I77" s="26"/>
      <c r="J77" s="134" t="str">
        <f t="shared" si="2"/>
        <v/>
      </c>
    </row>
    <row r="78" spans="1:10" x14ac:dyDescent="0.2">
      <c r="A78" s="26"/>
      <c r="B78" s="26"/>
      <c r="D78" s="134"/>
      <c r="E78" s="26"/>
      <c r="F78" s="26"/>
      <c r="G78" s="26"/>
      <c r="H78" s="26"/>
      <c r="I78" s="26"/>
      <c r="J78" s="134" t="str">
        <f t="shared" si="2"/>
        <v/>
      </c>
    </row>
    <row r="79" spans="1:10" x14ac:dyDescent="0.2">
      <c r="A79" s="26"/>
      <c r="B79" s="26"/>
      <c r="D79" s="134"/>
      <c r="E79" s="26"/>
      <c r="F79" s="26"/>
      <c r="G79" s="26"/>
      <c r="H79" s="26"/>
      <c r="I79" s="26"/>
      <c r="J79" s="134" t="str">
        <f t="shared" si="2"/>
        <v/>
      </c>
    </row>
    <row r="80" spans="1:10" x14ac:dyDescent="0.2">
      <c r="A80" s="26"/>
      <c r="B80" s="26"/>
      <c r="D80" s="134"/>
      <c r="E80" s="26"/>
      <c r="F80" s="26"/>
      <c r="G80" s="26"/>
      <c r="H80" s="26"/>
      <c r="I80" s="26"/>
      <c r="J80" s="134" t="str">
        <f t="shared" si="2"/>
        <v/>
      </c>
    </row>
    <row r="81" spans="1:10" x14ac:dyDescent="0.2">
      <c r="A81" s="26"/>
      <c r="B81" s="26"/>
      <c r="D81" s="134"/>
      <c r="E81" s="26"/>
      <c r="F81" s="26"/>
      <c r="G81" s="26"/>
      <c r="H81" s="26"/>
      <c r="I81" s="26"/>
      <c r="J81" s="134" t="str">
        <f t="shared" si="2"/>
        <v/>
      </c>
    </row>
    <row r="82" spans="1:10" x14ac:dyDescent="0.2">
      <c r="A82" s="26"/>
      <c r="B82" s="26"/>
      <c r="D82" s="134"/>
      <c r="E82" s="26"/>
      <c r="F82" s="26"/>
      <c r="G82" s="26"/>
      <c r="H82" s="26"/>
      <c r="I82" s="26"/>
      <c r="J82" s="134" t="str">
        <f t="shared" si="2"/>
        <v/>
      </c>
    </row>
    <row r="83" spans="1:10" x14ac:dyDescent="0.2">
      <c r="A83" s="26"/>
      <c r="B83" s="26"/>
      <c r="D83" s="134"/>
      <c r="E83" s="26"/>
      <c r="F83" s="26"/>
      <c r="G83" s="26"/>
      <c r="H83" s="26"/>
      <c r="I83" s="26"/>
      <c r="J83" s="134" t="str">
        <f t="shared" si="2"/>
        <v/>
      </c>
    </row>
    <row r="84" spans="1:10" x14ac:dyDescent="0.2">
      <c r="A84" s="26"/>
      <c r="B84" s="26"/>
      <c r="D84" s="134"/>
      <c r="E84" s="26"/>
      <c r="F84" s="26"/>
      <c r="G84" s="26"/>
      <c r="H84" s="26"/>
      <c r="I84" s="26"/>
      <c r="J84" s="134" t="str">
        <f t="shared" si="2"/>
        <v/>
      </c>
    </row>
    <row r="85" spans="1:10" x14ac:dyDescent="0.2">
      <c r="A85" s="26"/>
      <c r="B85" s="26"/>
      <c r="D85" s="134"/>
      <c r="E85" s="26"/>
      <c r="F85" s="26"/>
      <c r="G85" s="26"/>
      <c r="H85" s="26"/>
      <c r="I85" s="26"/>
      <c r="J85" s="134" t="str">
        <f t="shared" si="2"/>
        <v/>
      </c>
    </row>
    <row r="86" spans="1:10" x14ac:dyDescent="0.2">
      <c r="A86" s="26"/>
      <c r="B86" s="26"/>
      <c r="D86" s="134"/>
      <c r="E86" s="26"/>
      <c r="F86" s="26"/>
      <c r="G86" s="26"/>
      <c r="H86" s="26"/>
      <c r="I86" s="26"/>
      <c r="J86" s="134" t="str">
        <f t="shared" si="2"/>
        <v/>
      </c>
    </row>
    <row r="87" spans="1:10" x14ac:dyDescent="0.2">
      <c r="A87" s="26"/>
      <c r="B87" s="26"/>
      <c r="D87" s="134"/>
      <c r="E87" s="26"/>
      <c r="F87" s="26"/>
      <c r="G87" s="26"/>
      <c r="H87" s="26"/>
      <c r="I87" s="26"/>
      <c r="J87" s="134" t="str">
        <f t="shared" si="2"/>
        <v/>
      </c>
    </row>
    <row r="88" spans="1:10" x14ac:dyDescent="0.2">
      <c r="A88" s="26"/>
      <c r="B88" s="26"/>
      <c r="D88" s="134"/>
      <c r="E88" s="26"/>
      <c r="F88" s="26"/>
      <c r="G88" s="26"/>
      <c r="H88" s="26"/>
      <c r="I88" s="26"/>
      <c r="J88" s="134" t="str">
        <f t="shared" si="2"/>
        <v/>
      </c>
    </row>
    <row r="89" spans="1:10" x14ac:dyDescent="0.2">
      <c r="A89" s="26"/>
      <c r="B89" s="26"/>
      <c r="D89" s="134"/>
      <c r="E89" s="26"/>
      <c r="F89" s="26"/>
      <c r="G89" s="26"/>
      <c r="H89" s="26"/>
      <c r="I89" s="26"/>
      <c r="J89" s="134" t="str">
        <f t="shared" si="2"/>
        <v/>
      </c>
    </row>
    <row r="90" spans="1:10" x14ac:dyDescent="0.2">
      <c r="A90" s="26"/>
      <c r="B90" s="26"/>
      <c r="D90" s="134"/>
      <c r="E90" s="26"/>
      <c r="F90" s="26"/>
      <c r="G90" s="26"/>
      <c r="H90" s="26"/>
      <c r="I90" s="26"/>
      <c r="J90" s="134" t="str">
        <f t="shared" si="2"/>
        <v/>
      </c>
    </row>
    <row r="91" spans="1:10" x14ac:dyDescent="0.2">
      <c r="A91" s="26"/>
      <c r="B91" s="26"/>
      <c r="D91" s="134"/>
      <c r="E91" s="26"/>
      <c r="F91" s="26"/>
      <c r="G91" s="26"/>
      <c r="H91" s="26"/>
      <c r="I91" s="26"/>
      <c r="J91" s="134" t="str">
        <f t="shared" si="2"/>
        <v/>
      </c>
    </row>
    <row r="92" spans="1:10" x14ac:dyDescent="0.2">
      <c r="A92" s="26"/>
      <c r="B92" s="26"/>
      <c r="D92" s="134"/>
      <c r="E92" s="26"/>
      <c r="F92" s="26"/>
      <c r="G92" s="26"/>
      <c r="H92" s="26"/>
      <c r="I92" s="26"/>
      <c r="J92" s="134" t="str">
        <f t="shared" si="2"/>
        <v/>
      </c>
    </row>
    <row r="93" spans="1:10" x14ac:dyDescent="0.2">
      <c r="A93" s="26"/>
      <c r="B93" s="26"/>
      <c r="D93" s="134"/>
      <c r="E93" s="26"/>
      <c r="F93" s="26"/>
      <c r="G93" s="26"/>
      <c r="H93" s="26"/>
      <c r="I93" s="26"/>
      <c r="J93" s="134" t="str">
        <f t="shared" si="2"/>
        <v/>
      </c>
    </row>
    <row r="94" spans="1:10" x14ac:dyDescent="0.2">
      <c r="A94" s="26"/>
      <c r="B94" s="26"/>
      <c r="D94" s="134"/>
      <c r="E94" s="26"/>
      <c r="F94" s="26"/>
      <c r="G94" s="26"/>
      <c r="H94" s="26"/>
      <c r="I94" s="26"/>
      <c r="J94" s="134" t="str">
        <f t="shared" si="2"/>
        <v/>
      </c>
    </row>
    <row r="95" spans="1:10" x14ac:dyDescent="0.2">
      <c r="A95" s="26"/>
      <c r="B95" s="26"/>
      <c r="D95" s="134"/>
      <c r="E95" s="26"/>
      <c r="F95" s="26"/>
      <c r="G95" s="26"/>
      <c r="H95" s="26"/>
      <c r="I95" s="26"/>
      <c r="J95" s="134" t="str">
        <f t="shared" si="2"/>
        <v/>
      </c>
    </row>
    <row r="96" spans="1:10" x14ac:dyDescent="0.2">
      <c r="A96" s="26"/>
      <c r="B96" s="26"/>
      <c r="D96" s="134"/>
      <c r="E96" s="26"/>
      <c r="F96" s="26"/>
      <c r="G96" s="26"/>
      <c r="H96" s="26"/>
      <c r="I96" s="26"/>
      <c r="J96" s="134" t="str">
        <f t="shared" si="2"/>
        <v/>
      </c>
    </row>
    <row r="97" spans="1:10" x14ac:dyDescent="0.2">
      <c r="A97" s="26"/>
      <c r="B97" s="26"/>
      <c r="D97" s="134"/>
      <c r="E97" s="26"/>
      <c r="F97" s="26"/>
      <c r="G97" s="26"/>
      <c r="H97" s="26"/>
      <c r="I97" s="26"/>
      <c r="J97" s="134" t="str">
        <f t="shared" si="2"/>
        <v/>
      </c>
    </row>
    <row r="98" spans="1:10" x14ac:dyDescent="0.2">
      <c r="A98" s="26"/>
      <c r="B98" s="26"/>
      <c r="D98" s="134"/>
      <c r="E98" s="26"/>
      <c r="F98" s="26"/>
      <c r="G98" s="26"/>
      <c r="H98" s="26"/>
      <c r="I98" s="26"/>
      <c r="J98" s="134" t="str">
        <f t="shared" si="2"/>
        <v/>
      </c>
    </row>
    <row r="99" spans="1:10" x14ac:dyDescent="0.2">
      <c r="A99" s="26"/>
      <c r="B99" s="26"/>
      <c r="D99" s="134"/>
      <c r="E99" s="26"/>
      <c r="F99" s="26"/>
      <c r="G99" s="26"/>
      <c r="H99" s="26"/>
      <c r="I99" s="26"/>
      <c r="J99" s="134" t="str">
        <f t="shared" si="2"/>
        <v/>
      </c>
    </row>
    <row r="100" spans="1:10" x14ac:dyDescent="0.2">
      <c r="A100" s="26"/>
      <c r="B100" s="26"/>
      <c r="D100" s="134"/>
      <c r="E100" s="26"/>
      <c r="F100" s="26"/>
      <c r="G100" s="26"/>
      <c r="H100" s="26"/>
      <c r="I100" s="26"/>
      <c r="J100" s="134" t="str">
        <f t="shared" si="2"/>
        <v/>
      </c>
    </row>
    <row r="101" spans="1:10" x14ac:dyDescent="0.2">
      <c r="A101" s="26"/>
      <c r="B101" s="26"/>
      <c r="D101" s="134"/>
      <c r="E101" s="26"/>
      <c r="F101" s="26"/>
      <c r="G101" s="26"/>
      <c r="H101" s="26"/>
      <c r="I101" s="26"/>
      <c r="J101" s="134" t="str">
        <f t="shared" si="2"/>
        <v/>
      </c>
    </row>
    <row r="102" spans="1:10" x14ac:dyDescent="0.2">
      <c r="A102" s="26"/>
      <c r="B102" s="26"/>
      <c r="D102" s="134"/>
      <c r="E102" s="26"/>
      <c r="F102" s="26"/>
      <c r="G102" s="26"/>
      <c r="H102" s="26"/>
      <c r="I102" s="26"/>
      <c r="J102" s="134" t="str">
        <f t="shared" si="2"/>
        <v/>
      </c>
    </row>
    <row r="103" spans="1:10" x14ac:dyDescent="0.2">
      <c r="A103" s="26"/>
      <c r="B103" s="26"/>
      <c r="D103" s="134"/>
      <c r="E103" s="26"/>
      <c r="F103" s="26"/>
      <c r="G103" s="26"/>
      <c r="H103" s="26"/>
      <c r="I103" s="26"/>
      <c r="J103" s="134" t="str">
        <f t="shared" si="2"/>
        <v/>
      </c>
    </row>
    <row r="104" spans="1:10" x14ac:dyDescent="0.2">
      <c r="A104" s="26"/>
      <c r="B104" s="26"/>
      <c r="D104" s="134"/>
      <c r="E104" s="26"/>
      <c r="F104" s="26"/>
      <c r="G104" s="26"/>
      <c r="H104" s="26"/>
      <c r="I104" s="26"/>
      <c r="J104" s="134" t="str">
        <f t="shared" si="2"/>
        <v/>
      </c>
    </row>
    <row r="105" spans="1:10" x14ac:dyDescent="0.2">
      <c r="A105" s="26"/>
      <c r="B105" s="26"/>
      <c r="D105" s="134"/>
      <c r="E105" s="26"/>
      <c r="F105" s="26"/>
      <c r="G105" s="26"/>
      <c r="H105" s="26"/>
      <c r="I105" s="26"/>
      <c r="J105" s="134" t="str">
        <f t="shared" si="2"/>
        <v/>
      </c>
    </row>
    <row r="106" spans="1:10" x14ac:dyDescent="0.2">
      <c r="A106" s="26"/>
      <c r="B106" s="26"/>
      <c r="D106" s="134"/>
      <c r="E106" s="26"/>
      <c r="F106" s="26"/>
      <c r="G106" s="26"/>
      <c r="H106" s="26"/>
      <c r="I106" s="26"/>
      <c r="J106" s="134" t="str">
        <f t="shared" si="2"/>
        <v/>
      </c>
    </row>
    <row r="107" spans="1:10" x14ac:dyDescent="0.2">
      <c r="A107" s="26"/>
      <c r="B107" s="26"/>
      <c r="D107" s="134"/>
      <c r="E107" s="26"/>
      <c r="F107" s="26"/>
      <c r="G107" s="26"/>
      <c r="H107" s="26"/>
      <c r="I107" s="26"/>
      <c r="J107" s="134" t="str">
        <f t="shared" si="2"/>
        <v/>
      </c>
    </row>
    <row r="108" spans="1:10" x14ac:dyDescent="0.2">
      <c r="A108" s="26"/>
      <c r="B108" s="26"/>
      <c r="D108" s="134"/>
      <c r="E108" s="26"/>
      <c r="F108" s="26"/>
      <c r="G108" s="26"/>
      <c r="H108" s="26"/>
      <c r="I108" s="26"/>
      <c r="J108" s="134" t="str">
        <f t="shared" si="2"/>
        <v/>
      </c>
    </row>
    <row r="109" spans="1:10" x14ac:dyDescent="0.2">
      <c r="A109" s="26"/>
      <c r="B109" s="26"/>
      <c r="D109" s="134"/>
      <c r="E109" s="26"/>
      <c r="F109" s="26"/>
      <c r="G109" s="26"/>
      <c r="H109" s="26"/>
      <c r="I109" s="26"/>
      <c r="J109" s="134" t="str">
        <f t="shared" si="2"/>
        <v/>
      </c>
    </row>
    <row r="110" spans="1:10" x14ac:dyDescent="0.2">
      <c r="A110" s="26"/>
      <c r="B110" s="26"/>
      <c r="D110" s="134"/>
      <c r="E110" s="26"/>
      <c r="F110" s="26"/>
      <c r="G110" s="26"/>
      <c r="H110" s="26"/>
      <c r="I110" s="26"/>
      <c r="J110" s="134" t="str">
        <f t="shared" si="2"/>
        <v/>
      </c>
    </row>
    <row r="111" spans="1:10" x14ac:dyDescent="0.2">
      <c r="A111" s="26"/>
      <c r="B111" s="26"/>
      <c r="D111" s="134"/>
      <c r="E111" s="26"/>
      <c r="F111" s="26"/>
      <c r="G111" s="26"/>
      <c r="H111" s="26"/>
      <c r="I111" s="26"/>
      <c r="J111" s="134" t="str">
        <f t="shared" si="2"/>
        <v/>
      </c>
    </row>
    <row r="112" spans="1:10" x14ac:dyDescent="0.2">
      <c r="A112" s="26"/>
      <c r="B112" s="26"/>
      <c r="D112" s="134"/>
      <c r="E112" s="26"/>
      <c r="F112" s="26"/>
      <c r="G112" s="26"/>
      <c r="H112" s="26"/>
      <c r="I112" s="26"/>
      <c r="J112" s="134" t="str">
        <f t="shared" si="2"/>
        <v/>
      </c>
    </row>
    <row r="113" spans="1:10" x14ac:dyDescent="0.2">
      <c r="A113" s="26"/>
      <c r="B113" s="26"/>
      <c r="D113" s="134"/>
      <c r="E113" s="26"/>
      <c r="F113" s="26"/>
      <c r="G113" s="26"/>
      <c r="H113" s="26"/>
      <c r="I113" s="26"/>
      <c r="J113" s="134" t="str">
        <f t="shared" si="2"/>
        <v/>
      </c>
    </row>
    <row r="114" spans="1:10" x14ac:dyDescent="0.2">
      <c r="A114" s="26"/>
      <c r="B114" s="26"/>
      <c r="D114" s="134"/>
      <c r="E114" s="26"/>
      <c r="F114" s="26"/>
      <c r="G114" s="26"/>
      <c r="H114" s="26"/>
      <c r="I114" s="26"/>
      <c r="J114" s="134" t="str">
        <f t="shared" si="2"/>
        <v/>
      </c>
    </row>
    <row r="115" spans="1:10" x14ac:dyDescent="0.2">
      <c r="A115" s="26"/>
      <c r="B115" s="26"/>
      <c r="D115" s="134"/>
      <c r="E115" s="26"/>
      <c r="F115" s="26"/>
      <c r="G115" s="26"/>
      <c r="H115" s="26"/>
      <c r="I115" s="26"/>
      <c r="J115" s="134" t="str">
        <f t="shared" si="2"/>
        <v/>
      </c>
    </row>
    <row r="116" spans="1:10" x14ac:dyDescent="0.2">
      <c r="A116" s="26"/>
      <c r="B116" s="26"/>
      <c r="D116" s="134"/>
      <c r="E116" s="26"/>
      <c r="F116" s="26"/>
      <c r="G116" s="26"/>
      <c r="H116" s="26"/>
      <c r="I116" s="26"/>
      <c r="J116" s="134" t="str">
        <f t="shared" si="2"/>
        <v/>
      </c>
    </row>
    <row r="117" spans="1:10" x14ac:dyDescent="0.2">
      <c r="A117" s="26"/>
      <c r="B117" s="26"/>
      <c r="D117" s="134"/>
      <c r="E117" s="26"/>
      <c r="F117" s="26"/>
      <c r="G117" s="26"/>
      <c r="H117" s="26"/>
      <c r="I117" s="26"/>
      <c r="J117" s="134" t="str">
        <f t="shared" si="2"/>
        <v/>
      </c>
    </row>
    <row r="118" spans="1:10" x14ac:dyDescent="0.2">
      <c r="A118" s="26"/>
      <c r="B118" s="26"/>
      <c r="D118" s="134"/>
      <c r="E118" s="26"/>
      <c r="F118" s="26"/>
      <c r="G118" s="26"/>
      <c r="H118" s="26"/>
      <c r="I118" s="26"/>
      <c r="J118" s="134" t="str">
        <f t="shared" si="2"/>
        <v/>
      </c>
    </row>
    <row r="119" spans="1:10" x14ac:dyDescent="0.2">
      <c r="A119" s="26"/>
      <c r="B119" s="26"/>
      <c r="D119" s="134"/>
      <c r="E119" s="26"/>
      <c r="F119" s="26"/>
      <c r="G119" s="26"/>
      <c r="H119" s="26"/>
      <c r="I119" s="26"/>
      <c r="J119" s="134" t="str">
        <f t="shared" si="2"/>
        <v/>
      </c>
    </row>
    <row r="120" spans="1:10" x14ac:dyDescent="0.2">
      <c r="A120" s="26"/>
      <c r="B120" s="26"/>
      <c r="D120" s="134"/>
      <c r="E120" s="26"/>
      <c r="F120" s="26"/>
      <c r="G120" s="26"/>
      <c r="H120" s="26"/>
      <c r="I120" s="26"/>
      <c r="J120" s="134" t="str">
        <f t="shared" si="2"/>
        <v/>
      </c>
    </row>
    <row r="121" spans="1:10" x14ac:dyDescent="0.2">
      <c r="A121" s="26"/>
      <c r="B121" s="26"/>
      <c r="D121" s="134"/>
      <c r="E121" s="26"/>
      <c r="F121" s="26"/>
      <c r="G121" s="26"/>
      <c r="H121" s="26"/>
      <c r="I121" s="26"/>
      <c r="J121" s="134" t="str">
        <f t="shared" si="2"/>
        <v/>
      </c>
    </row>
    <row r="122" spans="1:10" x14ac:dyDescent="0.2">
      <c r="A122" s="26"/>
      <c r="B122" s="26"/>
      <c r="D122" s="134"/>
      <c r="E122" s="26"/>
      <c r="F122" s="26"/>
      <c r="G122" s="26"/>
      <c r="H122" s="26"/>
      <c r="I122" s="26"/>
      <c r="J122" s="134" t="str">
        <f t="shared" si="2"/>
        <v/>
      </c>
    </row>
    <row r="123" spans="1:10" x14ac:dyDescent="0.2">
      <c r="A123" s="26"/>
      <c r="B123" s="26"/>
      <c r="D123" s="134"/>
      <c r="E123" s="26"/>
      <c r="F123" s="26"/>
      <c r="G123" s="26"/>
      <c r="H123" s="26"/>
      <c r="I123" s="26"/>
      <c r="J123" s="134" t="str">
        <f t="shared" si="2"/>
        <v/>
      </c>
    </row>
    <row r="124" spans="1:10" x14ac:dyDescent="0.2">
      <c r="A124" s="26"/>
      <c r="B124" s="26"/>
      <c r="D124" s="134"/>
      <c r="E124" s="26"/>
      <c r="F124" s="26"/>
      <c r="G124" s="26"/>
      <c r="H124" s="26"/>
      <c r="I124" s="26"/>
      <c r="J124" s="134" t="str">
        <f t="shared" si="2"/>
        <v/>
      </c>
    </row>
    <row r="125" spans="1:10" x14ac:dyDescent="0.2">
      <c r="A125" s="26"/>
      <c r="B125" s="26"/>
      <c r="D125" s="134"/>
      <c r="E125" s="26"/>
      <c r="F125" s="26"/>
      <c r="G125" s="26"/>
      <c r="H125" s="26"/>
      <c r="I125" s="26"/>
      <c r="J125" s="134" t="str">
        <f t="shared" si="2"/>
        <v/>
      </c>
    </row>
    <row r="126" spans="1:10" x14ac:dyDescent="0.2">
      <c r="A126" s="26"/>
      <c r="B126" s="26"/>
      <c r="D126" s="134"/>
      <c r="E126" s="26"/>
      <c r="F126" s="26"/>
      <c r="G126" s="26"/>
      <c r="H126" s="26"/>
      <c r="I126" s="26"/>
      <c r="J126" s="134" t="str">
        <f t="shared" si="2"/>
        <v/>
      </c>
    </row>
    <row r="127" spans="1:10" x14ac:dyDescent="0.2">
      <c r="A127" s="26"/>
      <c r="B127" s="26"/>
      <c r="D127" s="134"/>
      <c r="E127" s="26"/>
      <c r="F127" s="26"/>
      <c r="G127" s="26"/>
      <c r="H127" s="26"/>
      <c r="I127" s="26"/>
      <c r="J127" s="134" t="str">
        <f t="shared" si="2"/>
        <v/>
      </c>
    </row>
    <row r="128" spans="1:10" x14ac:dyDescent="0.2">
      <c r="A128" s="26"/>
      <c r="B128" s="26"/>
      <c r="D128" s="134"/>
      <c r="E128" s="26"/>
      <c r="F128" s="26"/>
      <c r="G128" s="26"/>
      <c r="H128" s="26"/>
      <c r="I128" s="26"/>
      <c r="J128" s="134" t="str">
        <f t="shared" si="2"/>
        <v/>
      </c>
    </row>
    <row r="129" spans="1:10" x14ac:dyDescent="0.2">
      <c r="A129" s="26"/>
      <c r="B129" s="26"/>
      <c r="D129" s="134"/>
      <c r="E129" s="26"/>
      <c r="F129" s="26"/>
      <c r="G129" s="26"/>
      <c r="H129" s="26"/>
      <c r="I129" s="26"/>
      <c r="J129" s="134" t="str">
        <f t="shared" ref="J129:J192" si="3">IF( OR( ISBLANK(E129),ISBLANK(F129), ISBLANK(G129), ISBLANK(H129), ISBLANK(I129) ), "", 1.5*SQRT(   EXP(2.21*(E129-1)) + EXP(2.21*(F129-1)) + EXP(2.21*(G129-1)) + EXP(2.21*(H129-1)) + EXP(2.21*I129)   )/100*2.45 )</f>
        <v/>
      </c>
    </row>
    <row r="130" spans="1:10" x14ac:dyDescent="0.2">
      <c r="A130" s="26"/>
      <c r="B130" s="26"/>
      <c r="D130" s="134"/>
      <c r="E130" s="26"/>
      <c r="F130" s="26"/>
      <c r="G130" s="26"/>
      <c r="H130" s="26"/>
      <c r="I130" s="26"/>
      <c r="J130" s="134" t="str">
        <f t="shared" si="3"/>
        <v/>
      </c>
    </row>
    <row r="131" spans="1:10" x14ac:dyDescent="0.2">
      <c r="A131" s="26"/>
      <c r="B131" s="26"/>
      <c r="D131" s="134"/>
      <c r="E131" s="26"/>
      <c r="F131" s="26"/>
      <c r="G131" s="26"/>
      <c r="H131" s="26"/>
      <c r="I131" s="26"/>
      <c r="J131" s="134" t="str">
        <f t="shared" si="3"/>
        <v/>
      </c>
    </row>
    <row r="132" spans="1:10" x14ac:dyDescent="0.2">
      <c r="A132" s="26"/>
      <c r="B132" s="26"/>
      <c r="D132" s="134"/>
      <c r="E132" s="26"/>
      <c r="F132" s="26"/>
      <c r="G132" s="26"/>
      <c r="H132" s="26"/>
      <c r="I132" s="26"/>
      <c r="J132" s="134" t="str">
        <f t="shared" si="3"/>
        <v/>
      </c>
    </row>
    <row r="133" spans="1:10" x14ac:dyDescent="0.2">
      <c r="A133" s="26"/>
      <c r="B133" s="26"/>
      <c r="D133" s="134"/>
      <c r="E133" s="26"/>
      <c r="F133" s="26"/>
      <c r="G133" s="26"/>
      <c r="H133" s="26"/>
      <c r="I133" s="26"/>
      <c r="J133" s="134" t="str">
        <f t="shared" si="3"/>
        <v/>
      </c>
    </row>
    <row r="134" spans="1:10" x14ac:dyDescent="0.2">
      <c r="A134" s="26"/>
      <c r="B134" s="26"/>
      <c r="D134" s="134"/>
      <c r="E134" s="26"/>
      <c r="F134" s="26"/>
      <c r="G134" s="26"/>
      <c r="H134" s="26"/>
      <c r="I134" s="26"/>
      <c r="J134" s="134" t="str">
        <f t="shared" si="3"/>
        <v/>
      </c>
    </row>
    <row r="135" spans="1:10" x14ac:dyDescent="0.2">
      <c r="A135" s="26"/>
      <c r="B135" s="26"/>
      <c r="D135" s="134"/>
      <c r="E135" s="26"/>
      <c r="F135" s="26"/>
      <c r="G135" s="26"/>
      <c r="H135" s="26"/>
      <c r="I135" s="26"/>
      <c r="J135" s="134" t="str">
        <f t="shared" si="3"/>
        <v/>
      </c>
    </row>
    <row r="136" spans="1:10" x14ac:dyDescent="0.2">
      <c r="A136" s="26"/>
      <c r="B136" s="26"/>
      <c r="D136" s="134"/>
      <c r="E136" s="26"/>
      <c r="F136" s="26"/>
      <c r="G136" s="26"/>
      <c r="H136" s="26"/>
      <c r="I136" s="26"/>
      <c r="J136" s="134" t="str">
        <f t="shared" si="3"/>
        <v/>
      </c>
    </row>
    <row r="137" spans="1:10" x14ac:dyDescent="0.2">
      <c r="A137" s="26"/>
      <c r="B137" s="26"/>
      <c r="D137" s="134"/>
      <c r="E137" s="26"/>
      <c r="F137" s="26"/>
      <c r="G137" s="26"/>
      <c r="H137" s="26"/>
      <c r="I137" s="26"/>
      <c r="J137" s="134" t="str">
        <f t="shared" si="3"/>
        <v/>
      </c>
    </row>
    <row r="138" spans="1:10" x14ac:dyDescent="0.2">
      <c r="A138" s="26"/>
      <c r="B138" s="26"/>
      <c r="D138" s="134"/>
      <c r="E138" s="26"/>
      <c r="F138" s="26"/>
      <c r="G138" s="26"/>
      <c r="H138" s="26"/>
      <c r="I138" s="26"/>
      <c r="J138" s="134" t="str">
        <f t="shared" si="3"/>
        <v/>
      </c>
    </row>
    <row r="139" spans="1:10" x14ac:dyDescent="0.2">
      <c r="A139" s="26"/>
      <c r="B139" s="26"/>
      <c r="D139" s="134"/>
      <c r="E139" s="26"/>
      <c r="F139" s="26"/>
      <c r="G139" s="26"/>
      <c r="H139" s="26"/>
      <c r="I139" s="26"/>
      <c r="J139" s="134" t="str">
        <f t="shared" si="3"/>
        <v/>
      </c>
    </row>
    <row r="140" spans="1:10" x14ac:dyDescent="0.2">
      <c r="A140" s="26"/>
      <c r="B140" s="26"/>
      <c r="D140" s="134"/>
      <c r="E140" s="26"/>
      <c r="F140" s="26"/>
      <c r="G140" s="26"/>
      <c r="H140" s="26"/>
      <c r="I140" s="26"/>
      <c r="J140" s="134" t="str">
        <f t="shared" si="3"/>
        <v/>
      </c>
    </row>
    <row r="141" spans="1:10" x14ac:dyDescent="0.2">
      <c r="A141" s="26"/>
      <c r="B141" s="26"/>
      <c r="D141" s="134"/>
      <c r="E141" s="26"/>
      <c r="F141" s="26"/>
      <c r="G141" s="26"/>
      <c r="H141" s="26"/>
      <c r="I141" s="26"/>
      <c r="J141" s="134" t="str">
        <f t="shared" si="3"/>
        <v/>
      </c>
    </row>
    <row r="142" spans="1:10" x14ac:dyDescent="0.2">
      <c r="A142" s="26"/>
      <c r="B142" s="26"/>
      <c r="D142" s="134"/>
      <c r="E142" s="26"/>
      <c r="F142" s="26"/>
      <c r="G142" s="26"/>
      <c r="H142" s="26"/>
      <c r="I142" s="26"/>
      <c r="J142" s="134" t="str">
        <f t="shared" si="3"/>
        <v/>
      </c>
    </row>
    <row r="143" spans="1:10" x14ac:dyDescent="0.2">
      <c r="A143" s="26"/>
      <c r="B143" s="26"/>
      <c r="D143" s="134"/>
      <c r="E143" s="26"/>
      <c r="F143" s="26"/>
      <c r="G143" s="26"/>
      <c r="H143" s="26"/>
      <c r="I143" s="26"/>
      <c r="J143" s="134" t="str">
        <f t="shared" si="3"/>
        <v/>
      </c>
    </row>
    <row r="144" spans="1:10" x14ac:dyDescent="0.2">
      <c r="A144" s="26"/>
      <c r="B144" s="26"/>
      <c r="D144" s="134"/>
      <c r="E144" s="26"/>
      <c r="F144" s="26"/>
      <c r="G144" s="26"/>
      <c r="H144" s="26"/>
      <c r="I144" s="26"/>
      <c r="J144" s="134" t="str">
        <f t="shared" si="3"/>
        <v/>
      </c>
    </row>
    <row r="145" spans="1:10" x14ac:dyDescent="0.2">
      <c r="A145" s="26"/>
      <c r="B145" s="26"/>
      <c r="D145" s="134"/>
      <c r="E145" s="26"/>
      <c r="F145" s="26"/>
      <c r="G145" s="26"/>
      <c r="H145" s="26"/>
      <c r="I145" s="26"/>
      <c r="J145" s="134" t="str">
        <f t="shared" si="3"/>
        <v/>
      </c>
    </row>
    <row r="146" spans="1:10" x14ac:dyDescent="0.2">
      <c r="A146" s="26"/>
      <c r="B146" s="26"/>
      <c r="D146" s="134"/>
      <c r="E146" s="26"/>
      <c r="F146" s="26"/>
      <c r="G146" s="26"/>
      <c r="H146" s="26"/>
      <c r="I146" s="26"/>
      <c r="J146" s="134" t="str">
        <f t="shared" si="3"/>
        <v/>
      </c>
    </row>
    <row r="147" spans="1:10" x14ac:dyDescent="0.2">
      <c r="A147" s="26"/>
      <c r="B147" s="26"/>
      <c r="D147" s="134"/>
      <c r="E147" s="26"/>
      <c r="F147" s="26"/>
      <c r="G147" s="26"/>
      <c r="H147" s="26"/>
      <c r="I147" s="26"/>
      <c r="J147" s="134" t="str">
        <f t="shared" si="3"/>
        <v/>
      </c>
    </row>
    <row r="148" spans="1:10" x14ac:dyDescent="0.2">
      <c r="A148" s="26"/>
      <c r="B148" s="26"/>
      <c r="D148" s="134"/>
      <c r="E148" s="26"/>
      <c r="F148" s="26"/>
      <c r="G148" s="26"/>
      <c r="H148" s="26"/>
      <c r="I148" s="26"/>
      <c r="J148" s="134" t="str">
        <f t="shared" si="3"/>
        <v/>
      </c>
    </row>
    <row r="149" spans="1:10" x14ac:dyDescent="0.2">
      <c r="A149" s="26"/>
      <c r="B149" s="26"/>
      <c r="D149" s="134"/>
      <c r="E149" s="26"/>
      <c r="F149" s="26"/>
      <c r="G149" s="26"/>
      <c r="H149" s="26"/>
      <c r="I149" s="26"/>
      <c r="J149" s="134" t="str">
        <f t="shared" si="3"/>
        <v/>
      </c>
    </row>
    <row r="150" spans="1:10" x14ac:dyDescent="0.2">
      <c r="A150" s="26"/>
      <c r="B150" s="26"/>
      <c r="D150" s="134"/>
      <c r="E150" s="26"/>
      <c r="F150" s="26"/>
      <c r="G150" s="26"/>
      <c r="H150" s="26"/>
      <c r="I150" s="26"/>
      <c r="J150" s="134" t="str">
        <f t="shared" si="3"/>
        <v/>
      </c>
    </row>
    <row r="151" spans="1:10" x14ac:dyDescent="0.2">
      <c r="A151" s="26"/>
      <c r="B151" s="26"/>
      <c r="D151" s="134"/>
      <c r="E151" s="26"/>
      <c r="F151" s="26"/>
      <c r="G151" s="26"/>
      <c r="H151" s="26"/>
      <c r="I151" s="26"/>
      <c r="J151" s="134" t="str">
        <f t="shared" si="3"/>
        <v/>
      </c>
    </row>
    <row r="152" spans="1:10" x14ac:dyDescent="0.2">
      <c r="A152" s="26"/>
      <c r="B152" s="26"/>
      <c r="D152" s="134"/>
      <c r="E152" s="26"/>
      <c r="F152" s="26"/>
      <c r="G152" s="26"/>
      <c r="H152" s="26"/>
      <c r="I152" s="26"/>
      <c r="J152" s="134" t="str">
        <f t="shared" si="3"/>
        <v/>
      </c>
    </row>
    <row r="153" spans="1:10" x14ac:dyDescent="0.2">
      <c r="A153" s="26"/>
      <c r="B153" s="26"/>
      <c r="D153" s="134"/>
      <c r="E153" s="26"/>
      <c r="F153" s="26"/>
      <c r="G153" s="26"/>
      <c r="H153" s="26"/>
      <c r="I153" s="26"/>
      <c r="J153" s="134" t="str">
        <f t="shared" si="3"/>
        <v/>
      </c>
    </row>
    <row r="154" spans="1:10" x14ac:dyDescent="0.2">
      <c r="A154" s="26"/>
      <c r="B154" s="26"/>
      <c r="D154" s="134"/>
      <c r="E154" s="26"/>
      <c r="F154" s="26"/>
      <c r="G154" s="26"/>
      <c r="H154" s="26"/>
      <c r="I154" s="26"/>
      <c r="J154" s="134" t="str">
        <f t="shared" si="3"/>
        <v/>
      </c>
    </row>
    <row r="155" spans="1:10" x14ac:dyDescent="0.2">
      <c r="A155" s="26"/>
      <c r="B155" s="26"/>
      <c r="D155" s="134"/>
      <c r="E155" s="26"/>
      <c r="F155" s="26"/>
      <c r="G155" s="26"/>
      <c r="H155" s="26"/>
      <c r="I155" s="26"/>
      <c r="J155" s="134" t="str">
        <f t="shared" si="3"/>
        <v/>
      </c>
    </row>
    <row r="156" spans="1:10" x14ac:dyDescent="0.2">
      <c r="A156" s="26"/>
      <c r="B156" s="26"/>
      <c r="D156" s="134"/>
      <c r="E156" s="26"/>
      <c r="F156" s="26"/>
      <c r="G156" s="26"/>
      <c r="H156" s="26"/>
      <c r="I156" s="26"/>
      <c r="J156" s="134" t="str">
        <f t="shared" si="3"/>
        <v/>
      </c>
    </row>
    <row r="157" spans="1:10" x14ac:dyDescent="0.2">
      <c r="A157" s="26"/>
      <c r="B157" s="26"/>
      <c r="D157" s="134"/>
      <c r="E157" s="26"/>
      <c r="F157" s="26"/>
      <c r="G157" s="26"/>
      <c r="H157" s="26"/>
      <c r="I157" s="26"/>
      <c r="J157" s="134" t="str">
        <f t="shared" si="3"/>
        <v/>
      </c>
    </row>
    <row r="158" spans="1:10" x14ac:dyDescent="0.2">
      <c r="A158" s="26"/>
      <c r="B158" s="26"/>
      <c r="D158" s="134"/>
      <c r="E158" s="26"/>
      <c r="F158" s="26"/>
      <c r="G158" s="26"/>
      <c r="H158" s="26"/>
      <c r="I158" s="26"/>
      <c r="J158" s="134" t="str">
        <f t="shared" si="3"/>
        <v/>
      </c>
    </row>
    <row r="159" spans="1:10" x14ac:dyDescent="0.2">
      <c r="A159" s="26"/>
      <c r="B159" s="26"/>
      <c r="D159" s="134"/>
      <c r="E159" s="26"/>
      <c r="F159" s="26"/>
      <c r="G159" s="26"/>
      <c r="H159" s="26"/>
      <c r="I159" s="26"/>
      <c r="J159" s="134" t="str">
        <f t="shared" si="3"/>
        <v/>
      </c>
    </row>
    <row r="160" spans="1:10" x14ac:dyDescent="0.2">
      <c r="A160" s="26"/>
      <c r="B160" s="26"/>
      <c r="D160" s="134"/>
      <c r="E160" s="26"/>
      <c r="F160" s="26"/>
      <c r="G160" s="26"/>
      <c r="H160" s="26"/>
      <c r="I160" s="26"/>
      <c r="J160" s="134" t="str">
        <f t="shared" si="3"/>
        <v/>
      </c>
    </row>
    <row r="161" spans="1:10" x14ac:dyDescent="0.2">
      <c r="A161" s="26"/>
      <c r="B161" s="26"/>
      <c r="D161" s="134"/>
      <c r="E161" s="26"/>
      <c r="F161" s="26"/>
      <c r="G161" s="26"/>
      <c r="H161" s="26"/>
      <c r="I161" s="26"/>
      <c r="J161" s="134" t="str">
        <f t="shared" si="3"/>
        <v/>
      </c>
    </row>
    <row r="162" spans="1:10" x14ac:dyDescent="0.2">
      <c r="A162" s="26"/>
      <c r="B162" s="26"/>
      <c r="D162" s="134"/>
      <c r="E162" s="26"/>
      <c r="F162" s="26"/>
      <c r="G162" s="26"/>
      <c r="H162" s="26"/>
      <c r="I162" s="26"/>
      <c r="J162" s="134" t="str">
        <f t="shared" si="3"/>
        <v/>
      </c>
    </row>
    <row r="163" spans="1:10" x14ac:dyDescent="0.2">
      <c r="A163" s="26"/>
      <c r="B163" s="26"/>
      <c r="D163" s="134"/>
      <c r="E163" s="26"/>
      <c r="F163" s="26"/>
      <c r="G163" s="26"/>
      <c r="H163" s="26"/>
      <c r="I163" s="26"/>
      <c r="J163" s="134" t="str">
        <f t="shared" si="3"/>
        <v/>
      </c>
    </row>
    <row r="164" spans="1:10" x14ac:dyDescent="0.2">
      <c r="A164" s="26"/>
      <c r="B164" s="26"/>
      <c r="D164" s="134"/>
      <c r="E164" s="26"/>
      <c r="F164" s="26"/>
      <c r="G164" s="26"/>
      <c r="H164" s="26"/>
      <c r="I164" s="26"/>
      <c r="J164" s="134" t="str">
        <f t="shared" si="3"/>
        <v/>
      </c>
    </row>
    <row r="165" spans="1:10" x14ac:dyDescent="0.2">
      <c r="A165" s="26"/>
      <c r="B165" s="26"/>
      <c r="D165" s="134"/>
      <c r="E165" s="26"/>
      <c r="F165" s="26"/>
      <c r="G165" s="26"/>
      <c r="H165" s="26"/>
      <c r="I165" s="26"/>
      <c r="J165" s="134" t="str">
        <f t="shared" si="3"/>
        <v/>
      </c>
    </row>
    <row r="166" spans="1:10" x14ac:dyDescent="0.2">
      <c r="A166" s="26"/>
      <c r="B166" s="26"/>
      <c r="D166" s="134"/>
      <c r="E166" s="26"/>
      <c r="F166" s="26"/>
      <c r="G166" s="26"/>
      <c r="H166" s="26"/>
      <c r="I166" s="26"/>
      <c r="J166" s="134" t="str">
        <f t="shared" si="3"/>
        <v/>
      </c>
    </row>
    <row r="167" spans="1:10" x14ac:dyDescent="0.2">
      <c r="A167" s="26"/>
      <c r="B167" s="26"/>
      <c r="D167" s="134"/>
      <c r="E167" s="26"/>
      <c r="F167" s="26"/>
      <c r="G167" s="26"/>
      <c r="H167" s="26"/>
      <c r="I167" s="26"/>
      <c r="J167" s="134" t="str">
        <f t="shared" si="3"/>
        <v/>
      </c>
    </row>
    <row r="168" spans="1:10" x14ac:dyDescent="0.2">
      <c r="A168" s="26"/>
      <c r="B168" s="26"/>
      <c r="D168" s="134"/>
      <c r="E168" s="26"/>
      <c r="F168" s="26"/>
      <c r="G168" s="26"/>
      <c r="H168" s="26"/>
      <c r="I168" s="26"/>
      <c r="J168" s="134" t="str">
        <f t="shared" si="3"/>
        <v/>
      </c>
    </row>
    <row r="169" spans="1:10" x14ac:dyDescent="0.2">
      <c r="A169" s="26"/>
      <c r="B169" s="26"/>
      <c r="D169" s="134"/>
      <c r="E169" s="26"/>
      <c r="F169" s="26"/>
      <c r="G169" s="26"/>
      <c r="H169" s="26"/>
      <c r="I169" s="26"/>
      <c r="J169" s="134" t="str">
        <f t="shared" si="3"/>
        <v/>
      </c>
    </row>
    <row r="170" spans="1:10" x14ac:dyDescent="0.2">
      <c r="A170" s="26"/>
      <c r="B170" s="26"/>
      <c r="D170" s="134"/>
      <c r="E170" s="26"/>
      <c r="F170" s="26"/>
      <c r="G170" s="26"/>
      <c r="H170" s="26"/>
      <c r="I170" s="26"/>
      <c r="J170" s="134" t="str">
        <f t="shared" si="3"/>
        <v/>
      </c>
    </row>
    <row r="171" spans="1:10" x14ac:dyDescent="0.2">
      <c r="A171" s="26"/>
      <c r="B171" s="26"/>
      <c r="D171" s="134"/>
      <c r="E171" s="26"/>
      <c r="F171" s="26"/>
      <c r="G171" s="26"/>
      <c r="H171" s="26"/>
      <c r="I171" s="26"/>
      <c r="J171" s="134" t="str">
        <f t="shared" si="3"/>
        <v/>
      </c>
    </row>
    <row r="172" spans="1:10" x14ac:dyDescent="0.2">
      <c r="A172" s="26"/>
      <c r="B172" s="26"/>
      <c r="D172" s="134"/>
      <c r="E172" s="26"/>
      <c r="F172" s="26"/>
      <c r="G172" s="26"/>
      <c r="H172" s="26"/>
      <c r="I172" s="26"/>
      <c r="J172" s="134" t="str">
        <f t="shared" si="3"/>
        <v/>
      </c>
    </row>
    <row r="173" spans="1:10" x14ac:dyDescent="0.2">
      <c r="A173" s="26"/>
      <c r="B173" s="26"/>
      <c r="D173" s="134"/>
      <c r="E173" s="26"/>
      <c r="F173" s="26"/>
      <c r="G173" s="26"/>
      <c r="H173" s="26"/>
      <c r="I173" s="26"/>
      <c r="J173" s="134" t="str">
        <f t="shared" si="3"/>
        <v/>
      </c>
    </row>
    <row r="174" spans="1:10" x14ac:dyDescent="0.2">
      <c r="A174" s="26"/>
      <c r="B174" s="26"/>
      <c r="D174" s="134"/>
      <c r="E174" s="26"/>
      <c r="F174" s="26"/>
      <c r="G174" s="26"/>
      <c r="H174" s="26"/>
      <c r="I174" s="26"/>
      <c r="J174" s="134" t="str">
        <f t="shared" si="3"/>
        <v/>
      </c>
    </row>
    <row r="175" spans="1:10" x14ac:dyDescent="0.2">
      <c r="A175" s="26"/>
      <c r="B175" s="26"/>
      <c r="D175" s="134"/>
      <c r="E175" s="26"/>
      <c r="F175" s="26"/>
      <c r="G175" s="26"/>
      <c r="H175" s="26"/>
      <c r="I175" s="26"/>
      <c r="J175" s="134" t="str">
        <f t="shared" si="3"/>
        <v/>
      </c>
    </row>
    <row r="176" spans="1:10" x14ac:dyDescent="0.2">
      <c r="A176" s="26"/>
      <c r="B176" s="26"/>
      <c r="D176" s="134"/>
      <c r="E176" s="26"/>
      <c r="F176" s="26"/>
      <c r="G176" s="26"/>
      <c r="H176" s="26"/>
      <c r="I176" s="26"/>
      <c r="J176" s="134" t="str">
        <f t="shared" si="3"/>
        <v/>
      </c>
    </row>
    <row r="177" spans="1:10" x14ac:dyDescent="0.2">
      <c r="A177" s="26"/>
      <c r="B177" s="26"/>
      <c r="D177" s="134"/>
      <c r="E177" s="26"/>
      <c r="F177" s="26"/>
      <c r="G177" s="26"/>
      <c r="H177" s="26"/>
      <c r="I177" s="26"/>
      <c r="J177" s="134" t="str">
        <f t="shared" si="3"/>
        <v/>
      </c>
    </row>
    <row r="178" spans="1:10" x14ac:dyDescent="0.2">
      <c r="A178" s="26"/>
      <c r="B178" s="26"/>
      <c r="D178" s="134"/>
      <c r="E178" s="26"/>
      <c r="F178" s="26"/>
      <c r="G178" s="26"/>
      <c r="H178" s="26"/>
      <c r="I178" s="26"/>
      <c r="J178" s="134" t="str">
        <f t="shared" si="3"/>
        <v/>
      </c>
    </row>
    <row r="179" spans="1:10" x14ac:dyDescent="0.2">
      <c r="A179" s="26"/>
      <c r="B179" s="26"/>
      <c r="D179" s="134"/>
      <c r="E179" s="26"/>
      <c r="F179" s="26"/>
      <c r="G179" s="26"/>
      <c r="H179" s="26"/>
      <c r="I179" s="26"/>
      <c r="J179" s="134" t="str">
        <f t="shared" si="3"/>
        <v/>
      </c>
    </row>
    <row r="180" spans="1:10" x14ac:dyDescent="0.2">
      <c r="A180" s="26"/>
      <c r="B180" s="26"/>
      <c r="D180" s="134"/>
      <c r="E180" s="26"/>
      <c r="F180" s="26"/>
      <c r="G180" s="26"/>
      <c r="H180" s="26"/>
      <c r="I180" s="26"/>
      <c r="J180" s="134" t="str">
        <f t="shared" si="3"/>
        <v/>
      </c>
    </row>
    <row r="181" spans="1:10" x14ac:dyDescent="0.2">
      <c r="A181" s="26"/>
      <c r="B181" s="26"/>
      <c r="D181" s="134"/>
      <c r="E181" s="26"/>
      <c r="F181" s="26"/>
      <c r="G181" s="26"/>
      <c r="H181" s="26"/>
      <c r="I181" s="26"/>
      <c r="J181" s="134" t="str">
        <f t="shared" si="3"/>
        <v/>
      </c>
    </row>
    <row r="182" spans="1:10" x14ac:dyDescent="0.2">
      <c r="A182" s="26"/>
      <c r="B182" s="26"/>
      <c r="D182" s="134"/>
      <c r="E182" s="26"/>
      <c r="F182" s="26"/>
      <c r="G182" s="26"/>
      <c r="H182" s="26"/>
      <c r="I182" s="26"/>
      <c r="J182" s="134" t="str">
        <f t="shared" si="3"/>
        <v/>
      </c>
    </row>
    <row r="183" spans="1:10" x14ac:dyDescent="0.2">
      <c r="A183" s="26"/>
      <c r="B183" s="26"/>
      <c r="D183" s="134"/>
      <c r="E183" s="26"/>
      <c r="F183" s="26"/>
      <c r="G183" s="26"/>
      <c r="H183" s="26"/>
      <c r="I183" s="26"/>
      <c r="J183" s="134" t="str">
        <f t="shared" si="3"/>
        <v/>
      </c>
    </row>
    <row r="184" spans="1:10" x14ac:dyDescent="0.2">
      <c r="A184" s="26"/>
      <c r="B184" s="26"/>
      <c r="D184" s="134"/>
      <c r="E184" s="26"/>
      <c r="F184" s="26"/>
      <c r="G184" s="26"/>
      <c r="H184" s="26"/>
      <c r="I184" s="26"/>
      <c r="J184" s="134" t="str">
        <f t="shared" si="3"/>
        <v/>
      </c>
    </row>
    <row r="185" spans="1:10" x14ac:dyDescent="0.2">
      <c r="A185" s="26"/>
      <c r="B185" s="26"/>
      <c r="D185" s="134"/>
      <c r="E185" s="26"/>
      <c r="F185" s="26"/>
      <c r="G185" s="26"/>
      <c r="H185" s="26"/>
      <c r="I185" s="26"/>
      <c r="J185" s="134" t="str">
        <f t="shared" si="3"/>
        <v/>
      </c>
    </row>
    <row r="186" spans="1:10" x14ac:dyDescent="0.2">
      <c r="A186" s="26"/>
      <c r="B186" s="26"/>
      <c r="D186" s="134"/>
      <c r="E186" s="26"/>
      <c r="F186" s="26"/>
      <c r="G186" s="26"/>
      <c r="H186" s="26"/>
      <c r="I186" s="26"/>
      <c r="J186" s="134" t="str">
        <f t="shared" si="3"/>
        <v/>
      </c>
    </row>
    <row r="187" spans="1:10" x14ac:dyDescent="0.2">
      <c r="A187" s="26"/>
      <c r="B187" s="26"/>
      <c r="D187" s="134"/>
      <c r="E187" s="26"/>
      <c r="F187" s="26"/>
      <c r="G187" s="26"/>
      <c r="H187" s="26"/>
      <c r="I187" s="26"/>
      <c r="J187" s="134" t="str">
        <f t="shared" si="3"/>
        <v/>
      </c>
    </row>
    <row r="188" spans="1:10" x14ac:dyDescent="0.2">
      <c r="A188" s="26"/>
      <c r="B188" s="26"/>
      <c r="D188" s="134"/>
      <c r="E188" s="26"/>
      <c r="F188" s="26"/>
      <c r="G188" s="26"/>
      <c r="H188" s="26"/>
      <c r="I188" s="26"/>
      <c r="J188" s="134" t="str">
        <f t="shared" si="3"/>
        <v/>
      </c>
    </row>
    <row r="189" spans="1:10" x14ac:dyDescent="0.2">
      <c r="A189" s="26"/>
      <c r="B189" s="26"/>
      <c r="D189" s="134"/>
      <c r="E189" s="26"/>
      <c r="F189" s="26"/>
      <c r="G189" s="26"/>
      <c r="H189" s="26"/>
      <c r="I189" s="26"/>
      <c r="J189" s="134" t="str">
        <f t="shared" si="3"/>
        <v/>
      </c>
    </row>
    <row r="190" spans="1:10" x14ac:dyDescent="0.2">
      <c r="A190" s="26"/>
      <c r="B190" s="26"/>
      <c r="D190" s="134"/>
      <c r="E190" s="26"/>
      <c r="F190" s="26"/>
      <c r="G190" s="26"/>
      <c r="H190" s="26"/>
      <c r="I190" s="26"/>
      <c r="J190" s="134" t="str">
        <f t="shared" si="3"/>
        <v/>
      </c>
    </row>
    <row r="191" spans="1:10" x14ac:dyDescent="0.2">
      <c r="A191" s="26"/>
      <c r="B191" s="26"/>
      <c r="D191" s="134"/>
      <c r="E191" s="26"/>
      <c r="F191" s="26"/>
      <c r="G191" s="26"/>
      <c r="H191" s="26"/>
      <c r="I191" s="26"/>
      <c r="J191" s="134" t="str">
        <f t="shared" si="3"/>
        <v/>
      </c>
    </row>
    <row r="192" spans="1:10" x14ac:dyDescent="0.2">
      <c r="A192" s="26"/>
      <c r="B192" s="26"/>
      <c r="D192" s="134"/>
      <c r="E192" s="26"/>
      <c r="F192" s="26"/>
      <c r="G192" s="26"/>
      <c r="H192" s="26"/>
      <c r="I192" s="26"/>
      <c r="J192" s="134" t="str">
        <f t="shared" si="3"/>
        <v/>
      </c>
    </row>
    <row r="193" spans="1:10" x14ac:dyDescent="0.2">
      <c r="A193" s="26"/>
      <c r="B193" s="26"/>
      <c r="D193" s="134"/>
      <c r="E193" s="26"/>
      <c r="F193" s="26"/>
      <c r="G193" s="26"/>
      <c r="H193" s="26"/>
      <c r="I193" s="26"/>
      <c r="J193" s="134" t="str">
        <f t="shared" ref="J193:J256" si="4">IF( OR( ISBLANK(E193),ISBLANK(F193), ISBLANK(G193), ISBLANK(H193), ISBLANK(I193) ), "", 1.5*SQRT(   EXP(2.21*(E193-1)) + EXP(2.21*(F193-1)) + EXP(2.21*(G193-1)) + EXP(2.21*(H193-1)) + EXP(2.21*I193)   )/100*2.45 )</f>
        <v/>
      </c>
    </row>
    <row r="194" spans="1:10" x14ac:dyDescent="0.2">
      <c r="A194" s="26"/>
      <c r="B194" s="26"/>
      <c r="D194" s="134"/>
      <c r="E194" s="26"/>
      <c r="F194" s="26"/>
      <c r="G194" s="26"/>
      <c r="H194" s="26"/>
      <c r="I194" s="26"/>
      <c r="J194" s="134" t="str">
        <f t="shared" si="4"/>
        <v/>
      </c>
    </row>
    <row r="195" spans="1:10" x14ac:dyDescent="0.2">
      <c r="A195" s="26"/>
      <c r="B195" s="26"/>
      <c r="D195" s="134"/>
      <c r="E195" s="26"/>
      <c r="F195" s="26"/>
      <c r="G195" s="26"/>
      <c r="H195" s="26"/>
      <c r="I195" s="26"/>
      <c r="J195" s="134" t="str">
        <f t="shared" si="4"/>
        <v/>
      </c>
    </row>
    <row r="196" spans="1:10" x14ac:dyDescent="0.2">
      <c r="A196" s="26"/>
      <c r="B196" s="26"/>
      <c r="D196" s="134"/>
      <c r="E196" s="26"/>
      <c r="F196" s="26"/>
      <c r="G196" s="26"/>
      <c r="H196" s="26"/>
      <c r="I196" s="26"/>
      <c r="J196" s="134" t="str">
        <f t="shared" si="4"/>
        <v/>
      </c>
    </row>
    <row r="197" spans="1:10" x14ac:dyDescent="0.2">
      <c r="A197" s="26"/>
      <c r="B197" s="26"/>
      <c r="D197" s="134"/>
      <c r="E197" s="26"/>
      <c r="F197" s="26"/>
      <c r="G197" s="26"/>
      <c r="H197" s="26"/>
      <c r="I197" s="26"/>
      <c r="J197" s="134" t="str">
        <f t="shared" si="4"/>
        <v/>
      </c>
    </row>
    <row r="198" spans="1:10" x14ac:dyDescent="0.2">
      <c r="A198" s="26"/>
      <c r="B198" s="26"/>
      <c r="D198" s="134"/>
      <c r="E198" s="26"/>
      <c r="F198" s="26"/>
      <c r="G198" s="26"/>
      <c r="H198" s="26"/>
      <c r="I198" s="26"/>
      <c r="J198" s="134" t="str">
        <f t="shared" si="4"/>
        <v/>
      </c>
    </row>
    <row r="199" spans="1:10" x14ac:dyDescent="0.2">
      <c r="A199" s="26"/>
      <c r="B199" s="26"/>
      <c r="D199" s="134"/>
      <c r="E199" s="26"/>
      <c r="F199" s="26"/>
      <c r="G199" s="26"/>
      <c r="H199" s="26"/>
      <c r="I199" s="26"/>
      <c r="J199" s="134" t="str">
        <f t="shared" si="4"/>
        <v/>
      </c>
    </row>
    <row r="200" spans="1:10" x14ac:dyDescent="0.2">
      <c r="A200" s="26"/>
      <c r="B200" s="26"/>
      <c r="D200" s="134"/>
      <c r="E200" s="26"/>
      <c r="F200" s="26"/>
      <c r="G200" s="26"/>
      <c r="H200" s="26"/>
      <c r="I200" s="26"/>
      <c r="J200" s="134" t="str">
        <f t="shared" si="4"/>
        <v/>
      </c>
    </row>
    <row r="201" spans="1:10" x14ac:dyDescent="0.2">
      <c r="A201" s="26"/>
      <c r="B201" s="26"/>
      <c r="D201" s="134"/>
      <c r="E201" s="26"/>
      <c r="F201" s="26"/>
      <c r="G201" s="26"/>
      <c r="H201" s="26"/>
      <c r="I201" s="26"/>
      <c r="J201" s="134" t="str">
        <f t="shared" si="4"/>
        <v/>
      </c>
    </row>
    <row r="202" spans="1:10" x14ac:dyDescent="0.2">
      <c r="A202" s="26"/>
      <c r="B202" s="26"/>
      <c r="D202" s="134"/>
      <c r="E202" s="26"/>
      <c r="F202" s="26"/>
      <c r="G202" s="26"/>
      <c r="H202" s="26"/>
      <c r="I202" s="26"/>
      <c r="J202" s="134" t="str">
        <f t="shared" si="4"/>
        <v/>
      </c>
    </row>
    <row r="203" spans="1:10" x14ac:dyDescent="0.2">
      <c r="A203" s="26"/>
      <c r="B203" s="26"/>
      <c r="D203" s="134"/>
      <c r="E203" s="26"/>
      <c r="F203" s="26"/>
      <c r="G203" s="26"/>
      <c r="H203" s="26"/>
      <c r="I203" s="26"/>
      <c r="J203" s="134" t="str">
        <f t="shared" si="4"/>
        <v/>
      </c>
    </row>
    <row r="204" spans="1:10" x14ac:dyDescent="0.2">
      <c r="A204" s="26"/>
      <c r="B204" s="26"/>
      <c r="D204" s="134"/>
      <c r="E204" s="26"/>
      <c r="F204" s="26"/>
      <c r="G204" s="26"/>
      <c r="H204" s="26"/>
      <c r="I204" s="26"/>
      <c r="J204" s="134" t="str">
        <f t="shared" si="4"/>
        <v/>
      </c>
    </row>
    <row r="205" spans="1:10" x14ac:dyDescent="0.2">
      <c r="A205" s="26"/>
      <c r="B205" s="26"/>
      <c r="D205" s="134"/>
      <c r="E205" s="26"/>
      <c r="F205" s="26"/>
      <c r="G205" s="26"/>
      <c r="H205" s="26"/>
      <c r="I205" s="26"/>
      <c r="J205" s="134" t="str">
        <f t="shared" si="4"/>
        <v/>
      </c>
    </row>
    <row r="206" spans="1:10" x14ac:dyDescent="0.2">
      <c r="A206" s="26"/>
      <c r="B206" s="26"/>
      <c r="D206" s="134"/>
      <c r="E206" s="26"/>
      <c r="F206" s="26"/>
      <c r="G206" s="26"/>
      <c r="H206" s="26"/>
      <c r="I206" s="26"/>
      <c r="J206" s="134" t="str">
        <f t="shared" si="4"/>
        <v/>
      </c>
    </row>
    <row r="207" spans="1:10" x14ac:dyDescent="0.2">
      <c r="A207" s="26"/>
      <c r="B207" s="26"/>
      <c r="D207" s="134"/>
      <c r="E207" s="26"/>
      <c r="F207" s="26"/>
      <c r="G207" s="26"/>
      <c r="H207" s="26"/>
      <c r="I207" s="26"/>
      <c r="J207" s="134" t="str">
        <f t="shared" si="4"/>
        <v/>
      </c>
    </row>
    <row r="208" spans="1:10" x14ac:dyDescent="0.2">
      <c r="A208" s="26"/>
      <c r="B208" s="26"/>
      <c r="D208" s="134"/>
      <c r="E208" s="26"/>
      <c r="F208" s="26"/>
      <c r="G208" s="26"/>
      <c r="H208" s="26"/>
      <c r="I208" s="26"/>
      <c r="J208" s="134" t="str">
        <f t="shared" si="4"/>
        <v/>
      </c>
    </row>
    <row r="209" spans="1:10" x14ac:dyDescent="0.2">
      <c r="A209" s="26"/>
      <c r="B209" s="26"/>
      <c r="D209" s="134"/>
      <c r="E209" s="26"/>
      <c r="F209" s="26"/>
      <c r="G209" s="26"/>
      <c r="H209" s="26"/>
      <c r="I209" s="26"/>
      <c r="J209" s="134" t="str">
        <f t="shared" si="4"/>
        <v/>
      </c>
    </row>
    <row r="210" spans="1:10" x14ac:dyDescent="0.2">
      <c r="A210" s="26"/>
      <c r="B210" s="26"/>
      <c r="D210" s="134"/>
      <c r="E210" s="26"/>
      <c r="F210" s="26"/>
      <c r="G210" s="26"/>
      <c r="H210" s="26"/>
      <c r="I210" s="26"/>
      <c r="J210" s="134" t="str">
        <f t="shared" si="4"/>
        <v/>
      </c>
    </row>
    <row r="211" spans="1:10" x14ac:dyDescent="0.2">
      <c r="A211" s="26"/>
      <c r="B211" s="26"/>
      <c r="D211" s="134"/>
      <c r="E211" s="26"/>
      <c r="F211" s="26"/>
      <c r="G211" s="26"/>
      <c r="H211" s="26"/>
      <c r="I211" s="26"/>
      <c r="J211" s="134" t="str">
        <f t="shared" si="4"/>
        <v/>
      </c>
    </row>
    <row r="212" spans="1:10" x14ac:dyDescent="0.2">
      <c r="A212" s="26"/>
      <c r="B212" s="26"/>
      <c r="D212" s="134"/>
      <c r="E212" s="26"/>
      <c r="F212" s="26"/>
      <c r="G212" s="26"/>
      <c r="H212" s="26"/>
      <c r="I212" s="26"/>
      <c r="J212" s="134" t="str">
        <f t="shared" si="4"/>
        <v/>
      </c>
    </row>
    <row r="213" spans="1:10" x14ac:dyDescent="0.2">
      <c r="A213" s="26"/>
      <c r="B213" s="26"/>
      <c r="D213" s="134"/>
      <c r="E213" s="26"/>
      <c r="F213" s="26"/>
      <c r="G213" s="26"/>
      <c r="H213" s="26"/>
      <c r="I213" s="26"/>
      <c r="J213" s="134" t="str">
        <f t="shared" si="4"/>
        <v/>
      </c>
    </row>
    <row r="214" spans="1:10" x14ac:dyDescent="0.2">
      <c r="A214" s="26"/>
      <c r="B214" s="26"/>
      <c r="D214" s="134"/>
      <c r="E214" s="26"/>
      <c r="F214" s="26"/>
      <c r="G214" s="26"/>
      <c r="H214" s="26"/>
      <c r="I214" s="26"/>
      <c r="J214" s="134" t="str">
        <f t="shared" si="4"/>
        <v/>
      </c>
    </row>
    <row r="215" spans="1:10" x14ac:dyDescent="0.2">
      <c r="A215" s="26"/>
      <c r="B215" s="26"/>
      <c r="D215" s="134"/>
      <c r="E215" s="26"/>
      <c r="F215" s="26"/>
      <c r="G215" s="26"/>
      <c r="H215" s="26"/>
      <c r="I215" s="26"/>
      <c r="J215" s="134" t="str">
        <f t="shared" si="4"/>
        <v/>
      </c>
    </row>
    <row r="216" spans="1:10" x14ac:dyDescent="0.2">
      <c r="A216" s="26"/>
      <c r="B216" s="26"/>
      <c r="D216" s="134"/>
      <c r="E216" s="26"/>
      <c r="F216" s="26"/>
      <c r="G216" s="26"/>
      <c r="H216" s="26"/>
      <c r="I216" s="26"/>
      <c r="J216" s="134" t="str">
        <f t="shared" si="4"/>
        <v/>
      </c>
    </row>
    <row r="217" spans="1:10" x14ac:dyDescent="0.2">
      <c r="A217" s="26"/>
      <c r="B217" s="26"/>
      <c r="D217" s="134"/>
      <c r="E217" s="26"/>
      <c r="F217" s="26"/>
      <c r="G217" s="26"/>
      <c r="H217" s="26"/>
      <c r="I217" s="26"/>
      <c r="J217" s="134" t="str">
        <f t="shared" si="4"/>
        <v/>
      </c>
    </row>
    <row r="218" spans="1:10" x14ac:dyDescent="0.2">
      <c r="A218" s="26"/>
      <c r="B218" s="26"/>
      <c r="D218" s="134"/>
      <c r="E218" s="26"/>
      <c r="F218" s="26"/>
      <c r="G218" s="26"/>
      <c r="H218" s="26"/>
      <c r="I218" s="26"/>
      <c r="J218" s="134" t="str">
        <f t="shared" si="4"/>
        <v/>
      </c>
    </row>
    <row r="219" spans="1:10" x14ac:dyDescent="0.2">
      <c r="A219" s="26"/>
      <c r="B219" s="26"/>
      <c r="D219" s="134"/>
      <c r="E219" s="26"/>
      <c r="F219" s="26"/>
      <c r="G219" s="26"/>
      <c r="H219" s="26"/>
      <c r="I219" s="26"/>
      <c r="J219" s="134" t="str">
        <f t="shared" si="4"/>
        <v/>
      </c>
    </row>
    <row r="220" spans="1:10" x14ac:dyDescent="0.2">
      <c r="A220" s="26"/>
      <c r="B220" s="26"/>
      <c r="D220" s="134"/>
      <c r="E220" s="26"/>
      <c r="F220" s="26"/>
      <c r="G220" s="26"/>
      <c r="H220" s="26"/>
      <c r="I220" s="26"/>
      <c r="J220" s="134" t="str">
        <f t="shared" si="4"/>
        <v/>
      </c>
    </row>
    <row r="221" spans="1:10" x14ac:dyDescent="0.2">
      <c r="A221" s="26"/>
      <c r="B221" s="26"/>
      <c r="D221" s="134"/>
      <c r="E221" s="26"/>
      <c r="F221" s="26"/>
      <c r="G221" s="26"/>
      <c r="H221" s="26"/>
      <c r="I221" s="26"/>
      <c r="J221" s="134" t="str">
        <f t="shared" si="4"/>
        <v/>
      </c>
    </row>
    <row r="222" spans="1:10" x14ac:dyDescent="0.2">
      <c r="A222" s="26"/>
      <c r="B222" s="26"/>
      <c r="D222" s="134"/>
      <c r="E222" s="26"/>
      <c r="F222" s="26"/>
      <c r="G222" s="26"/>
      <c r="H222" s="26"/>
      <c r="I222" s="26"/>
      <c r="J222" s="134" t="str">
        <f t="shared" si="4"/>
        <v/>
      </c>
    </row>
    <row r="223" spans="1:10" x14ac:dyDescent="0.2">
      <c r="A223" s="26"/>
      <c r="B223" s="26"/>
      <c r="D223" s="134"/>
      <c r="E223" s="26"/>
      <c r="F223" s="26"/>
      <c r="G223" s="26"/>
      <c r="H223" s="26"/>
      <c r="I223" s="26"/>
      <c r="J223" s="134" t="str">
        <f t="shared" si="4"/>
        <v/>
      </c>
    </row>
    <row r="224" spans="1:10" x14ac:dyDescent="0.2">
      <c r="A224" s="26"/>
      <c r="B224" s="26"/>
      <c r="D224" s="134"/>
      <c r="E224" s="26"/>
      <c r="F224" s="26"/>
      <c r="G224" s="26"/>
      <c r="H224" s="26"/>
      <c r="I224" s="26"/>
      <c r="J224" s="134" t="str">
        <f t="shared" si="4"/>
        <v/>
      </c>
    </row>
    <row r="225" spans="1:10" x14ac:dyDescent="0.2">
      <c r="A225" s="26"/>
      <c r="B225" s="26"/>
      <c r="D225" s="134"/>
      <c r="E225" s="26"/>
      <c r="F225" s="26"/>
      <c r="G225" s="26"/>
      <c r="H225" s="26"/>
      <c r="I225" s="26"/>
      <c r="J225" s="134" t="str">
        <f t="shared" si="4"/>
        <v/>
      </c>
    </row>
    <row r="226" spans="1:10" x14ac:dyDescent="0.2">
      <c r="A226" s="26"/>
      <c r="B226" s="26"/>
      <c r="D226" s="134"/>
      <c r="E226" s="26"/>
      <c r="F226" s="26"/>
      <c r="G226" s="26"/>
      <c r="H226" s="26"/>
      <c r="I226" s="26"/>
      <c r="J226" s="134" t="str">
        <f t="shared" si="4"/>
        <v/>
      </c>
    </row>
    <row r="227" spans="1:10" x14ac:dyDescent="0.2">
      <c r="A227" s="26"/>
      <c r="B227" s="26"/>
      <c r="D227" s="134"/>
      <c r="E227" s="26"/>
      <c r="F227" s="26"/>
      <c r="G227" s="26"/>
      <c r="H227" s="26"/>
      <c r="I227" s="26"/>
      <c r="J227" s="134" t="str">
        <f t="shared" si="4"/>
        <v/>
      </c>
    </row>
    <row r="228" spans="1:10" x14ac:dyDescent="0.2">
      <c r="A228" s="26"/>
      <c r="B228" s="26"/>
      <c r="D228" s="134"/>
      <c r="E228" s="26"/>
      <c r="F228" s="26"/>
      <c r="G228" s="26"/>
      <c r="H228" s="26"/>
      <c r="I228" s="26"/>
      <c r="J228" s="134" t="str">
        <f t="shared" si="4"/>
        <v/>
      </c>
    </row>
    <row r="229" spans="1:10" x14ac:dyDescent="0.2">
      <c r="A229" s="26"/>
      <c r="B229" s="26"/>
      <c r="D229" s="134"/>
      <c r="E229" s="26"/>
      <c r="F229" s="26"/>
      <c r="G229" s="26"/>
      <c r="H229" s="26"/>
      <c r="I229" s="26"/>
      <c r="J229" s="134" t="str">
        <f t="shared" si="4"/>
        <v/>
      </c>
    </row>
    <row r="230" spans="1:10" x14ac:dyDescent="0.2">
      <c r="A230" s="26"/>
      <c r="B230" s="26"/>
      <c r="D230" s="134"/>
      <c r="E230" s="26"/>
      <c r="F230" s="26"/>
      <c r="G230" s="26"/>
      <c r="H230" s="26"/>
      <c r="I230" s="26"/>
      <c r="J230" s="134" t="str">
        <f t="shared" si="4"/>
        <v/>
      </c>
    </row>
    <row r="231" spans="1:10" x14ac:dyDescent="0.2">
      <c r="A231" s="26"/>
      <c r="B231" s="26"/>
      <c r="D231" s="134"/>
      <c r="E231" s="26"/>
      <c r="F231" s="26"/>
      <c r="G231" s="26"/>
      <c r="H231" s="26"/>
      <c r="I231" s="26"/>
      <c r="J231" s="134" t="str">
        <f t="shared" si="4"/>
        <v/>
      </c>
    </row>
    <row r="232" spans="1:10" x14ac:dyDescent="0.2">
      <c r="A232" s="26"/>
      <c r="B232" s="26"/>
      <c r="D232" s="134"/>
      <c r="E232" s="26"/>
      <c r="F232" s="26"/>
      <c r="G232" s="26"/>
      <c r="H232" s="26"/>
      <c r="I232" s="26"/>
      <c r="J232" s="134" t="str">
        <f t="shared" si="4"/>
        <v/>
      </c>
    </row>
    <row r="233" spans="1:10" x14ac:dyDescent="0.2">
      <c r="A233" s="26"/>
      <c r="B233" s="26"/>
      <c r="D233" s="134"/>
      <c r="E233" s="26"/>
      <c r="F233" s="26"/>
      <c r="G233" s="26"/>
      <c r="H233" s="26"/>
      <c r="I233" s="26"/>
      <c r="J233" s="134" t="str">
        <f t="shared" si="4"/>
        <v/>
      </c>
    </row>
    <row r="234" spans="1:10" x14ac:dyDescent="0.2">
      <c r="A234" s="26"/>
      <c r="B234" s="26"/>
      <c r="D234" s="134"/>
      <c r="E234" s="26"/>
      <c r="F234" s="26"/>
      <c r="G234" s="26"/>
      <c r="H234" s="26"/>
      <c r="I234" s="26"/>
      <c r="J234" s="134" t="str">
        <f t="shared" si="4"/>
        <v/>
      </c>
    </row>
    <row r="235" spans="1:10" x14ac:dyDescent="0.2">
      <c r="A235" s="26"/>
      <c r="B235" s="26"/>
      <c r="D235" s="134"/>
      <c r="E235" s="26"/>
      <c r="F235" s="26"/>
      <c r="G235" s="26"/>
      <c r="H235" s="26"/>
      <c r="I235" s="26"/>
      <c r="J235" s="134" t="str">
        <f t="shared" si="4"/>
        <v/>
      </c>
    </row>
    <row r="236" spans="1:10" x14ac:dyDescent="0.2">
      <c r="A236" s="26"/>
      <c r="B236" s="26"/>
      <c r="D236" s="134"/>
      <c r="E236" s="26"/>
      <c r="F236" s="26"/>
      <c r="G236" s="26"/>
      <c r="H236" s="26"/>
      <c r="I236" s="26"/>
      <c r="J236" s="134" t="str">
        <f t="shared" si="4"/>
        <v/>
      </c>
    </row>
    <row r="237" spans="1:10" x14ac:dyDescent="0.2">
      <c r="A237" s="26"/>
      <c r="B237" s="26"/>
      <c r="D237" s="134"/>
      <c r="E237" s="26"/>
      <c r="F237" s="26"/>
      <c r="G237" s="26"/>
      <c r="H237" s="26"/>
      <c r="I237" s="26"/>
      <c r="J237" s="134" t="str">
        <f t="shared" si="4"/>
        <v/>
      </c>
    </row>
    <row r="238" spans="1:10" x14ac:dyDescent="0.2">
      <c r="A238" s="26"/>
      <c r="B238" s="26"/>
      <c r="D238" s="134"/>
      <c r="E238" s="26"/>
      <c r="F238" s="26"/>
      <c r="G238" s="26"/>
      <c r="H238" s="26"/>
      <c r="I238" s="26"/>
      <c r="J238" s="134" t="str">
        <f t="shared" si="4"/>
        <v/>
      </c>
    </row>
    <row r="239" spans="1:10" x14ac:dyDescent="0.2">
      <c r="A239" s="26"/>
      <c r="B239" s="26"/>
      <c r="D239" s="134"/>
      <c r="E239" s="26"/>
      <c r="F239" s="26"/>
      <c r="G239" s="26"/>
      <c r="H239" s="26"/>
      <c r="I239" s="26"/>
      <c r="J239" s="134" t="str">
        <f t="shared" si="4"/>
        <v/>
      </c>
    </row>
    <row r="240" spans="1:10" x14ac:dyDescent="0.2">
      <c r="A240" s="26"/>
      <c r="B240" s="26"/>
      <c r="D240" s="134"/>
      <c r="E240" s="26"/>
      <c r="F240" s="26"/>
      <c r="G240" s="26"/>
      <c r="H240" s="26"/>
      <c r="I240" s="26"/>
      <c r="J240" s="134" t="str">
        <f t="shared" si="4"/>
        <v/>
      </c>
    </row>
    <row r="241" spans="1:10" x14ac:dyDescent="0.2">
      <c r="A241" s="26"/>
      <c r="B241" s="26"/>
      <c r="D241" s="134"/>
      <c r="E241" s="26"/>
      <c r="F241" s="26"/>
      <c r="G241" s="26"/>
      <c r="H241" s="26"/>
      <c r="I241" s="26"/>
      <c r="J241" s="134" t="str">
        <f t="shared" si="4"/>
        <v/>
      </c>
    </row>
    <row r="242" spans="1:10" x14ac:dyDescent="0.2">
      <c r="A242" s="26"/>
      <c r="B242" s="26"/>
      <c r="D242" s="134"/>
      <c r="E242" s="26"/>
      <c r="F242" s="26"/>
      <c r="G242" s="26"/>
      <c r="H242" s="26"/>
      <c r="I242" s="26"/>
      <c r="J242" s="134" t="str">
        <f t="shared" si="4"/>
        <v/>
      </c>
    </row>
    <row r="243" spans="1:10" x14ac:dyDescent="0.2">
      <c r="A243" s="26"/>
      <c r="B243" s="26"/>
      <c r="D243" s="134"/>
      <c r="E243" s="26"/>
      <c r="F243" s="26"/>
      <c r="G243" s="26"/>
      <c r="H243" s="26"/>
      <c r="I243" s="26"/>
      <c r="J243" s="134" t="str">
        <f t="shared" si="4"/>
        <v/>
      </c>
    </row>
    <row r="244" spans="1:10" x14ac:dyDescent="0.2">
      <c r="A244" s="26"/>
      <c r="B244" s="26"/>
      <c r="D244" s="134"/>
      <c r="E244" s="26"/>
      <c r="F244" s="26"/>
      <c r="G244" s="26"/>
      <c r="H244" s="26"/>
      <c r="I244" s="26"/>
      <c r="J244" s="134" t="str">
        <f t="shared" si="4"/>
        <v/>
      </c>
    </row>
    <row r="245" spans="1:10" x14ac:dyDescent="0.2">
      <c r="A245" s="26"/>
      <c r="B245" s="26"/>
      <c r="D245" s="134"/>
      <c r="E245" s="26"/>
      <c r="F245" s="26"/>
      <c r="G245" s="26"/>
      <c r="H245" s="26"/>
      <c r="I245" s="26"/>
      <c r="J245" s="134" t="str">
        <f t="shared" si="4"/>
        <v/>
      </c>
    </row>
    <row r="246" spans="1:10" x14ac:dyDescent="0.2">
      <c r="A246" s="26"/>
      <c r="B246" s="26"/>
      <c r="D246" s="134"/>
      <c r="E246" s="26"/>
      <c r="F246" s="26"/>
      <c r="G246" s="26"/>
      <c r="H246" s="26"/>
      <c r="I246" s="26"/>
      <c r="J246" s="134" t="str">
        <f t="shared" si="4"/>
        <v/>
      </c>
    </row>
    <row r="247" spans="1:10" x14ac:dyDescent="0.2">
      <c r="A247" s="26"/>
      <c r="B247" s="26"/>
      <c r="D247" s="134"/>
      <c r="E247" s="26"/>
      <c r="F247" s="26"/>
      <c r="G247" s="26"/>
      <c r="H247" s="26"/>
      <c r="I247" s="26"/>
      <c r="J247" s="134" t="str">
        <f t="shared" si="4"/>
        <v/>
      </c>
    </row>
    <row r="248" spans="1:10" x14ac:dyDescent="0.2">
      <c r="A248" s="26"/>
      <c r="B248" s="26"/>
      <c r="D248" s="134"/>
      <c r="E248" s="26"/>
      <c r="F248" s="26"/>
      <c r="G248" s="26"/>
      <c r="H248" s="26"/>
      <c r="I248" s="26"/>
      <c r="J248" s="134" t="str">
        <f t="shared" si="4"/>
        <v/>
      </c>
    </row>
    <row r="249" spans="1:10" x14ac:dyDescent="0.2">
      <c r="A249" s="26"/>
      <c r="B249" s="26"/>
      <c r="D249" s="134"/>
      <c r="E249" s="26"/>
      <c r="F249" s="26"/>
      <c r="G249" s="26"/>
      <c r="H249" s="26"/>
      <c r="I249" s="26"/>
      <c r="J249" s="134" t="str">
        <f t="shared" si="4"/>
        <v/>
      </c>
    </row>
    <row r="250" spans="1:10" x14ac:dyDescent="0.2">
      <c r="A250" s="26"/>
      <c r="B250" s="26"/>
      <c r="D250" s="134"/>
      <c r="E250" s="26"/>
      <c r="F250" s="26"/>
      <c r="G250" s="26"/>
      <c r="H250" s="26"/>
      <c r="I250" s="26"/>
      <c r="J250" s="134" t="str">
        <f t="shared" si="4"/>
        <v/>
      </c>
    </row>
    <row r="251" spans="1:10" x14ac:dyDescent="0.2">
      <c r="A251" s="26"/>
      <c r="B251" s="26"/>
      <c r="D251" s="134"/>
      <c r="E251" s="26"/>
      <c r="F251" s="26"/>
      <c r="G251" s="26"/>
      <c r="H251" s="26"/>
      <c r="I251" s="26"/>
      <c r="J251" s="134" t="str">
        <f t="shared" si="4"/>
        <v/>
      </c>
    </row>
    <row r="252" spans="1:10" x14ac:dyDescent="0.2">
      <c r="A252" s="26"/>
      <c r="B252" s="26"/>
      <c r="D252" s="134"/>
      <c r="E252" s="26"/>
      <c r="F252" s="26"/>
      <c r="G252" s="26"/>
      <c r="H252" s="26"/>
      <c r="I252" s="26"/>
      <c r="J252" s="134" t="str">
        <f t="shared" si="4"/>
        <v/>
      </c>
    </row>
    <row r="253" spans="1:10" x14ac:dyDescent="0.2">
      <c r="A253" s="26"/>
      <c r="B253" s="26"/>
      <c r="D253" s="134"/>
      <c r="E253" s="26"/>
      <c r="F253" s="26"/>
      <c r="G253" s="26"/>
      <c r="H253" s="26"/>
      <c r="I253" s="26"/>
      <c r="J253" s="134" t="str">
        <f t="shared" si="4"/>
        <v/>
      </c>
    </row>
    <row r="254" spans="1:10" x14ac:dyDescent="0.2">
      <c r="A254" s="26"/>
      <c r="B254" s="26"/>
      <c r="D254" s="134"/>
      <c r="E254" s="26"/>
      <c r="F254" s="26"/>
      <c r="G254" s="26"/>
      <c r="H254" s="26"/>
      <c r="I254" s="26"/>
      <c r="J254" s="134" t="str">
        <f t="shared" si="4"/>
        <v/>
      </c>
    </row>
    <row r="255" spans="1:10" x14ac:dyDescent="0.2">
      <c r="A255" s="26"/>
      <c r="B255" s="26"/>
      <c r="D255" s="134"/>
      <c r="E255" s="26"/>
      <c r="F255" s="26"/>
      <c r="G255" s="26"/>
      <c r="H255" s="26"/>
      <c r="I255" s="26"/>
      <c r="J255" s="134" t="str">
        <f t="shared" si="4"/>
        <v/>
      </c>
    </row>
    <row r="256" spans="1:10" x14ac:dyDescent="0.2">
      <c r="A256" s="26"/>
      <c r="B256" s="26"/>
      <c r="D256" s="134"/>
      <c r="E256" s="26"/>
      <c r="F256" s="26"/>
      <c r="G256" s="26"/>
      <c r="H256" s="26"/>
      <c r="I256" s="26"/>
      <c r="J256" s="134" t="str">
        <f t="shared" si="4"/>
        <v/>
      </c>
    </row>
    <row r="257" spans="1:10" x14ac:dyDescent="0.2">
      <c r="A257" s="26"/>
      <c r="B257" s="26"/>
      <c r="D257" s="134"/>
      <c r="E257" s="26"/>
      <c r="F257" s="26"/>
      <c r="G257" s="26"/>
      <c r="H257" s="26"/>
      <c r="I257" s="26"/>
      <c r="J257" s="134" t="str">
        <f t="shared" ref="J257:J320" si="5">IF( OR( ISBLANK(E257),ISBLANK(F257), ISBLANK(G257), ISBLANK(H257), ISBLANK(I257) ), "", 1.5*SQRT(   EXP(2.21*(E257-1)) + EXP(2.21*(F257-1)) + EXP(2.21*(G257-1)) + EXP(2.21*(H257-1)) + EXP(2.21*I257)   )/100*2.45 )</f>
        <v/>
      </c>
    </row>
    <row r="258" spans="1:10" x14ac:dyDescent="0.2">
      <c r="A258" s="26"/>
      <c r="B258" s="26"/>
      <c r="D258" s="134"/>
      <c r="E258" s="26"/>
      <c r="F258" s="26"/>
      <c r="G258" s="26"/>
      <c r="H258" s="26"/>
      <c r="I258" s="26"/>
      <c r="J258" s="134" t="str">
        <f t="shared" si="5"/>
        <v/>
      </c>
    </row>
    <row r="259" spans="1:10" x14ac:dyDescent="0.2">
      <c r="A259" s="26"/>
      <c r="B259" s="26"/>
      <c r="D259" s="134"/>
      <c r="E259" s="26"/>
      <c r="F259" s="26"/>
      <c r="G259" s="26"/>
      <c r="H259" s="26"/>
      <c r="I259" s="26"/>
      <c r="J259" s="134" t="str">
        <f t="shared" si="5"/>
        <v/>
      </c>
    </row>
    <row r="260" spans="1:10" x14ac:dyDescent="0.2">
      <c r="A260" s="26"/>
      <c r="B260" s="26"/>
      <c r="D260" s="134"/>
      <c r="E260" s="26"/>
      <c r="F260" s="26"/>
      <c r="G260" s="26"/>
      <c r="H260" s="26"/>
      <c r="I260" s="26"/>
      <c r="J260" s="134" t="str">
        <f t="shared" si="5"/>
        <v/>
      </c>
    </row>
    <row r="261" spans="1:10" x14ac:dyDescent="0.2">
      <c r="A261" s="26"/>
      <c r="B261" s="26"/>
      <c r="D261" s="134"/>
      <c r="E261" s="26"/>
      <c r="F261" s="26"/>
      <c r="G261" s="26"/>
      <c r="H261" s="26"/>
      <c r="I261" s="26"/>
      <c r="J261" s="134" t="str">
        <f t="shared" si="5"/>
        <v/>
      </c>
    </row>
    <row r="262" spans="1:10" x14ac:dyDescent="0.2">
      <c r="A262" s="26"/>
      <c r="B262" s="26"/>
      <c r="D262" s="134"/>
      <c r="E262" s="26"/>
      <c r="F262" s="26"/>
      <c r="G262" s="26"/>
      <c r="H262" s="26"/>
      <c r="I262" s="26"/>
      <c r="J262" s="134" t="str">
        <f t="shared" si="5"/>
        <v/>
      </c>
    </row>
    <row r="263" spans="1:10" x14ac:dyDescent="0.2">
      <c r="A263" s="26"/>
      <c r="B263" s="26"/>
      <c r="D263" s="134"/>
      <c r="E263" s="26"/>
      <c r="F263" s="26"/>
      <c r="G263" s="26"/>
      <c r="H263" s="26"/>
      <c r="I263" s="26"/>
      <c r="J263" s="134" t="str">
        <f t="shared" si="5"/>
        <v/>
      </c>
    </row>
    <row r="264" spans="1:10" x14ac:dyDescent="0.2">
      <c r="A264" s="26"/>
      <c r="B264" s="26"/>
      <c r="D264" s="134"/>
      <c r="E264" s="26"/>
      <c r="F264" s="26"/>
      <c r="G264" s="26"/>
      <c r="H264" s="26"/>
      <c r="I264" s="26"/>
      <c r="J264" s="134" t="str">
        <f t="shared" si="5"/>
        <v/>
      </c>
    </row>
    <row r="265" spans="1:10" x14ac:dyDescent="0.2">
      <c r="A265" s="26"/>
      <c r="B265" s="26"/>
      <c r="D265" s="134"/>
      <c r="E265" s="26"/>
      <c r="F265" s="26"/>
      <c r="G265" s="26"/>
      <c r="H265" s="26"/>
      <c r="I265" s="26"/>
      <c r="J265" s="134" t="str">
        <f t="shared" si="5"/>
        <v/>
      </c>
    </row>
    <row r="266" spans="1:10" x14ac:dyDescent="0.2">
      <c r="A266" s="26"/>
      <c r="B266" s="26"/>
      <c r="D266" s="134"/>
      <c r="E266" s="26"/>
      <c r="F266" s="26"/>
      <c r="G266" s="26"/>
      <c r="H266" s="26"/>
      <c r="I266" s="26"/>
      <c r="J266" s="134" t="str">
        <f t="shared" si="5"/>
        <v/>
      </c>
    </row>
    <row r="267" spans="1:10" x14ac:dyDescent="0.2">
      <c r="A267" s="26"/>
      <c r="B267" s="26"/>
      <c r="D267" s="134"/>
      <c r="E267" s="26"/>
      <c r="F267" s="26"/>
      <c r="G267" s="26"/>
      <c r="H267" s="26"/>
      <c r="I267" s="26"/>
      <c r="J267" s="134" t="str">
        <f t="shared" si="5"/>
        <v/>
      </c>
    </row>
    <row r="268" spans="1:10" x14ac:dyDescent="0.2">
      <c r="A268" s="26"/>
      <c r="B268" s="26"/>
      <c r="D268" s="134"/>
      <c r="E268" s="26"/>
      <c r="F268" s="26"/>
      <c r="G268" s="26"/>
      <c r="H268" s="26"/>
      <c r="I268" s="26"/>
      <c r="J268" s="134" t="str">
        <f t="shared" si="5"/>
        <v/>
      </c>
    </row>
    <row r="269" spans="1:10" x14ac:dyDescent="0.2">
      <c r="A269" s="26"/>
      <c r="B269" s="26"/>
      <c r="D269" s="134"/>
      <c r="E269" s="26"/>
      <c r="F269" s="26"/>
      <c r="G269" s="26"/>
      <c r="H269" s="26"/>
      <c r="I269" s="26"/>
      <c r="J269" s="134" t="str">
        <f t="shared" si="5"/>
        <v/>
      </c>
    </row>
    <row r="270" spans="1:10" x14ac:dyDescent="0.2">
      <c r="A270" s="26"/>
      <c r="B270" s="26"/>
      <c r="D270" s="134"/>
      <c r="E270" s="26"/>
      <c r="F270" s="26"/>
      <c r="G270" s="26"/>
      <c r="H270" s="26"/>
      <c r="I270" s="26"/>
      <c r="J270" s="134" t="str">
        <f t="shared" si="5"/>
        <v/>
      </c>
    </row>
    <row r="271" spans="1:10" x14ac:dyDescent="0.2">
      <c r="A271" s="26"/>
      <c r="B271" s="26"/>
      <c r="D271" s="134"/>
      <c r="E271" s="26"/>
      <c r="F271" s="26"/>
      <c r="G271" s="26"/>
      <c r="H271" s="26"/>
      <c r="I271" s="26"/>
      <c r="J271" s="134" t="str">
        <f t="shared" si="5"/>
        <v/>
      </c>
    </row>
    <row r="272" spans="1:10" x14ac:dyDescent="0.2">
      <c r="A272" s="26"/>
      <c r="B272" s="26"/>
      <c r="D272" s="134"/>
      <c r="E272" s="26"/>
      <c r="F272" s="26"/>
      <c r="G272" s="26"/>
      <c r="H272" s="26"/>
      <c r="I272" s="26"/>
      <c r="J272" s="134" t="str">
        <f t="shared" si="5"/>
        <v/>
      </c>
    </row>
    <row r="273" spans="1:10" x14ac:dyDescent="0.2">
      <c r="A273" s="26"/>
      <c r="B273" s="26"/>
      <c r="D273" s="134"/>
      <c r="E273" s="26"/>
      <c r="F273" s="26"/>
      <c r="G273" s="26"/>
      <c r="H273" s="26"/>
      <c r="I273" s="26"/>
      <c r="J273" s="134" t="str">
        <f t="shared" si="5"/>
        <v/>
      </c>
    </row>
    <row r="274" spans="1:10" x14ac:dyDescent="0.2">
      <c r="A274" s="26"/>
      <c r="B274" s="26"/>
      <c r="D274" s="134"/>
      <c r="E274" s="26"/>
      <c r="F274" s="26"/>
      <c r="G274" s="26"/>
      <c r="H274" s="26"/>
      <c r="I274" s="26"/>
      <c r="J274" s="134" t="str">
        <f t="shared" si="5"/>
        <v/>
      </c>
    </row>
    <row r="275" spans="1:10" x14ac:dyDescent="0.2">
      <c r="A275" s="26"/>
      <c r="B275" s="26"/>
      <c r="D275" s="134"/>
      <c r="E275" s="26"/>
      <c r="F275" s="26"/>
      <c r="G275" s="26"/>
      <c r="H275" s="26"/>
      <c r="I275" s="26"/>
      <c r="J275" s="134" t="str">
        <f t="shared" si="5"/>
        <v/>
      </c>
    </row>
    <row r="276" spans="1:10" x14ac:dyDescent="0.2">
      <c r="A276" s="26"/>
      <c r="B276" s="26"/>
      <c r="D276" s="134"/>
      <c r="E276" s="26"/>
      <c r="F276" s="26"/>
      <c r="G276" s="26"/>
      <c r="H276" s="26"/>
      <c r="I276" s="26"/>
      <c r="J276" s="134" t="str">
        <f t="shared" si="5"/>
        <v/>
      </c>
    </row>
    <row r="277" spans="1:10" x14ac:dyDescent="0.2">
      <c r="A277" s="26"/>
      <c r="B277" s="26"/>
      <c r="D277" s="134"/>
      <c r="E277" s="26"/>
      <c r="F277" s="26"/>
      <c r="G277" s="26"/>
      <c r="H277" s="26"/>
      <c r="I277" s="26"/>
      <c r="J277" s="134" t="str">
        <f t="shared" si="5"/>
        <v/>
      </c>
    </row>
    <row r="278" spans="1:10" x14ac:dyDescent="0.2">
      <c r="A278" s="26"/>
      <c r="B278" s="26"/>
      <c r="D278" s="134"/>
      <c r="E278" s="26"/>
      <c r="F278" s="26"/>
      <c r="G278" s="26"/>
      <c r="H278" s="26"/>
      <c r="I278" s="26"/>
      <c r="J278" s="134" t="str">
        <f t="shared" si="5"/>
        <v/>
      </c>
    </row>
    <row r="279" spans="1:10" x14ac:dyDescent="0.2">
      <c r="A279" s="26"/>
      <c r="B279" s="26"/>
      <c r="D279" s="134"/>
      <c r="E279" s="26"/>
      <c r="F279" s="26"/>
      <c r="G279" s="26"/>
      <c r="H279" s="26"/>
      <c r="I279" s="26"/>
      <c r="J279" s="134" t="str">
        <f t="shared" si="5"/>
        <v/>
      </c>
    </row>
    <row r="280" spans="1:10" x14ac:dyDescent="0.2">
      <c r="A280" s="26"/>
      <c r="B280" s="26"/>
      <c r="D280" s="134"/>
      <c r="E280" s="26"/>
      <c r="F280" s="26"/>
      <c r="G280" s="26"/>
      <c r="H280" s="26"/>
      <c r="I280" s="26"/>
      <c r="J280" s="134" t="str">
        <f t="shared" si="5"/>
        <v/>
      </c>
    </row>
    <row r="281" spans="1:10" x14ac:dyDescent="0.2">
      <c r="A281" s="26"/>
      <c r="B281" s="26"/>
      <c r="D281" s="134"/>
      <c r="E281" s="26"/>
      <c r="F281" s="26"/>
      <c r="G281" s="26"/>
      <c r="H281" s="26"/>
      <c r="I281" s="26"/>
      <c r="J281" s="134" t="str">
        <f t="shared" si="5"/>
        <v/>
      </c>
    </row>
    <row r="282" spans="1:10" x14ac:dyDescent="0.2">
      <c r="A282" s="26"/>
      <c r="B282" s="26"/>
      <c r="D282" s="134"/>
      <c r="E282" s="26"/>
      <c r="F282" s="26"/>
      <c r="G282" s="26"/>
      <c r="H282" s="26"/>
      <c r="I282" s="26"/>
      <c r="J282" s="134" t="str">
        <f t="shared" si="5"/>
        <v/>
      </c>
    </row>
    <row r="283" spans="1:10" x14ac:dyDescent="0.2">
      <c r="A283" s="26"/>
      <c r="B283" s="26"/>
      <c r="D283" s="134"/>
      <c r="E283" s="26"/>
      <c r="F283" s="26"/>
      <c r="G283" s="26"/>
      <c r="H283" s="26"/>
      <c r="I283" s="26"/>
      <c r="J283" s="134" t="str">
        <f t="shared" si="5"/>
        <v/>
      </c>
    </row>
    <row r="284" spans="1:10" x14ac:dyDescent="0.2">
      <c r="A284" s="26"/>
      <c r="B284" s="26"/>
      <c r="D284" s="134"/>
      <c r="E284" s="26"/>
      <c r="F284" s="26"/>
      <c r="G284" s="26"/>
      <c r="H284" s="26"/>
      <c r="I284" s="26"/>
      <c r="J284" s="134" t="str">
        <f t="shared" si="5"/>
        <v/>
      </c>
    </row>
    <row r="285" spans="1:10" x14ac:dyDescent="0.2">
      <c r="A285" s="26"/>
      <c r="B285" s="26"/>
      <c r="D285" s="134"/>
      <c r="E285" s="26"/>
      <c r="F285" s="26"/>
      <c r="G285" s="26"/>
      <c r="H285" s="26"/>
      <c r="I285" s="26"/>
      <c r="J285" s="134" t="str">
        <f t="shared" si="5"/>
        <v/>
      </c>
    </row>
    <row r="286" spans="1:10" x14ac:dyDescent="0.2">
      <c r="A286" s="26"/>
      <c r="B286" s="26"/>
      <c r="D286" s="134"/>
      <c r="E286" s="26"/>
      <c r="F286" s="26"/>
      <c r="G286" s="26"/>
      <c r="H286" s="26"/>
      <c r="I286" s="26"/>
      <c r="J286" s="134" t="str">
        <f t="shared" si="5"/>
        <v/>
      </c>
    </row>
    <row r="287" spans="1:10" x14ac:dyDescent="0.2">
      <c r="A287" s="26"/>
      <c r="B287" s="26"/>
      <c r="D287" s="134"/>
      <c r="E287" s="26"/>
      <c r="F287" s="26"/>
      <c r="G287" s="26"/>
      <c r="H287" s="26"/>
      <c r="I287" s="26"/>
      <c r="J287" s="134" t="str">
        <f t="shared" si="5"/>
        <v/>
      </c>
    </row>
    <row r="288" spans="1:10" x14ac:dyDescent="0.2">
      <c r="A288" s="26"/>
      <c r="B288" s="26"/>
      <c r="D288" s="134"/>
      <c r="E288" s="26"/>
      <c r="F288" s="26"/>
      <c r="G288" s="26"/>
      <c r="H288" s="26"/>
      <c r="I288" s="26"/>
      <c r="J288" s="134" t="str">
        <f t="shared" si="5"/>
        <v/>
      </c>
    </row>
    <row r="289" spans="1:10" x14ac:dyDescent="0.2">
      <c r="A289" s="26"/>
      <c r="B289" s="26"/>
      <c r="D289" s="134"/>
      <c r="E289" s="26"/>
      <c r="F289" s="26"/>
      <c r="G289" s="26"/>
      <c r="H289" s="26"/>
      <c r="I289" s="26"/>
      <c r="J289" s="134" t="str">
        <f t="shared" si="5"/>
        <v/>
      </c>
    </row>
    <row r="290" spans="1:10" x14ac:dyDescent="0.2">
      <c r="A290" s="26"/>
      <c r="B290" s="26"/>
      <c r="D290" s="134"/>
      <c r="E290" s="26"/>
      <c r="F290" s="26"/>
      <c r="G290" s="26"/>
      <c r="H290" s="26"/>
      <c r="I290" s="26"/>
      <c r="J290" s="134" t="str">
        <f t="shared" si="5"/>
        <v/>
      </c>
    </row>
    <row r="291" spans="1:10" x14ac:dyDescent="0.2">
      <c r="A291" s="26"/>
      <c r="B291" s="26"/>
      <c r="D291" s="134"/>
      <c r="E291" s="26"/>
      <c r="F291" s="26"/>
      <c r="G291" s="26"/>
      <c r="H291" s="26"/>
      <c r="I291" s="26"/>
      <c r="J291" s="134" t="str">
        <f t="shared" si="5"/>
        <v/>
      </c>
    </row>
    <row r="292" spans="1:10" x14ac:dyDescent="0.2">
      <c r="A292" s="26"/>
      <c r="B292" s="26"/>
      <c r="D292" s="134"/>
      <c r="E292" s="26"/>
      <c r="F292" s="26"/>
      <c r="G292" s="26"/>
      <c r="H292" s="26"/>
      <c r="I292" s="26"/>
      <c r="J292" s="134" t="str">
        <f t="shared" si="5"/>
        <v/>
      </c>
    </row>
    <row r="293" spans="1:10" x14ac:dyDescent="0.2">
      <c r="A293" s="26"/>
      <c r="B293" s="26"/>
      <c r="D293" s="134"/>
      <c r="E293" s="26"/>
      <c r="F293" s="26"/>
      <c r="G293" s="26"/>
      <c r="H293" s="26"/>
      <c r="I293" s="26"/>
      <c r="J293" s="134" t="str">
        <f t="shared" si="5"/>
        <v/>
      </c>
    </row>
    <row r="294" spans="1:10" x14ac:dyDescent="0.2">
      <c r="A294" s="26"/>
      <c r="B294" s="26"/>
      <c r="D294" s="134"/>
      <c r="E294" s="26"/>
      <c r="F294" s="26"/>
      <c r="G294" s="26"/>
      <c r="H294" s="26"/>
      <c r="I294" s="26"/>
      <c r="J294" s="134" t="str">
        <f t="shared" si="5"/>
        <v/>
      </c>
    </row>
    <row r="295" spans="1:10" x14ac:dyDescent="0.2">
      <c r="A295" s="26"/>
      <c r="B295" s="26"/>
      <c r="D295" s="134"/>
      <c r="E295" s="26"/>
      <c r="F295" s="26"/>
      <c r="G295" s="26"/>
      <c r="H295" s="26"/>
      <c r="I295" s="26"/>
      <c r="J295" s="134" t="str">
        <f t="shared" si="5"/>
        <v/>
      </c>
    </row>
    <row r="296" spans="1:10" x14ac:dyDescent="0.2">
      <c r="A296" s="26"/>
      <c r="B296" s="26"/>
      <c r="D296" s="134"/>
      <c r="E296" s="26"/>
      <c r="F296" s="26"/>
      <c r="G296" s="26"/>
      <c r="H296" s="26"/>
      <c r="I296" s="26"/>
      <c r="J296" s="134" t="str">
        <f t="shared" si="5"/>
        <v/>
      </c>
    </row>
    <row r="297" spans="1:10" x14ac:dyDescent="0.2">
      <c r="A297" s="26"/>
      <c r="B297" s="26"/>
      <c r="D297" s="134"/>
      <c r="E297" s="26"/>
      <c r="F297" s="26"/>
      <c r="G297" s="26"/>
      <c r="H297" s="26"/>
      <c r="I297" s="26"/>
      <c r="J297" s="134" t="str">
        <f t="shared" si="5"/>
        <v/>
      </c>
    </row>
    <row r="298" spans="1:10" x14ac:dyDescent="0.2">
      <c r="A298" s="26"/>
      <c r="B298" s="26"/>
      <c r="D298" s="134"/>
      <c r="E298" s="26"/>
      <c r="F298" s="26"/>
      <c r="G298" s="26"/>
      <c r="H298" s="26"/>
      <c r="I298" s="26"/>
      <c r="J298" s="134" t="str">
        <f t="shared" si="5"/>
        <v/>
      </c>
    </row>
    <row r="299" spans="1:10" x14ac:dyDescent="0.2">
      <c r="A299" s="26"/>
      <c r="B299" s="26"/>
      <c r="D299" s="134"/>
      <c r="E299" s="26"/>
      <c r="F299" s="26"/>
      <c r="G299" s="26"/>
      <c r="H299" s="26"/>
      <c r="I299" s="26"/>
      <c r="J299" s="134" t="str">
        <f t="shared" si="5"/>
        <v/>
      </c>
    </row>
    <row r="300" spans="1:10" x14ac:dyDescent="0.2">
      <c r="A300" s="26"/>
      <c r="B300" s="26"/>
      <c r="D300" s="134"/>
      <c r="E300" s="26"/>
      <c r="F300" s="26"/>
      <c r="G300" s="26"/>
      <c r="H300" s="26"/>
      <c r="I300" s="26"/>
      <c r="J300" s="134" t="str">
        <f t="shared" si="5"/>
        <v/>
      </c>
    </row>
    <row r="301" spans="1:10" x14ac:dyDescent="0.2">
      <c r="A301" s="26"/>
      <c r="B301" s="26"/>
      <c r="D301" s="134"/>
      <c r="E301" s="26"/>
      <c r="F301" s="26"/>
      <c r="G301" s="26"/>
      <c r="H301" s="26"/>
      <c r="I301" s="26"/>
      <c r="J301" s="134" t="str">
        <f t="shared" si="5"/>
        <v/>
      </c>
    </row>
    <row r="302" spans="1:10" x14ac:dyDescent="0.2">
      <c r="A302" s="26"/>
      <c r="B302" s="26"/>
      <c r="D302" s="134"/>
      <c r="E302" s="26"/>
      <c r="F302" s="26"/>
      <c r="G302" s="26"/>
      <c r="H302" s="26"/>
      <c r="I302" s="26"/>
      <c r="J302" s="134" t="str">
        <f t="shared" si="5"/>
        <v/>
      </c>
    </row>
    <row r="303" spans="1:10" x14ac:dyDescent="0.2">
      <c r="A303" s="26"/>
      <c r="B303" s="26"/>
      <c r="D303" s="134"/>
      <c r="E303" s="26"/>
      <c r="F303" s="26"/>
      <c r="G303" s="26"/>
      <c r="H303" s="26"/>
      <c r="I303" s="26"/>
      <c r="J303" s="134" t="str">
        <f t="shared" si="5"/>
        <v/>
      </c>
    </row>
    <row r="304" spans="1:10" x14ac:dyDescent="0.2">
      <c r="A304" s="26"/>
      <c r="B304" s="26"/>
      <c r="D304" s="134"/>
      <c r="E304" s="26"/>
      <c r="F304" s="26"/>
      <c r="G304" s="26"/>
      <c r="H304" s="26"/>
      <c r="I304" s="26"/>
      <c r="J304" s="134" t="str">
        <f t="shared" si="5"/>
        <v/>
      </c>
    </row>
    <row r="305" spans="1:10" x14ac:dyDescent="0.2">
      <c r="A305" s="26"/>
      <c r="B305" s="26"/>
      <c r="D305" s="134"/>
      <c r="E305" s="26"/>
      <c r="F305" s="26"/>
      <c r="G305" s="26"/>
      <c r="H305" s="26"/>
      <c r="I305" s="26"/>
      <c r="J305" s="134" t="str">
        <f t="shared" si="5"/>
        <v/>
      </c>
    </row>
    <row r="306" spans="1:10" x14ac:dyDescent="0.2">
      <c r="A306" s="26"/>
      <c r="B306" s="26"/>
      <c r="D306" s="134"/>
      <c r="E306" s="26"/>
      <c r="F306" s="26"/>
      <c r="G306" s="26"/>
      <c r="H306" s="26"/>
      <c r="I306" s="26"/>
      <c r="J306" s="134" t="str">
        <f t="shared" si="5"/>
        <v/>
      </c>
    </row>
    <row r="307" spans="1:10" x14ac:dyDescent="0.2">
      <c r="A307" s="26"/>
      <c r="B307" s="26"/>
      <c r="D307" s="134"/>
      <c r="E307" s="26"/>
      <c r="F307" s="26"/>
      <c r="G307" s="26"/>
      <c r="H307" s="26"/>
      <c r="I307" s="26"/>
      <c r="J307" s="134" t="str">
        <f t="shared" si="5"/>
        <v/>
      </c>
    </row>
    <row r="308" spans="1:10" x14ac:dyDescent="0.2">
      <c r="A308" s="26"/>
      <c r="B308" s="26"/>
      <c r="D308" s="134"/>
      <c r="E308" s="26"/>
      <c r="F308" s="26"/>
      <c r="G308" s="26"/>
      <c r="H308" s="26"/>
      <c r="I308" s="26"/>
      <c r="J308" s="134" t="str">
        <f t="shared" si="5"/>
        <v/>
      </c>
    </row>
    <row r="309" spans="1:10" x14ac:dyDescent="0.2">
      <c r="A309" s="26"/>
      <c r="B309" s="26"/>
      <c r="D309" s="134"/>
      <c r="E309" s="26"/>
      <c r="F309" s="26"/>
      <c r="G309" s="26"/>
      <c r="H309" s="26"/>
      <c r="I309" s="26"/>
      <c r="J309" s="134" t="str">
        <f t="shared" si="5"/>
        <v/>
      </c>
    </row>
    <row r="310" spans="1:10" x14ac:dyDescent="0.2">
      <c r="A310" s="26"/>
      <c r="B310" s="26"/>
      <c r="D310" s="134"/>
      <c r="E310" s="26"/>
      <c r="F310" s="26"/>
      <c r="G310" s="26"/>
      <c r="H310" s="26"/>
      <c r="I310" s="26"/>
      <c r="J310" s="134" t="str">
        <f t="shared" si="5"/>
        <v/>
      </c>
    </row>
    <row r="311" spans="1:10" x14ac:dyDescent="0.2">
      <c r="A311" s="26"/>
      <c r="B311" s="26"/>
      <c r="D311" s="134"/>
      <c r="E311" s="26"/>
      <c r="F311" s="26"/>
      <c r="G311" s="26"/>
      <c r="H311" s="26"/>
      <c r="I311" s="26"/>
      <c r="J311" s="134" t="str">
        <f t="shared" si="5"/>
        <v/>
      </c>
    </row>
    <row r="312" spans="1:10" x14ac:dyDescent="0.2">
      <c r="A312" s="26"/>
      <c r="B312" s="26"/>
      <c r="D312" s="134"/>
      <c r="E312" s="26"/>
      <c r="F312" s="26"/>
      <c r="G312" s="26"/>
      <c r="H312" s="26"/>
      <c r="I312" s="26"/>
      <c r="J312" s="134" t="str">
        <f t="shared" si="5"/>
        <v/>
      </c>
    </row>
    <row r="313" spans="1:10" x14ac:dyDescent="0.2">
      <c r="A313" s="26"/>
      <c r="B313" s="26"/>
      <c r="D313" s="134"/>
      <c r="E313" s="26"/>
      <c r="F313" s="26"/>
      <c r="G313" s="26"/>
      <c r="H313" s="26"/>
      <c r="I313" s="26"/>
      <c r="J313" s="134" t="str">
        <f t="shared" si="5"/>
        <v/>
      </c>
    </row>
    <row r="314" spans="1:10" x14ac:dyDescent="0.2">
      <c r="A314" s="26"/>
      <c r="B314" s="26"/>
      <c r="D314" s="134"/>
      <c r="E314" s="26"/>
      <c r="F314" s="26"/>
      <c r="G314" s="26"/>
      <c r="H314" s="26"/>
      <c r="I314" s="26"/>
      <c r="J314" s="134" t="str">
        <f t="shared" si="5"/>
        <v/>
      </c>
    </row>
    <row r="315" spans="1:10" x14ac:dyDescent="0.2">
      <c r="A315" s="26"/>
      <c r="B315" s="26"/>
      <c r="D315" s="134"/>
      <c r="E315" s="26"/>
      <c r="F315" s="26"/>
      <c r="G315" s="26"/>
      <c r="H315" s="26"/>
      <c r="I315" s="26"/>
      <c r="J315" s="134" t="str">
        <f t="shared" si="5"/>
        <v/>
      </c>
    </row>
    <row r="316" spans="1:10" x14ac:dyDescent="0.2">
      <c r="A316" s="26"/>
      <c r="B316" s="26"/>
      <c r="D316" s="134"/>
      <c r="E316" s="26"/>
      <c r="F316" s="26"/>
      <c r="G316" s="26"/>
      <c r="H316" s="26"/>
      <c r="I316" s="26"/>
      <c r="J316" s="134" t="str">
        <f t="shared" si="5"/>
        <v/>
      </c>
    </row>
    <row r="317" spans="1:10" x14ac:dyDescent="0.2">
      <c r="A317" s="26"/>
      <c r="B317" s="26"/>
      <c r="D317" s="134"/>
      <c r="E317" s="26"/>
      <c r="F317" s="26"/>
      <c r="G317" s="26"/>
      <c r="H317" s="26"/>
      <c r="I317" s="26"/>
      <c r="J317" s="134" t="str">
        <f t="shared" si="5"/>
        <v/>
      </c>
    </row>
    <row r="318" spans="1:10" x14ac:dyDescent="0.2">
      <c r="A318" s="26"/>
      <c r="B318" s="26"/>
      <c r="D318" s="134"/>
      <c r="E318" s="26"/>
      <c r="F318" s="26"/>
      <c r="G318" s="26"/>
      <c r="H318" s="26"/>
      <c r="I318" s="26"/>
      <c r="J318" s="134" t="str">
        <f t="shared" si="5"/>
        <v/>
      </c>
    </row>
    <row r="319" spans="1:10" x14ac:dyDescent="0.2">
      <c r="A319" s="26"/>
      <c r="B319" s="26"/>
      <c r="D319" s="134"/>
      <c r="E319" s="26"/>
      <c r="F319" s="26"/>
      <c r="G319" s="26"/>
      <c r="H319" s="26"/>
      <c r="I319" s="26"/>
      <c r="J319" s="134" t="str">
        <f t="shared" si="5"/>
        <v/>
      </c>
    </row>
    <row r="320" spans="1:10" x14ac:dyDescent="0.2">
      <c r="A320" s="26"/>
      <c r="B320" s="26"/>
      <c r="D320" s="134"/>
      <c r="E320" s="26"/>
      <c r="F320" s="26"/>
      <c r="G320" s="26"/>
      <c r="H320" s="26"/>
      <c r="I320" s="26"/>
      <c r="J320" s="134" t="str">
        <f t="shared" si="5"/>
        <v/>
      </c>
    </row>
    <row r="321" spans="1:10" x14ac:dyDescent="0.2">
      <c r="A321" s="26"/>
      <c r="B321" s="26"/>
      <c r="D321" s="134"/>
      <c r="E321" s="26"/>
      <c r="F321" s="26"/>
      <c r="G321" s="26"/>
      <c r="H321" s="26"/>
      <c r="I321" s="26"/>
      <c r="J321" s="134" t="str">
        <f t="shared" ref="J321:J384" si="6">IF( OR( ISBLANK(E321),ISBLANK(F321), ISBLANK(G321), ISBLANK(H321), ISBLANK(I321) ), "", 1.5*SQRT(   EXP(2.21*(E321-1)) + EXP(2.21*(F321-1)) + EXP(2.21*(G321-1)) + EXP(2.21*(H321-1)) + EXP(2.21*I321)   )/100*2.45 )</f>
        <v/>
      </c>
    </row>
    <row r="322" spans="1:10" x14ac:dyDescent="0.2">
      <c r="A322" s="26"/>
      <c r="B322" s="26"/>
      <c r="D322" s="134"/>
      <c r="E322" s="26"/>
      <c r="F322" s="26"/>
      <c r="G322" s="26"/>
      <c r="H322" s="26"/>
      <c r="I322" s="26"/>
      <c r="J322" s="134" t="str">
        <f t="shared" si="6"/>
        <v/>
      </c>
    </row>
    <row r="323" spans="1:10" x14ac:dyDescent="0.2">
      <c r="A323" s="26"/>
      <c r="B323" s="26"/>
      <c r="D323" s="134"/>
      <c r="E323" s="26"/>
      <c r="F323" s="26"/>
      <c r="G323" s="26"/>
      <c r="H323" s="26"/>
      <c r="I323" s="26"/>
      <c r="J323" s="134" t="str">
        <f t="shared" si="6"/>
        <v/>
      </c>
    </row>
    <row r="324" spans="1:10" x14ac:dyDescent="0.2">
      <c r="A324" s="26"/>
      <c r="B324" s="26"/>
      <c r="D324" s="134"/>
      <c r="E324" s="26"/>
      <c r="F324" s="26"/>
      <c r="G324" s="26"/>
      <c r="H324" s="26"/>
      <c r="I324" s="26"/>
      <c r="J324" s="134" t="str">
        <f t="shared" si="6"/>
        <v/>
      </c>
    </row>
    <row r="325" spans="1:10" x14ac:dyDescent="0.2">
      <c r="A325" s="26"/>
      <c r="B325" s="26"/>
      <c r="D325" s="134"/>
      <c r="E325" s="26"/>
      <c r="F325" s="26"/>
      <c r="G325" s="26"/>
      <c r="H325" s="26"/>
      <c r="I325" s="26"/>
      <c r="J325" s="134" t="str">
        <f t="shared" si="6"/>
        <v/>
      </c>
    </row>
    <row r="326" spans="1:10" x14ac:dyDescent="0.2">
      <c r="A326" s="26"/>
      <c r="B326" s="26"/>
      <c r="D326" s="134"/>
      <c r="E326" s="26"/>
      <c r="F326" s="26"/>
      <c r="G326" s="26"/>
      <c r="H326" s="26"/>
      <c r="I326" s="26"/>
      <c r="J326" s="134" t="str">
        <f t="shared" si="6"/>
        <v/>
      </c>
    </row>
    <row r="327" spans="1:10" x14ac:dyDescent="0.2">
      <c r="A327" s="26"/>
      <c r="B327" s="26"/>
      <c r="D327" s="134"/>
      <c r="E327" s="26"/>
      <c r="F327" s="26"/>
      <c r="G327" s="26"/>
      <c r="H327" s="26"/>
      <c r="I327" s="26"/>
      <c r="J327" s="134" t="str">
        <f t="shared" si="6"/>
        <v/>
      </c>
    </row>
    <row r="328" spans="1:10" x14ac:dyDescent="0.2">
      <c r="A328" s="26"/>
      <c r="B328" s="26"/>
      <c r="D328" s="134"/>
      <c r="E328" s="26"/>
      <c r="F328" s="26"/>
      <c r="G328" s="26"/>
      <c r="H328" s="26"/>
      <c r="I328" s="26"/>
      <c r="J328" s="134" t="str">
        <f t="shared" si="6"/>
        <v/>
      </c>
    </row>
    <row r="329" spans="1:10" x14ac:dyDescent="0.2">
      <c r="A329" s="26"/>
      <c r="B329" s="26"/>
      <c r="D329" s="134"/>
      <c r="E329" s="26"/>
      <c r="F329" s="26"/>
      <c r="G329" s="26"/>
      <c r="H329" s="26"/>
      <c r="I329" s="26"/>
      <c r="J329" s="134" t="str">
        <f t="shared" si="6"/>
        <v/>
      </c>
    </row>
    <row r="330" spans="1:10" x14ac:dyDescent="0.2">
      <c r="A330" s="26"/>
      <c r="B330" s="26"/>
      <c r="D330" s="134"/>
      <c r="E330" s="26"/>
      <c r="F330" s="26"/>
      <c r="G330" s="26"/>
      <c r="H330" s="26"/>
      <c r="I330" s="26"/>
      <c r="J330" s="134" t="str">
        <f t="shared" si="6"/>
        <v/>
      </c>
    </row>
    <row r="331" spans="1:10" x14ac:dyDescent="0.2">
      <c r="A331" s="26"/>
      <c r="B331" s="26"/>
      <c r="D331" s="134"/>
      <c r="E331" s="26"/>
      <c r="F331" s="26"/>
      <c r="G331" s="26"/>
      <c r="H331" s="26"/>
      <c r="I331" s="26"/>
      <c r="J331" s="134" t="str">
        <f t="shared" si="6"/>
        <v/>
      </c>
    </row>
    <row r="332" spans="1:10" x14ac:dyDescent="0.2">
      <c r="A332" s="26"/>
      <c r="B332" s="26"/>
      <c r="D332" s="134"/>
      <c r="E332" s="26"/>
      <c r="F332" s="26"/>
      <c r="G332" s="26"/>
      <c r="H332" s="26"/>
      <c r="I332" s="26"/>
      <c r="J332" s="134" t="str">
        <f t="shared" si="6"/>
        <v/>
      </c>
    </row>
    <row r="333" spans="1:10" x14ac:dyDescent="0.2">
      <c r="A333" s="26"/>
      <c r="B333" s="26"/>
      <c r="D333" s="134"/>
      <c r="E333" s="26"/>
      <c r="F333" s="26"/>
      <c r="G333" s="26"/>
      <c r="H333" s="26"/>
      <c r="I333" s="26"/>
      <c r="J333" s="134" t="str">
        <f t="shared" si="6"/>
        <v/>
      </c>
    </row>
    <row r="334" spans="1:10" x14ac:dyDescent="0.2">
      <c r="A334" s="26"/>
      <c r="B334" s="26"/>
      <c r="D334" s="134"/>
      <c r="E334" s="26"/>
      <c r="F334" s="26"/>
      <c r="G334" s="26"/>
      <c r="H334" s="26"/>
      <c r="I334" s="26"/>
      <c r="J334" s="134" t="str">
        <f t="shared" si="6"/>
        <v/>
      </c>
    </row>
    <row r="335" spans="1:10" x14ac:dyDescent="0.2">
      <c r="A335" s="26"/>
      <c r="B335" s="26"/>
      <c r="D335" s="134"/>
      <c r="E335" s="26"/>
      <c r="F335" s="26"/>
      <c r="G335" s="26"/>
      <c r="H335" s="26"/>
      <c r="I335" s="26"/>
      <c r="J335" s="134" t="str">
        <f t="shared" si="6"/>
        <v/>
      </c>
    </row>
    <row r="336" spans="1:10" x14ac:dyDescent="0.2">
      <c r="A336" s="26"/>
      <c r="B336" s="26"/>
      <c r="D336" s="134"/>
      <c r="E336" s="26"/>
      <c r="F336" s="26"/>
      <c r="G336" s="26"/>
      <c r="H336" s="26"/>
      <c r="I336" s="26"/>
      <c r="J336" s="134" t="str">
        <f t="shared" si="6"/>
        <v/>
      </c>
    </row>
    <row r="337" spans="1:10" x14ac:dyDescent="0.2">
      <c r="A337" s="26"/>
      <c r="B337" s="26"/>
      <c r="D337" s="134"/>
      <c r="E337" s="26"/>
      <c r="F337" s="26"/>
      <c r="G337" s="26"/>
      <c r="H337" s="26"/>
      <c r="I337" s="26"/>
      <c r="J337" s="134" t="str">
        <f t="shared" si="6"/>
        <v/>
      </c>
    </row>
    <row r="338" spans="1:10" x14ac:dyDescent="0.2">
      <c r="A338" s="26"/>
      <c r="B338" s="26"/>
      <c r="D338" s="134"/>
      <c r="E338" s="26"/>
      <c r="F338" s="26"/>
      <c r="G338" s="26"/>
      <c r="H338" s="26"/>
      <c r="I338" s="26"/>
      <c r="J338" s="134" t="str">
        <f t="shared" si="6"/>
        <v/>
      </c>
    </row>
    <row r="339" spans="1:10" x14ac:dyDescent="0.2">
      <c r="A339" s="26"/>
      <c r="B339" s="26"/>
      <c r="D339" s="134"/>
      <c r="E339" s="26"/>
      <c r="F339" s="26"/>
      <c r="G339" s="26"/>
      <c r="H339" s="26"/>
      <c r="I339" s="26"/>
      <c r="J339" s="134" t="str">
        <f t="shared" si="6"/>
        <v/>
      </c>
    </row>
    <row r="340" spans="1:10" x14ac:dyDescent="0.2">
      <c r="A340" s="26"/>
      <c r="B340" s="26"/>
      <c r="D340" s="134"/>
      <c r="E340" s="26"/>
      <c r="F340" s="26"/>
      <c r="G340" s="26"/>
      <c r="H340" s="26"/>
      <c r="I340" s="26"/>
      <c r="J340" s="134" t="str">
        <f t="shared" si="6"/>
        <v/>
      </c>
    </row>
    <row r="341" spans="1:10" x14ac:dyDescent="0.2">
      <c r="A341" s="26"/>
      <c r="B341" s="26"/>
      <c r="D341" s="134"/>
      <c r="E341" s="26"/>
      <c r="F341" s="26"/>
      <c r="G341" s="26"/>
      <c r="H341" s="26"/>
      <c r="I341" s="26"/>
      <c r="J341" s="134" t="str">
        <f t="shared" si="6"/>
        <v/>
      </c>
    </row>
    <row r="342" spans="1:10" x14ac:dyDescent="0.2">
      <c r="A342" s="26"/>
      <c r="B342" s="26"/>
      <c r="D342" s="134"/>
      <c r="E342" s="26"/>
      <c r="F342" s="26"/>
      <c r="G342" s="26"/>
      <c r="H342" s="26"/>
      <c r="I342" s="26"/>
      <c r="J342" s="134" t="str">
        <f t="shared" si="6"/>
        <v/>
      </c>
    </row>
    <row r="343" spans="1:10" x14ac:dyDescent="0.2">
      <c r="A343" s="26"/>
      <c r="B343" s="26"/>
      <c r="D343" s="134"/>
      <c r="E343" s="26"/>
      <c r="F343" s="26"/>
      <c r="G343" s="26"/>
      <c r="H343" s="26"/>
      <c r="I343" s="26"/>
      <c r="J343" s="134" t="str">
        <f t="shared" si="6"/>
        <v/>
      </c>
    </row>
    <row r="344" spans="1:10" x14ac:dyDescent="0.2">
      <c r="A344" s="26"/>
      <c r="B344" s="26"/>
      <c r="D344" s="134"/>
      <c r="E344" s="26"/>
      <c r="F344" s="26"/>
      <c r="G344" s="26"/>
      <c r="H344" s="26"/>
      <c r="I344" s="26"/>
      <c r="J344" s="134" t="str">
        <f t="shared" si="6"/>
        <v/>
      </c>
    </row>
    <row r="345" spans="1:10" x14ac:dyDescent="0.2">
      <c r="A345" s="26"/>
      <c r="B345" s="26"/>
      <c r="D345" s="134"/>
      <c r="E345" s="26"/>
      <c r="F345" s="26"/>
      <c r="G345" s="26"/>
      <c r="H345" s="26"/>
      <c r="I345" s="26"/>
      <c r="J345" s="134" t="str">
        <f t="shared" si="6"/>
        <v/>
      </c>
    </row>
    <row r="346" spans="1:10" x14ac:dyDescent="0.2">
      <c r="A346" s="26"/>
      <c r="B346" s="26"/>
      <c r="D346" s="134"/>
      <c r="E346" s="26"/>
      <c r="F346" s="26"/>
      <c r="G346" s="26"/>
      <c r="H346" s="26"/>
      <c r="I346" s="26"/>
      <c r="J346" s="134" t="str">
        <f t="shared" si="6"/>
        <v/>
      </c>
    </row>
    <row r="347" spans="1:10" x14ac:dyDescent="0.2">
      <c r="A347" s="26"/>
      <c r="B347" s="26"/>
      <c r="D347" s="134"/>
      <c r="E347" s="26"/>
      <c r="F347" s="26"/>
      <c r="G347" s="26"/>
      <c r="H347" s="26"/>
      <c r="I347" s="26"/>
      <c r="J347" s="134" t="str">
        <f t="shared" si="6"/>
        <v/>
      </c>
    </row>
    <row r="348" spans="1:10" x14ac:dyDescent="0.2">
      <c r="A348" s="26"/>
      <c r="B348" s="26"/>
      <c r="D348" s="134"/>
      <c r="E348" s="26"/>
      <c r="F348" s="26"/>
      <c r="G348" s="26"/>
      <c r="H348" s="26"/>
      <c r="I348" s="26"/>
      <c r="J348" s="134" t="str">
        <f t="shared" si="6"/>
        <v/>
      </c>
    </row>
    <row r="349" spans="1:10" x14ac:dyDescent="0.2">
      <c r="A349" s="26"/>
      <c r="B349" s="26"/>
      <c r="D349" s="134"/>
      <c r="E349" s="26"/>
      <c r="F349" s="26"/>
      <c r="G349" s="26"/>
      <c r="H349" s="26"/>
      <c r="I349" s="26"/>
      <c r="J349" s="134" t="str">
        <f t="shared" si="6"/>
        <v/>
      </c>
    </row>
    <row r="350" spans="1:10" x14ac:dyDescent="0.2">
      <c r="A350" s="26"/>
      <c r="B350" s="26"/>
      <c r="D350" s="134"/>
      <c r="E350" s="26"/>
      <c r="F350" s="26"/>
      <c r="G350" s="26"/>
      <c r="H350" s="26"/>
      <c r="I350" s="26"/>
      <c r="J350" s="134" t="str">
        <f t="shared" si="6"/>
        <v/>
      </c>
    </row>
    <row r="351" spans="1:10" x14ac:dyDescent="0.2">
      <c r="A351" s="26"/>
      <c r="B351" s="26"/>
      <c r="D351" s="134"/>
      <c r="E351" s="26"/>
      <c r="F351" s="26"/>
      <c r="G351" s="26"/>
      <c r="H351" s="26"/>
      <c r="I351" s="26"/>
      <c r="J351" s="134" t="str">
        <f t="shared" si="6"/>
        <v/>
      </c>
    </row>
    <row r="352" spans="1:10" x14ac:dyDescent="0.2">
      <c r="A352" s="26"/>
      <c r="B352" s="26"/>
      <c r="D352" s="134"/>
      <c r="E352" s="26"/>
      <c r="F352" s="26"/>
      <c r="G352" s="26"/>
      <c r="H352" s="26"/>
      <c r="I352" s="26"/>
      <c r="J352" s="134" t="str">
        <f t="shared" si="6"/>
        <v/>
      </c>
    </row>
    <row r="353" spans="1:10" x14ac:dyDescent="0.2">
      <c r="A353" s="26"/>
      <c r="B353" s="26"/>
      <c r="D353" s="134"/>
      <c r="E353" s="26"/>
      <c r="F353" s="26"/>
      <c r="G353" s="26"/>
      <c r="H353" s="26"/>
      <c r="I353" s="26"/>
      <c r="J353" s="134" t="str">
        <f t="shared" si="6"/>
        <v/>
      </c>
    </row>
    <row r="354" spans="1:10" x14ac:dyDescent="0.2">
      <c r="A354" s="26"/>
      <c r="B354" s="26"/>
      <c r="D354" s="134"/>
      <c r="E354" s="26"/>
      <c r="F354" s="26"/>
      <c r="G354" s="26"/>
      <c r="H354" s="26"/>
      <c r="I354" s="26"/>
      <c r="J354" s="134" t="str">
        <f t="shared" si="6"/>
        <v/>
      </c>
    </row>
    <row r="355" spans="1:10" x14ac:dyDescent="0.2">
      <c r="A355" s="26"/>
      <c r="B355" s="26"/>
      <c r="D355" s="134"/>
      <c r="E355" s="26"/>
      <c r="F355" s="26"/>
      <c r="G355" s="26"/>
      <c r="H355" s="26"/>
      <c r="I355" s="26"/>
      <c r="J355" s="134" t="str">
        <f t="shared" si="6"/>
        <v/>
      </c>
    </row>
    <row r="356" spans="1:10" x14ac:dyDescent="0.2">
      <c r="A356" s="26"/>
      <c r="B356" s="26"/>
      <c r="D356" s="134"/>
      <c r="E356" s="26"/>
      <c r="F356" s="26"/>
      <c r="G356" s="26"/>
      <c r="H356" s="26"/>
      <c r="I356" s="26"/>
      <c r="J356" s="134" t="str">
        <f t="shared" si="6"/>
        <v/>
      </c>
    </row>
    <row r="357" spans="1:10" x14ac:dyDescent="0.2">
      <c r="A357" s="26"/>
      <c r="B357" s="26"/>
      <c r="D357" s="134"/>
      <c r="E357" s="26"/>
      <c r="F357" s="26"/>
      <c r="G357" s="26"/>
      <c r="H357" s="26"/>
      <c r="I357" s="26"/>
      <c r="J357" s="134" t="str">
        <f t="shared" si="6"/>
        <v/>
      </c>
    </row>
    <row r="358" spans="1:10" x14ac:dyDescent="0.2">
      <c r="A358" s="26"/>
      <c r="B358" s="26"/>
      <c r="D358" s="134"/>
      <c r="E358" s="26"/>
      <c r="F358" s="26"/>
      <c r="G358" s="26"/>
      <c r="H358" s="26"/>
      <c r="I358" s="26"/>
      <c r="J358" s="134" t="str">
        <f t="shared" si="6"/>
        <v/>
      </c>
    </row>
    <row r="359" spans="1:10" x14ac:dyDescent="0.2">
      <c r="A359" s="26"/>
      <c r="B359" s="26"/>
      <c r="D359" s="134"/>
      <c r="E359" s="26"/>
      <c r="F359" s="26"/>
      <c r="G359" s="26"/>
      <c r="H359" s="26"/>
      <c r="I359" s="26"/>
      <c r="J359" s="134" t="str">
        <f t="shared" si="6"/>
        <v/>
      </c>
    </row>
    <row r="360" spans="1:10" x14ac:dyDescent="0.2">
      <c r="A360" s="26"/>
      <c r="B360" s="26"/>
      <c r="D360" s="134"/>
      <c r="E360" s="26"/>
      <c r="F360" s="26"/>
      <c r="G360" s="26"/>
      <c r="H360" s="26"/>
      <c r="I360" s="26"/>
      <c r="J360" s="134" t="str">
        <f t="shared" si="6"/>
        <v/>
      </c>
    </row>
    <row r="361" spans="1:10" x14ac:dyDescent="0.2">
      <c r="A361" s="26"/>
      <c r="B361" s="26"/>
      <c r="D361" s="134"/>
      <c r="E361" s="26"/>
      <c r="F361" s="26"/>
      <c r="G361" s="26"/>
      <c r="H361" s="26"/>
      <c r="I361" s="26"/>
      <c r="J361" s="134" t="str">
        <f t="shared" si="6"/>
        <v/>
      </c>
    </row>
    <row r="362" spans="1:10" x14ac:dyDescent="0.2">
      <c r="A362" s="26"/>
      <c r="B362" s="26"/>
      <c r="D362" s="134"/>
      <c r="E362" s="26"/>
      <c r="F362" s="26"/>
      <c r="G362" s="26"/>
      <c r="H362" s="26"/>
      <c r="I362" s="26"/>
      <c r="J362" s="134" t="str">
        <f t="shared" si="6"/>
        <v/>
      </c>
    </row>
    <row r="363" spans="1:10" x14ac:dyDescent="0.2">
      <c r="A363" s="26"/>
      <c r="B363" s="26"/>
      <c r="D363" s="134"/>
      <c r="E363" s="26"/>
      <c r="F363" s="26"/>
      <c r="G363" s="26"/>
      <c r="H363" s="26"/>
      <c r="I363" s="26"/>
      <c r="J363" s="134" t="str">
        <f t="shared" si="6"/>
        <v/>
      </c>
    </row>
    <row r="364" spans="1:10" x14ac:dyDescent="0.2">
      <c r="A364" s="26"/>
      <c r="B364" s="26"/>
      <c r="D364" s="134"/>
      <c r="E364" s="26"/>
      <c r="F364" s="26"/>
      <c r="G364" s="26"/>
      <c r="H364" s="26"/>
      <c r="I364" s="26"/>
      <c r="J364" s="134" t="str">
        <f t="shared" si="6"/>
        <v/>
      </c>
    </row>
    <row r="365" spans="1:10" x14ac:dyDescent="0.2">
      <c r="A365" s="26"/>
      <c r="B365" s="26"/>
      <c r="D365" s="134"/>
      <c r="E365" s="26"/>
      <c r="F365" s="26"/>
      <c r="G365" s="26"/>
      <c r="H365" s="26"/>
      <c r="I365" s="26"/>
      <c r="J365" s="134" t="str">
        <f t="shared" si="6"/>
        <v/>
      </c>
    </row>
    <row r="366" spans="1:10" x14ac:dyDescent="0.2">
      <c r="A366" s="26"/>
      <c r="B366" s="26"/>
      <c r="D366" s="134"/>
      <c r="E366" s="26"/>
      <c r="F366" s="26"/>
      <c r="G366" s="26"/>
      <c r="H366" s="26"/>
      <c r="I366" s="26"/>
      <c r="J366" s="134" t="str">
        <f t="shared" si="6"/>
        <v/>
      </c>
    </row>
    <row r="367" spans="1:10" x14ac:dyDescent="0.2">
      <c r="A367" s="26"/>
      <c r="B367" s="26"/>
      <c r="D367" s="134"/>
      <c r="E367" s="26"/>
      <c r="F367" s="26"/>
      <c r="G367" s="26"/>
      <c r="H367" s="26"/>
      <c r="I367" s="26"/>
      <c r="J367" s="134" t="str">
        <f t="shared" si="6"/>
        <v/>
      </c>
    </row>
    <row r="368" spans="1:10" x14ac:dyDescent="0.2">
      <c r="A368" s="26"/>
      <c r="B368" s="26"/>
      <c r="D368" s="134"/>
      <c r="E368" s="26"/>
      <c r="F368" s="26"/>
      <c r="G368" s="26"/>
      <c r="H368" s="26"/>
      <c r="I368" s="26"/>
      <c r="J368" s="134" t="str">
        <f t="shared" si="6"/>
        <v/>
      </c>
    </row>
    <row r="369" spans="1:10" x14ac:dyDescent="0.2">
      <c r="A369" s="26"/>
      <c r="B369" s="26"/>
      <c r="D369" s="134"/>
      <c r="E369" s="26"/>
      <c r="F369" s="26"/>
      <c r="G369" s="26"/>
      <c r="H369" s="26"/>
      <c r="I369" s="26"/>
      <c r="J369" s="134" t="str">
        <f t="shared" si="6"/>
        <v/>
      </c>
    </row>
    <row r="370" spans="1:10" x14ac:dyDescent="0.2">
      <c r="A370" s="26"/>
      <c r="B370" s="26"/>
      <c r="D370" s="134"/>
      <c r="E370" s="26"/>
      <c r="F370" s="26"/>
      <c r="G370" s="26"/>
      <c r="H370" s="26"/>
      <c r="I370" s="26"/>
      <c r="J370" s="134" t="str">
        <f t="shared" si="6"/>
        <v/>
      </c>
    </row>
    <row r="371" spans="1:10" x14ac:dyDescent="0.2">
      <c r="A371" s="26"/>
      <c r="B371" s="26"/>
      <c r="D371" s="134"/>
      <c r="E371" s="26"/>
      <c r="F371" s="26"/>
      <c r="G371" s="26"/>
      <c r="H371" s="26"/>
      <c r="I371" s="26"/>
      <c r="J371" s="134" t="str">
        <f t="shared" si="6"/>
        <v/>
      </c>
    </row>
    <row r="372" spans="1:10" x14ac:dyDescent="0.2">
      <c r="A372" s="26"/>
      <c r="B372" s="26"/>
      <c r="D372" s="134"/>
      <c r="E372" s="26"/>
      <c r="F372" s="26"/>
      <c r="G372" s="26"/>
      <c r="H372" s="26"/>
      <c r="I372" s="26"/>
      <c r="J372" s="134" t="str">
        <f t="shared" si="6"/>
        <v/>
      </c>
    </row>
    <row r="373" spans="1:10" x14ac:dyDescent="0.2">
      <c r="A373" s="26"/>
      <c r="B373" s="26"/>
      <c r="D373" s="134"/>
      <c r="E373" s="26"/>
      <c r="F373" s="26"/>
      <c r="G373" s="26"/>
      <c r="H373" s="26"/>
      <c r="I373" s="26"/>
      <c r="J373" s="134" t="str">
        <f t="shared" si="6"/>
        <v/>
      </c>
    </row>
    <row r="374" spans="1:10" x14ac:dyDescent="0.2">
      <c r="A374" s="26"/>
      <c r="B374" s="26"/>
      <c r="D374" s="134"/>
      <c r="E374" s="26"/>
      <c r="F374" s="26"/>
      <c r="G374" s="26"/>
      <c r="H374" s="26"/>
      <c r="I374" s="26"/>
      <c r="J374" s="134" t="str">
        <f t="shared" si="6"/>
        <v/>
      </c>
    </row>
    <row r="375" spans="1:10" x14ac:dyDescent="0.2">
      <c r="A375" s="26"/>
      <c r="B375" s="26"/>
      <c r="D375" s="134"/>
      <c r="E375" s="26"/>
      <c r="F375" s="26"/>
      <c r="G375" s="26"/>
      <c r="H375" s="26"/>
      <c r="I375" s="26"/>
      <c r="J375" s="134" t="str">
        <f t="shared" si="6"/>
        <v/>
      </c>
    </row>
    <row r="376" spans="1:10" x14ac:dyDescent="0.2">
      <c r="A376" s="26"/>
      <c r="B376" s="26"/>
      <c r="D376" s="134"/>
      <c r="E376" s="26"/>
      <c r="F376" s="26"/>
      <c r="G376" s="26"/>
      <c r="H376" s="26"/>
      <c r="I376" s="26"/>
      <c r="J376" s="134" t="str">
        <f t="shared" si="6"/>
        <v/>
      </c>
    </row>
    <row r="377" spans="1:10" x14ac:dyDescent="0.2">
      <c r="A377" s="26"/>
      <c r="B377" s="26"/>
      <c r="D377" s="134"/>
      <c r="E377" s="26"/>
      <c r="F377" s="26"/>
      <c r="G377" s="26"/>
      <c r="H377" s="26"/>
      <c r="I377" s="26"/>
      <c r="J377" s="134" t="str">
        <f t="shared" si="6"/>
        <v/>
      </c>
    </row>
    <row r="378" spans="1:10" x14ac:dyDescent="0.2">
      <c r="A378" s="26"/>
      <c r="B378" s="26"/>
      <c r="D378" s="134"/>
      <c r="E378" s="26"/>
      <c r="F378" s="26"/>
      <c r="G378" s="26"/>
      <c r="H378" s="26"/>
      <c r="I378" s="26"/>
      <c r="J378" s="134" t="str">
        <f t="shared" si="6"/>
        <v/>
      </c>
    </row>
    <row r="379" spans="1:10" x14ac:dyDescent="0.2">
      <c r="A379" s="26"/>
      <c r="B379" s="26"/>
      <c r="D379" s="134"/>
      <c r="E379" s="26"/>
      <c r="F379" s="26"/>
      <c r="G379" s="26"/>
      <c r="H379" s="26"/>
      <c r="I379" s="26"/>
      <c r="J379" s="134" t="str">
        <f t="shared" si="6"/>
        <v/>
      </c>
    </row>
    <row r="380" spans="1:10" x14ac:dyDescent="0.2">
      <c r="A380" s="26"/>
      <c r="B380" s="26"/>
      <c r="D380" s="134"/>
      <c r="E380" s="26"/>
      <c r="F380" s="26"/>
      <c r="G380" s="26"/>
      <c r="H380" s="26"/>
      <c r="I380" s="26"/>
      <c r="J380" s="134" t="str">
        <f t="shared" si="6"/>
        <v/>
      </c>
    </row>
    <row r="381" spans="1:10" x14ac:dyDescent="0.2">
      <c r="A381" s="26"/>
      <c r="B381" s="26"/>
      <c r="D381" s="134"/>
      <c r="E381" s="26"/>
      <c r="F381" s="26"/>
      <c r="G381" s="26"/>
      <c r="H381" s="26"/>
      <c r="I381" s="26"/>
      <c r="J381" s="134" t="str">
        <f t="shared" si="6"/>
        <v/>
      </c>
    </row>
    <row r="382" spans="1:10" x14ac:dyDescent="0.2">
      <c r="A382" s="26"/>
      <c r="B382" s="26"/>
      <c r="D382" s="134"/>
      <c r="E382" s="26"/>
      <c r="F382" s="26"/>
      <c r="G382" s="26"/>
      <c r="H382" s="26"/>
      <c r="I382" s="26"/>
      <c r="J382" s="134" t="str">
        <f t="shared" si="6"/>
        <v/>
      </c>
    </row>
    <row r="383" spans="1:10" x14ac:dyDescent="0.2">
      <c r="A383" s="26"/>
      <c r="B383" s="26"/>
      <c r="D383" s="134"/>
      <c r="E383" s="26"/>
      <c r="F383" s="26"/>
      <c r="G383" s="26"/>
      <c r="H383" s="26"/>
      <c r="I383" s="26"/>
      <c r="J383" s="134" t="str">
        <f t="shared" si="6"/>
        <v/>
      </c>
    </row>
    <row r="384" spans="1:10" x14ac:dyDescent="0.2">
      <c r="A384" s="26"/>
      <c r="B384" s="26"/>
      <c r="D384" s="134"/>
      <c r="E384" s="26"/>
      <c r="F384" s="26"/>
      <c r="G384" s="26"/>
      <c r="H384" s="26"/>
      <c r="I384" s="26"/>
      <c r="J384" s="134" t="str">
        <f t="shared" si="6"/>
        <v/>
      </c>
    </row>
    <row r="385" spans="1:10" x14ac:dyDescent="0.2">
      <c r="A385" s="26"/>
      <c r="B385" s="26"/>
      <c r="D385" s="134"/>
      <c r="E385" s="26"/>
      <c r="F385" s="26"/>
      <c r="G385" s="26"/>
      <c r="H385" s="26"/>
      <c r="I385" s="26"/>
      <c r="J385" s="134" t="str">
        <f t="shared" ref="J385:J412" si="7">IF( OR( ISBLANK(E385),ISBLANK(F385), ISBLANK(G385), ISBLANK(H385), ISBLANK(I385) ), "", 1.5*SQRT(   EXP(2.21*(E385-1)) + EXP(2.21*(F385-1)) + EXP(2.21*(G385-1)) + EXP(2.21*(H385-1)) + EXP(2.21*I385)   )/100*2.45 )</f>
        <v/>
      </c>
    </row>
    <row r="386" spans="1:10" x14ac:dyDescent="0.2">
      <c r="A386" s="26"/>
      <c r="B386" s="26"/>
      <c r="D386" s="134"/>
      <c r="E386" s="26"/>
      <c r="F386" s="26"/>
      <c r="G386" s="26"/>
      <c r="H386" s="26"/>
      <c r="I386" s="26"/>
      <c r="J386" s="134" t="str">
        <f t="shared" si="7"/>
        <v/>
      </c>
    </row>
    <row r="387" spans="1:10" x14ac:dyDescent="0.2">
      <c r="A387" s="26"/>
      <c r="B387" s="26"/>
      <c r="D387" s="134"/>
      <c r="E387" s="26"/>
      <c r="F387" s="26"/>
      <c r="G387" s="26"/>
      <c r="H387" s="26"/>
      <c r="I387" s="26"/>
      <c r="J387" s="134" t="str">
        <f t="shared" si="7"/>
        <v/>
      </c>
    </row>
    <row r="388" spans="1:10" x14ac:dyDescent="0.2">
      <c r="A388" s="26"/>
      <c r="B388" s="26"/>
      <c r="D388" s="134"/>
      <c r="E388" s="26"/>
      <c r="F388" s="26"/>
      <c r="G388" s="26"/>
      <c r="H388" s="26"/>
      <c r="I388" s="26"/>
      <c r="J388" s="134" t="str">
        <f t="shared" si="7"/>
        <v/>
      </c>
    </row>
    <row r="389" spans="1:10" x14ac:dyDescent="0.2">
      <c r="A389" s="26"/>
      <c r="B389" s="26"/>
      <c r="D389" s="134"/>
      <c r="E389" s="26"/>
      <c r="F389" s="26"/>
      <c r="G389" s="26"/>
      <c r="H389" s="26"/>
      <c r="I389" s="26"/>
      <c r="J389" s="134" t="str">
        <f t="shared" si="7"/>
        <v/>
      </c>
    </row>
    <row r="390" spans="1:10" x14ac:dyDescent="0.2">
      <c r="A390" s="26"/>
      <c r="B390" s="26"/>
      <c r="D390" s="134"/>
      <c r="E390" s="26"/>
      <c r="F390" s="26"/>
      <c r="G390" s="26"/>
      <c r="H390" s="26"/>
      <c r="I390" s="26"/>
      <c r="J390" s="134" t="str">
        <f t="shared" si="7"/>
        <v/>
      </c>
    </row>
    <row r="391" spans="1:10" x14ac:dyDescent="0.2">
      <c r="A391" s="26"/>
      <c r="B391" s="26"/>
      <c r="D391" s="134"/>
      <c r="E391" s="26"/>
      <c r="F391" s="26"/>
      <c r="G391" s="26"/>
      <c r="H391" s="26"/>
      <c r="I391" s="26"/>
      <c r="J391" s="134" t="str">
        <f t="shared" si="7"/>
        <v/>
      </c>
    </row>
    <row r="392" spans="1:10" x14ac:dyDescent="0.2">
      <c r="A392" s="26"/>
      <c r="B392" s="26"/>
      <c r="D392" s="134"/>
      <c r="E392" s="26"/>
      <c r="F392" s="26"/>
      <c r="G392" s="26"/>
      <c r="H392" s="26"/>
      <c r="I392" s="26"/>
      <c r="J392" s="134" t="str">
        <f t="shared" si="7"/>
        <v/>
      </c>
    </row>
    <row r="393" spans="1:10" x14ac:dyDescent="0.2">
      <c r="A393" s="26"/>
      <c r="B393" s="26"/>
      <c r="D393" s="134"/>
      <c r="E393" s="26"/>
      <c r="F393" s="26"/>
      <c r="G393" s="26"/>
      <c r="H393" s="26"/>
      <c r="I393" s="26"/>
      <c r="J393" s="134" t="str">
        <f t="shared" si="7"/>
        <v/>
      </c>
    </row>
    <row r="394" spans="1:10" x14ac:dyDescent="0.2">
      <c r="A394" s="26"/>
      <c r="B394" s="26"/>
      <c r="D394" s="134"/>
      <c r="E394" s="26"/>
      <c r="F394" s="26"/>
      <c r="G394" s="26"/>
      <c r="H394" s="26"/>
      <c r="I394" s="26"/>
      <c r="J394" s="134" t="str">
        <f t="shared" si="7"/>
        <v/>
      </c>
    </row>
    <row r="395" spans="1:10" x14ac:dyDescent="0.2">
      <c r="A395" s="26"/>
      <c r="B395" s="26"/>
      <c r="D395" s="134"/>
      <c r="E395" s="26"/>
      <c r="F395" s="26"/>
      <c r="G395" s="26"/>
      <c r="H395" s="26"/>
      <c r="I395" s="26"/>
      <c r="J395" s="134" t="str">
        <f t="shared" si="7"/>
        <v/>
      </c>
    </row>
    <row r="396" spans="1:10" x14ac:dyDescent="0.2">
      <c r="A396" s="26"/>
      <c r="B396" s="26"/>
      <c r="D396" s="134"/>
      <c r="E396" s="26"/>
      <c r="F396" s="26"/>
      <c r="G396" s="26"/>
      <c r="H396" s="26"/>
      <c r="I396" s="26"/>
      <c r="J396" s="134" t="str">
        <f t="shared" si="7"/>
        <v/>
      </c>
    </row>
    <row r="397" spans="1:10" x14ac:dyDescent="0.2">
      <c r="A397" s="26"/>
      <c r="B397" s="26"/>
      <c r="D397" s="134"/>
      <c r="E397" s="26"/>
      <c r="F397" s="26"/>
      <c r="G397" s="26"/>
      <c r="H397" s="26"/>
      <c r="I397" s="26"/>
      <c r="J397" s="134" t="str">
        <f t="shared" si="7"/>
        <v/>
      </c>
    </row>
    <row r="398" spans="1:10" x14ac:dyDescent="0.2">
      <c r="A398" s="26"/>
      <c r="B398" s="26"/>
      <c r="D398" s="134"/>
      <c r="E398" s="26"/>
      <c r="F398" s="26"/>
      <c r="G398" s="26"/>
      <c r="H398" s="26"/>
      <c r="I398" s="26"/>
      <c r="J398" s="134" t="str">
        <f t="shared" si="7"/>
        <v/>
      </c>
    </row>
    <row r="399" spans="1:10" x14ac:dyDescent="0.2">
      <c r="A399" s="26"/>
      <c r="B399" s="26"/>
      <c r="D399" s="134"/>
      <c r="E399" s="26"/>
      <c r="F399" s="26"/>
      <c r="G399" s="26"/>
      <c r="H399" s="26"/>
      <c r="I399" s="26"/>
      <c r="J399" s="134" t="str">
        <f t="shared" si="7"/>
        <v/>
      </c>
    </row>
    <row r="400" spans="1:10" x14ac:dyDescent="0.2">
      <c r="A400" s="26"/>
      <c r="B400" s="26"/>
      <c r="D400" s="134"/>
      <c r="E400" s="26"/>
      <c r="F400" s="26"/>
      <c r="G400" s="26"/>
      <c r="H400" s="26"/>
      <c r="I400" s="26"/>
      <c r="J400" s="134" t="str">
        <f t="shared" si="7"/>
        <v/>
      </c>
    </row>
    <row r="401" spans="1:10" x14ac:dyDescent="0.2">
      <c r="A401" s="26"/>
      <c r="B401" s="26"/>
      <c r="D401" s="134"/>
      <c r="E401" s="26"/>
      <c r="F401" s="26"/>
      <c r="G401" s="26"/>
      <c r="H401" s="26"/>
      <c r="I401" s="26"/>
      <c r="J401" s="134" t="str">
        <f t="shared" si="7"/>
        <v/>
      </c>
    </row>
    <row r="402" spans="1:10" x14ac:dyDescent="0.2">
      <c r="A402" s="26"/>
      <c r="B402" s="26"/>
      <c r="D402" s="134"/>
      <c r="E402" s="26"/>
      <c r="F402" s="26"/>
      <c r="G402" s="26"/>
      <c r="H402" s="26"/>
      <c r="I402" s="26"/>
      <c r="J402" s="134" t="str">
        <f t="shared" si="7"/>
        <v/>
      </c>
    </row>
    <row r="403" spans="1:10" x14ac:dyDescent="0.2">
      <c r="A403" s="26"/>
      <c r="B403" s="26"/>
      <c r="D403" s="134"/>
      <c r="E403" s="26"/>
      <c r="F403" s="26"/>
      <c r="G403" s="26"/>
      <c r="H403" s="26"/>
      <c r="I403" s="26"/>
      <c r="J403" s="134" t="str">
        <f t="shared" si="7"/>
        <v/>
      </c>
    </row>
    <row r="404" spans="1:10" x14ac:dyDescent="0.2">
      <c r="A404" s="26"/>
      <c r="B404" s="26"/>
      <c r="D404" s="134"/>
      <c r="E404" s="26"/>
      <c r="F404" s="26"/>
      <c r="G404" s="26"/>
      <c r="H404" s="26"/>
      <c r="I404" s="26"/>
      <c r="J404" s="134" t="str">
        <f t="shared" si="7"/>
        <v/>
      </c>
    </row>
    <row r="405" spans="1:10" x14ac:dyDescent="0.2">
      <c r="A405" s="26"/>
      <c r="B405" s="26"/>
      <c r="D405" s="134"/>
      <c r="E405" s="26"/>
      <c r="F405" s="26"/>
      <c r="G405" s="26"/>
      <c r="H405" s="26"/>
      <c r="I405" s="26"/>
      <c r="J405" s="134" t="str">
        <f t="shared" si="7"/>
        <v/>
      </c>
    </row>
    <row r="406" spans="1:10" x14ac:dyDescent="0.2">
      <c r="A406" s="26"/>
      <c r="B406" s="26"/>
      <c r="D406" s="134"/>
      <c r="E406" s="26"/>
      <c r="F406" s="26"/>
      <c r="G406" s="26"/>
      <c r="H406" s="26"/>
      <c r="I406" s="26"/>
      <c r="J406" s="134" t="str">
        <f t="shared" si="7"/>
        <v/>
      </c>
    </row>
    <row r="407" spans="1:10" x14ac:dyDescent="0.2">
      <c r="A407" s="26"/>
      <c r="B407" s="26"/>
      <c r="D407" s="134"/>
      <c r="E407" s="26"/>
      <c r="F407" s="26"/>
      <c r="G407" s="26"/>
      <c r="H407" s="26"/>
      <c r="I407" s="26"/>
      <c r="J407" s="134" t="str">
        <f t="shared" si="7"/>
        <v/>
      </c>
    </row>
    <row r="408" spans="1:10" x14ac:dyDescent="0.2">
      <c r="A408" s="26"/>
      <c r="B408" s="26"/>
      <c r="D408" s="134"/>
      <c r="E408" s="26"/>
      <c r="F408" s="26"/>
      <c r="G408" s="26"/>
      <c r="H408" s="26"/>
      <c r="I408" s="26"/>
      <c r="J408" s="134" t="str">
        <f t="shared" si="7"/>
        <v/>
      </c>
    </row>
    <row r="409" spans="1:10" x14ac:dyDescent="0.2">
      <c r="A409" s="26"/>
      <c r="B409" s="26"/>
      <c r="D409" s="134"/>
      <c r="E409" s="26"/>
      <c r="F409" s="26"/>
      <c r="G409" s="26"/>
      <c r="H409" s="26"/>
      <c r="I409" s="26"/>
      <c r="J409" s="134" t="str">
        <f t="shared" si="7"/>
        <v/>
      </c>
    </row>
    <row r="410" spans="1:10" x14ac:dyDescent="0.2">
      <c r="A410" s="26"/>
      <c r="B410" s="26"/>
      <c r="D410" s="134"/>
      <c r="E410" s="26"/>
      <c r="F410" s="26"/>
      <c r="G410" s="26"/>
      <c r="H410" s="26"/>
      <c r="I410" s="26"/>
      <c r="J410" s="134" t="str">
        <f t="shared" si="7"/>
        <v/>
      </c>
    </row>
    <row r="411" spans="1:10" x14ac:dyDescent="0.2">
      <c r="A411" s="26"/>
      <c r="B411" s="26"/>
      <c r="D411" s="134"/>
      <c r="E411" s="26"/>
      <c r="F411" s="26"/>
      <c r="G411" s="26"/>
      <c r="H411" s="26"/>
      <c r="I411" s="26"/>
      <c r="J411" s="134" t="str">
        <f t="shared" si="7"/>
        <v/>
      </c>
    </row>
    <row r="412" spans="1:10" x14ac:dyDescent="0.2">
      <c r="A412" s="26"/>
      <c r="B412" s="26"/>
      <c r="D412" s="134"/>
      <c r="E412" s="26"/>
      <c r="F412" s="26"/>
      <c r="G412" s="26"/>
      <c r="H412" s="26"/>
      <c r="I412" s="26"/>
      <c r="J412" s="134" t="str">
        <f t="shared" si="7"/>
        <v/>
      </c>
    </row>
  </sheetData>
  <conditionalFormatting sqref="C5:C13">
    <cfRule type="dataBar" priority="1">
      <dataBar>
        <cfvo type="min"/>
        <cfvo type="max"/>
        <color rgb="FF63C384"/>
      </dataBar>
      <extLst>
        <ext xmlns:x14="http://schemas.microsoft.com/office/spreadsheetml/2009/9/main" uri="{B025F937-C7B1-47D3-B67F-A62EFF666E3E}">
          <x14:id>{C23B6A3C-4FF7-4FC8-ABBB-6A30C2A0EFA5}</x14:id>
        </ext>
      </extLst>
    </cfRule>
  </conditionalFormatting>
  <conditionalFormatting sqref="E2:I95">
    <cfRule type="dataBar" priority="1033">
      <dataBar>
        <cfvo type="min"/>
        <cfvo type="max"/>
        <color rgb="FFFFB628"/>
      </dataBar>
      <extLst>
        <ext xmlns:x14="http://schemas.microsoft.com/office/spreadsheetml/2009/9/main" uri="{B025F937-C7B1-47D3-B67F-A62EFF666E3E}">
          <x14:id>{A68691A8-C0EC-410E-B924-410C039B7787}</x14:id>
        </ext>
      </extLst>
    </cfRule>
  </conditionalFormatting>
  <conditionalFormatting sqref="J2:J95">
    <cfRule type="dataBar" priority="1035">
      <dataBar>
        <cfvo type="min"/>
        <cfvo type="max"/>
        <color rgb="FF3FCDFF"/>
      </dataBar>
      <extLst>
        <ext xmlns:x14="http://schemas.microsoft.com/office/spreadsheetml/2009/9/main" uri="{B025F937-C7B1-47D3-B67F-A62EFF666E3E}">
          <x14:id>{BB30583D-43A7-45DF-93BA-9A059F5BA081}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23B6A3C-4FF7-4FC8-ABBB-6A30C2A0EFA5}">
            <x14:dataBar minLength="0" maxLength="100" border="1" negativeBarBorderColorSameAsPositive="0">
              <x14:cfvo type="autoMin"/>
              <x14:cfvo type="autoMax"/>
              <x14:borderColor rgb="FF63C384"/>
              <x14:negativeFillColor rgb="FFFF0000"/>
              <x14:negativeBorderColor rgb="FFFF0000"/>
              <x14:axisColor rgb="FF000000"/>
            </x14:dataBar>
          </x14:cfRule>
          <xm:sqref>C5:C13</xm:sqref>
        </x14:conditionalFormatting>
        <x14:conditionalFormatting xmlns:xm="http://schemas.microsoft.com/office/excel/2006/main">
          <x14:cfRule type="dataBar" id="{A68691A8-C0EC-410E-B924-410C039B7787}">
            <x14:dataBar minLength="0" maxLength="100" gradient="0">
              <x14:cfvo type="autoMin"/>
              <x14:cfvo type="autoMax"/>
              <x14:negativeFillColor rgb="FFFF0000"/>
              <x14:axisColor rgb="FF000000"/>
            </x14:dataBar>
          </x14:cfRule>
          <xm:sqref>E2:I95</xm:sqref>
        </x14:conditionalFormatting>
        <x14:conditionalFormatting xmlns:xm="http://schemas.microsoft.com/office/excel/2006/main">
          <x14:cfRule type="dataBar" id="{BB30583D-43A7-45DF-93BA-9A059F5BA081}">
            <x14:dataBar minLength="0" maxLength="100" gradient="0">
              <x14:cfvo type="autoMin"/>
              <x14:cfvo type="autoMax"/>
              <x14:negativeFillColor rgb="FFFF0000"/>
              <x14:axisColor rgb="FF000000"/>
            </x14:dataBar>
          </x14:cfRule>
          <xm:sqref>J2:J95</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M51"/>
  <sheetViews>
    <sheetView zoomScale="125" zoomScaleNormal="130" workbookViewId="0">
      <pane ySplit="1" topLeftCell="A2" activePane="bottomLeft" state="frozen"/>
      <selection pane="bottomLeft" activeCell="I22" sqref="I22"/>
    </sheetView>
  </sheetViews>
  <sheetFormatPr baseColWidth="10" defaultColWidth="9.1640625" defaultRowHeight="15" x14ac:dyDescent="0.2"/>
  <cols>
    <col min="1" max="1" width="22" style="135" customWidth="1"/>
    <col min="2" max="2" width="28.6640625" style="103" customWidth="1"/>
    <col min="3" max="4" width="7.83203125" style="27" customWidth="1"/>
    <col min="5" max="5" width="18.5" style="223" customWidth="1"/>
    <col min="6" max="6" width="1.5" style="136" customWidth="1"/>
    <col min="7" max="10" width="6.1640625" style="27" customWidth="1"/>
    <col min="11" max="11" width="6.1640625" style="134" customWidth="1"/>
    <col min="12" max="12" width="7" style="136" customWidth="1"/>
    <col min="13" max="13" width="39.6640625" style="158" bestFit="1" customWidth="1"/>
    <col min="14" max="16384" width="9.1640625" style="26"/>
  </cols>
  <sheetData>
    <row r="1" spans="1:13" s="214" customFormat="1" ht="16" x14ac:dyDescent="0.2">
      <c r="A1" s="260" t="s">
        <v>473</v>
      </c>
      <c r="B1" s="259" t="s">
        <v>472</v>
      </c>
      <c r="C1" s="258" t="s">
        <v>58</v>
      </c>
      <c r="D1" s="258" t="s">
        <v>471</v>
      </c>
      <c r="E1" s="257" t="s">
        <v>57</v>
      </c>
      <c r="F1" s="164"/>
      <c r="G1" s="256" t="s">
        <v>64</v>
      </c>
      <c r="H1" s="256" t="s">
        <v>60</v>
      </c>
      <c r="I1" s="256" t="s">
        <v>61</v>
      </c>
      <c r="J1" s="256" t="s">
        <v>62</v>
      </c>
      <c r="K1" s="255" t="s">
        <v>63</v>
      </c>
      <c r="L1" s="254" t="s">
        <v>116</v>
      </c>
      <c r="M1" s="215" t="s">
        <v>68</v>
      </c>
    </row>
    <row r="2" spans="1:13" s="137" customFormat="1" x14ac:dyDescent="0.2">
      <c r="A2" s="231" t="s">
        <v>517</v>
      </c>
      <c r="B2" s="138" t="s">
        <v>516</v>
      </c>
      <c r="C2" s="137" t="s">
        <v>65</v>
      </c>
      <c r="D2" s="137">
        <f>8.19*1000000</f>
        <v>8189999.9999999991</v>
      </c>
      <c r="E2" s="230" t="s">
        <v>515</v>
      </c>
      <c r="F2" s="140" t="s">
        <v>78</v>
      </c>
      <c r="G2" s="189">
        <v>1</v>
      </c>
      <c r="H2" s="189">
        <v>1</v>
      </c>
      <c r="I2" s="189">
        <v>1</v>
      </c>
      <c r="J2" s="189">
        <v>1</v>
      </c>
      <c r="K2" s="253">
        <v>2</v>
      </c>
      <c r="L2" s="241">
        <f t="shared" ref="L2:L16" si="0">IF( OR( ISBLANK(G2),ISBLANK(H2), ISBLANK(I2), ISBLANK(J2), ISBLANK(K2) ), "", 1.5*SQRT(   EXP(2.21*(G2-1)) + EXP(2.21*(H2-1)) + EXP(2.21*(I2-1)) + EXP(2.21*(J2-1)) + EXP(2.21*K2)   )/100*2.45 )</f>
        <v>0.34297081055722239</v>
      </c>
      <c r="M2" s="138" t="s">
        <v>514</v>
      </c>
    </row>
    <row r="3" spans="1:13" s="27" customFormat="1" x14ac:dyDescent="0.2">
      <c r="A3" s="135" t="s">
        <v>513</v>
      </c>
      <c r="B3" s="103" t="s">
        <v>512</v>
      </c>
      <c r="C3" s="27" t="s">
        <v>65</v>
      </c>
      <c r="D3" s="27">
        <f>D2/2.2</f>
        <v>3722727.272727272</v>
      </c>
      <c r="E3" s="223" t="s">
        <v>511</v>
      </c>
      <c r="F3" s="136" t="s">
        <v>78</v>
      </c>
      <c r="G3" s="188">
        <v>1</v>
      </c>
      <c r="H3" s="188">
        <v>1</v>
      </c>
      <c r="I3" s="188">
        <v>1</v>
      </c>
      <c r="J3" s="188">
        <v>1</v>
      </c>
      <c r="K3" s="252">
        <v>2</v>
      </c>
      <c r="L3" s="243">
        <f t="shared" si="0"/>
        <v>0.34297081055722239</v>
      </c>
      <c r="M3" s="103"/>
    </row>
    <row r="4" spans="1:13" s="137" customFormat="1" x14ac:dyDescent="0.2">
      <c r="A4" s="231" t="s">
        <v>510</v>
      </c>
      <c r="B4" s="138" t="s">
        <v>509</v>
      </c>
      <c r="C4" s="137" t="s">
        <v>65</v>
      </c>
      <c r="D4" s="128">
        <f>0.51*0.579</f>
        <v>0.29529</v>
      </c>
      <c r="E4" s="230" t="s">
        <v>508</v>
      </c>
      <c r="F4" s="140" t="s">
        <v>78</v>
      </c>
      <c r="G4" s="189">
        <v>1</v>
      </c>
      <c r="H4" s="189">
        <v>1</v>
      </c>
      <c r="I4" s="189">
        <v>1</v>
      </c>
      <c r="J4" s="189">
        <v>1</v>
      </c>
      <c r="K4" s="189">
        <v>2</v>
      </c>
      <c r="L4" s="241">
        <f t="shared" si="0"/>
        <v>0.34297081055722239</v>
      </c>
      <c r="M4" s="138"/>
    </row>
    <row r="5" spans="1:13" s="28" customFormat="1" x14ac:dyDescent="0.2">
      <c r="A5" s="239" t="s">
        <v>507</v>
      </c>
      <c r="B5" s="152" t="s">
        <v>506</v>
      </c>
      <c r="C5" s="28" t="s">
        <v>65</v>
      </c>
      <c r="D5" s="28">
        <v>0.42</v>
      </c>
      <c r="E5" s="237" t="s">
        <v>503</v>
      </c>
      <c r="F5" s="155" t="s">
        <v>78</v>
      </c>
      <c r="G5" s="190">
        <v>2</v>
      </c>
      <c r="H5" s="190">
        <v>4</v>
      </c>
      <c r="I5" s="190">
        <v>1</v>
      </c>
      <c r="J5" s="190">
        <v>1</v>
      </c>
      <c r="K5" s="190">
        <v>1</v>
      </c>
      <c r="L5" s="242">
        <f t="shared" si="0"/>
        <v>1.0248662490928169</v>
      </c>
      <c r="M5" s="152"/>
    </row>
    <row r="6" spans="1:13" s="27" customFormat="1" x14ac:dyDescent="0.2">
      <c r="A6" s="135" t="s">
        <v>505</v>
      </c>
      <c r="B6" s="103" t="s">
        <v>504</v>
      </c>
      <c r="C6" s="188" t="s">
        <v>65</v>
      </c>
      <c r="D6" s="188">
        <v>0.62</v>
      </c>
      <c r="E6" s="223" t="s">
        <v>503</v>
      </c>
      <c r="F6" s="136" t="s">
        <v>78</v>
      </c>
      <c r="G6" s="188">
        <v>2</v>
      </c>
      <c r="H6" s="188">
        <v>4</v>
      </c>
      <c r="I6" s="188">
        <v>1</v>
      </c>
      <c r="J6" s="188">
        <v>1</v>
      </c>
      <c r="K6" s="188">
        <v>1</v>
      </c>
      <c r="L6" s="243">
        <f t="shared" si="0"/>
        <v>1.0248662490928169</v>
      </c>
      <c r="M6" s="103"/>
    </row>
    <row r="7" spans="1:13" s="137" customFormat="1" x14ac:dyDescent="0.2">
      <c r="A7" s="231" t="s">
        <v>502</v>
      </c>
      <c r="B7" s="138" t="s">
        <v>501</v>
      </c>
      <c r="C7" s="137" t="s">
        <v>65</v>
      </c>
      <c r="D7" s="137">
        <v>0.62</v>
      </c>
      <c r="E7" s="230" t="s">
        <v>500</v>
      </c>
      <c r="F7" s="140" t="s">
        <v>78</v>
      </c>
      <c r="G7" s="189">
        <v>2</v>
      </c>
      <c r="H7" s="189">
        <v>4</v>
      </c>
      <c r="I7" s="189">
        <v>1</v>
      </c>
      <c r="J7" s="189">
        <v>1</v>
      </c>
      <c r="K7" s="189">
        <v>1</v>
      </c>
      <c r="L7" s="241">
        <f t="shared" si="0"/>
        <v>1.0248662490928169</v>
      </c>
      <c r="M7" s="138"/>
    </row>
    <row r="8" spans="1:13" s="245" customFormat="1" x14ac:dyDescent="0.2">
      <c r="A8" s="251" t="s">
        <v>499</v>
      </c>
      <c r="B8" s="246" t="s">
        <v>498</v>
      </c>
      <c r="C8" s="248" t="s">
        <v>65</v>
      </c>
      <c r="D8" s="245">
        <f>14/40</f>
        <v>0.35</v>
      </c>
      <c r="E8" s="250" t="s">
        <v>474</v>
      </c>
      <c r="F8" s="249"/>
      <c r="G8" s="248">
        <v>2</v>
      </c>
      <c r="H8" s="248">
        <v>3</v>
      </c>
      <c r="I8" s="248">
        <v>1</v>
      </c>
      <c r="J8" s="248">
        <v>3</v>
      </c>
      <c r="K8" s="248">
        <v>3</v>
      </c>
      <c r="L8" s="247">
        <f t="shared" si="0"/>
        <v>1.123005955058592</v>
      </c>
      <c r="M8" s="246"/>
    </row>
    <row r="9" spans="1:13" x14ac:dyDescent="0.2">
      <c r="A9" s="135" t="s">
        <v>497</v>
      </c>
      <c r="B9" s="103" t="s">
        <v>496</v>
      </c>
      <c r="C9" s="188" t="s">
        <v>65</v>
      </c>
      <c r="D9" s="188">
        <v>63</v>
      </c>
      <c r="E9" s="223" t="s">
        <v>491</v>
      </c>
      <c r="F9" s="136" t="s">
        <v>78</v>
      </c>
      <c r="G9" s="188">
        <v>2</v>
      </c>
      <c r="H9" s="188">
        <v>2</v>
      </c>
      <c r="I9" s="188">
        <v>1</v>
      </c>
      <c r="J9" s="188">
        <v>1</v>
      </c>
      <c r="K9" s="188">
        <v>3</v>
      </c>
      <c r="L9" s="243">
        <f t="shared" si="0"/>
        <v>1.0248662490928169</v>
      </c>
    </row>
    <row r="10" spans="1:13" x14ac:dyDescent="0.2">
      <c r="A10" s="135" t="s">
        <v>497</v>
      </c>
      <c r="B10" s="103" t="s">
        <v>496</v>
      </c>
      <c r="C10" s="188" t="s">
        <v>65</v>
      </c>
      <c r="D10" s="188">
        <v>730</v>
      </c>
      <c r="E10" s="223" t="s">
        <v>491</v>
      </c>
      <c r="F10" s="136" t="s">
        <v>78</v>
      </c>
      <c r="G10" s="188">
        <v>2</v>
      </c>
      <c r="H10" s="188">
        <v>2</v>
      </c>
      <c r="I10" s="188">
        <v>1</v>
      </c>
      <c r="J10" s="188">
        <v>1</v>
      </c>
      <c r="K10" s="188">
        <v>3</v>
      </c>
      <c r="L10" s="243">
        <f t="shared" si="0"/>
        <v>1.0248662490928169</v>
      </c>
    </row>
    <row r="11" spans="1:13" x14ac:dyDescent="0.2">
      <c r="A11" s="135" t="s">
        <v>495</v>
      </c>
      <c r="B11" s="103" t="s">
        <v>494</v>
      </c>
      <c r="C11" s="188" t="s">
        <v>65</v>
      </c>
      <c r="D11" s="188">
        <v>63</v>
      </c>
      <c r="E11" s="223" t="s">
        <v>491</v>
      </c>
      <c r="F11" s="136" t="s">
        <v>78</v>
      </c>
      <c r="G11" s="188">
        <v>2</v>
      </c>
      <c r="H11" s="188">
        <v>2</v>
      </c>
      <c r="I11" s="188">
        <v>1</v>
      </c>
      <c r="J11" s="188">
        <v>1</v>
      </c>
      <c r="K11" s="188">
        <v>3</v>
      </c>
      <c r="L11" s="243">
        <f t="shared" si="0"/>
        <v>1.0248662490928169</v>
      </c>
    </row>
    <row r="12" spans="1:13" x14ac:dyDescent="0.2">
      <c r="A12" s="135" t="s">
        <v>495</v>
      </c>
      <c r="B12" s="103" t="s">
        <v>494</v>
      </c>
      <c r="C12" s="188" t="s">
        <v>65</v>
      </c>
      <c r="D12" s="188">
        <v>730</v>
      </c>
      <c r="E12" s="223" t="s">
        <v>491</v>
      </c>
      <c r="F12" s="136" t="s">
        <v>78</v>
      </c>
      <c r="G12" s="188">
        <v>2</v>
      </c>
      <c r="H12" s="188">
        <v>2</v>
      </c>
      <c r="I12" s="188">
        <v>1</v>
      </c>
      <c r="J12" s="188">
        <v>1</v>
      </c>
      <c r="K12" s="188">
        <v>3</v>
      </c>
      <c r="L12" s="243">
        <f t="shared" si="0"/>
        <v>1.0248662490928169</v>
      </c>
    </row>
    <row r="13" spans="1:13" x14ac:dyDescent="0.2">
      <c r="A13" s="135" t="s">
        <v>493</v>
      </c>
      <c r="B13" s="103" t="s">
        <v>492</v>
      </c>
      <c r="C13" s="188" t="s">
        <v>65</v>
      </c>
      <c r="D13" s="188">
        <v>69</v>
      </c>
      <c r="E13" s="223" t="s">
        <v>491</v>
      </c>
      <c r="F13" s="136" t="s">
        <v>78</v>
      </c>
      <c r="G13" s="244">
        <v>2</v>
      </c>
      <c r="H13" s="188">
        <v>2</v>
      </c>
      <c r="I13" s="188">
        <v>1</v>
      </c>
      <c r="J13" s="188">
        <v>1</v>
      </c>
      <c r="K13" s="188">
        <v>3</v>
      </c>
      <c r="L13" s="243">
        <f t="shared" si="0"/>
        <v>1.0248662490928169</v>
      </c>
    </row>
    <row r="14" spans="1:13" x14ac:dyDescent="0.2">
      <c r="A14" s="135" t="s">
        <v>490</v>
      </c>
      <c r="B14" s="103" t="s">
        <v>489</v>
      </c>
      <c r="C14" s="27" t="s">
        <v>65</v>
      </c>
      <c r="D14" s="27">
        <v>81</v>
      </c>
      <c r="E14" s="223" t="s">
        <v>488</v>
      </c>
      <c r="F14" s="136" t="s">
        <v>78</v>
      </c>
      <c r="G14" s="244">
        <v>2</v>
      </c>
      <c r="H14" s="188">
        <v>2</v>
      </c>
      <c r="I14" s="188">
        <v>1</v>
      </c>
      <c r="J14" s="188">
        <v>1</v>
      </c>
      <c r="K14" s="188">
        <v>3</v>
      </c>
      <c r="L14" s="243">
        <f t="shared" si="0"/>
        <v>1.0248662490928169</v>
      </c>
    </row>
    <row r="15" spans="1:13" x14ac:dyDescent="0.2">
      <c r="A15" s="135" t="s">
        <v>487</v>
      </c>
      <c r="B15" s="103" t="s">
        <v>486</v>
      </c>
      <c r="C15" s="27" t="s">
        <v>65</v>
      </c>
      <c r="D15" s="27">
        <f>2*12</f>
        <v>24</v>
      </c>
      <c r="E15" s="223" t="s">
        <v>71</v>
      </c>
      <c r="F15" s="136" t="s">
        <v>78</v>
      </c>
      <c r="G15" s="244">
        <v>1</v>
      </c>
      <c r="H15" s="244">
        <v>1</v>
      </c>
      <c r="I15" s="188">
        <v>1</v>
      </c>
      <c r="J15" s="188">
        <v>1</v>
      </c>
      <c r="K15" s="188">
        <v>3</v>
      </c>
      <c r="L15" s="243">
        <f t="shared" si="0"/>
        <v>1.0141150152164344</v>
      </c>
    </row>
    <row r="16" spans="1:13" s="137" customFormat="1" x14ac:dyDescent="0.2">
      <c r="A16" s="231" t="s">
        <v>485</v>
      </c>
      <c r="B16" s="138" t="s">
        <v>484</v>
      </c>
      <c r="C16" s="137" t="s">
        <v>65</v>
      </c>
      <c r="D16" s="267">
        <v>967322834.64566922</v>
      </c>
      <c r="E16" s="230" t="s">
        <v>483</v>
      </c>
      <c r="F16" s="140" t="s">
        <v>78</v>
      </c>
      <c r="G16" s="189">
        <v>1</v>
      </c>
      <c r="H16" s="189">
        <v>1</v>
      </c>
      <c r="I16" s="189">
        <v>3</v>
      </c>
      <c r="J16" s="189">
        <v>1</v>
      </c>
      <c r="K16" s="189">
        <v>3</v>
      </c>
      <c r="L16" s="241">
        <f t="shared" si="0"/>
        <v>1.0673825127299523</v>
      </c>
      <c r="M16" s="138"/>
    </row>
    <row r="17" spans="1:13" s="28" customFormat="1" x14ac:dyDescent="0.2">
      <c r="A17" s="239" t="s">
        <v>482</v>
      </c>
      <c r="B17" s="152" t="s">
        <v>475</v>
      </c>
      <c r="C17" s="238" t="s">
        <v>809</v>
      </c>
      <c r="D17" s="188">
        <v>0</v>
      </c>
      <c r="E17" s="237" t="s">
        <v>474</v>
      </c>
      <c r="F17" s="155"/>
      <c r="K17" s="236"/>
      <c r="L17" s="155"/>
      <c r="M17" s="152"/>
    </row>
    <row r="18" spans="1:13" s="27" customFormat="1" x14ac:dyDescent="0.2">
      <c r="A18" s="135" t="s">
        <v>482</v>
      </c>
      <c r="B18" s="103" t="s">
        <v>475</v>
      </c>
      <c r="C18" s="235" t="s">
        <v>810</v>
      </c>
      <c r="D18" s="188">
        <v>0</v>
      </c>
      <c r="E18" s="223" t="s">
        <v>474</v>
      </c>
      <c r="F18" s="136"/>
      <c r="K18" s="134"/>
      <c r="L18" s="136"/>
      <c r="M18" s="103"/>
    </row>
    <row r="19" spans="1:13" s="27" customFormat="1" x14ac:dyDescent="0.2">
      <c r="A19" s="135" t="s">
        <v>482</v>
      </c>
      <c r="B19" s="103" t="s">
        <v>475</v>
      </c>
      <c r="C19" s="234" t="s">
        <v>811</v>
      </c>
      <c r="D19" s="188">
        <v>0</v>
      </c>
      <c r="E19" s="223" t="s">
        <v>474</v>
      </c>
      <c r="F19" s="136"/>
      <c r="K19" s="134"/>
      <c r="L19" s="136"/>
      <c r="M19" s="103"/>
    </row>
    <row r="20" spans="1:13" s="27" customFormat="1" x14ac:dyDescent="0.2">
      <c r="A20" s="135" t="s">
        <v>482</v>
      </c>
      <c r="B20" s="103" t="s">
        <v>475</v>
      </c>
      <c r="C20" s="233" t="s">
        <v>812</v>
      </c>
      <c r="D20" s="188">
        <v>0</v>
      </c>
      <c r="E20" s="223" t="s">
        <v>474</v>
      </c>
      <c r="F20" s="136"/>
      <c r="K20" s="134"/>
      <c r="L20" s="136"/>
      <c r="M20" s="103"/>
    </row>
    <row r="21" spans="1:13" s="27" customFormat="1" x14ac:dyDescent="0.2">
      <c r="A21" s="135" t="s">
        <v>482</v>
      </c>
      <c r="B21" s="103" t="s">
        <v>475</v>
      </c>
      <c r="C21" s="232" t="s">
        <v>813</v>
      </c>
      <c r="D21" s="188">
        <v>0</v>
      </c>
      <c r="E21" s="223" t="s">
        <v>474</v>
      </c>
      <c r="F21" s="136"/>
      <c r="K21" s="134"/>
      <c r="L21" s="136"/>
      <c r="M21" s="103"/>
    </row>
    <row r="22" spans="1:13" s="28" customFormat="1" x14ac:dyDescent="0.2">
      <c r="A22" s="239" t="s">
        <v>481</v>
      </c>
      <c r="B22" s="152" t="s">
        <v>475</v>
      </c>
      <c r="C22" s="238" t="s">
        <v>809</v>
      </c>
      <c r="D22" s="188">
        <v>0</v>
      </c>
      <c r="E22" s="237" t="s">
        <v>474</v>
      </c>
      <c r="F22" s="155"/>
      <c r="K22" s="236"/>
      <c r="L22" s="155"/>
      <c r="M22" s="152"/>
    </row>
    <row r="23" spans="1:13" s="27" customFormat="1" x14ac:dyDescent="0.2">
      <c r="A23" s="135" t="s">
        <v>481</v>
      </c>
      <c r="B23" s="103" t="s">
        <v>475</v>
      </c>
      <c r="C23" s="235" t="s">
        <v>810</v>
      </c>
      <c r="D23" s="188">
        <v>0</v>
      </c>
      <c r="E23" s="223" t="s">
        <v>474</v>
      </c>
      <c r="F23" s="136"/>
      <c r="K23" s="134"/>
      <c r="L23" s="136"/>
      <c r="M23" s="103"/>
    </row>
    <row r="24" spans="1:13" s="27" customFormat="1" x14ac:dyDescent="0.2">
      <c r="A24" s="135" t="s">
        <v>481</v>
      </c>
      <c r="B24" s="103" t="s">
        <v>475</v>
      </c>
      <c r="C24" s="234" t="s">
        <v>811</v>
      </c>
      <c r="D24" s="188">
        <v>0</v>
      </c>
      <c r="E24" s="223" t="s">
        <v>474</v>
      </c>
      <c r="F24" s="136"/>
      <c r="K24" s="134"/>
      <c r="L24" s="136"/>
      <c r="M24" s="103"/>
    </row>
    <row r="25" spans="1:13" s="27" customFormat="1" x14ac:dyDescent="0.2">
      <c r="A25" s="135" t="s">
        <v>481</v>
      </c>
      <c r="B25" s="103" t="s">
        <v>475</v>
      </c>
      <c r="C25" s="233" t="s">
        <v>812</v>
      </c>
      <c r="D25" s="188">
        <v>0</v>
      </c>
      <c r="E25" s="223" t="s">
        <v>474</v>
      </c>
      <c r="F25" s="136"/>
      <c r="K25" s="134"/>
      <c r="L25" s="136"/>
      <c r="M25" s="103"/>
    </row>
    <row r="26" spans="1:13" s="27" customFormat="1" x14ac:dyDescent="0.2">
      <c r="A26" s="231" t="s">
        <v>481</v>
      </c>
      <c r="B26" s="138" t="s">
        <v>475</v>
      </c>
      <c r="C26" s="333" t="s">
        <v>813</v>
      </c>
      <c r="D26" s="188">
        <v>0</v>
      </c>
      <c r="E26" s="230" t="s">
        <v>474</v>
      </c>
      <c r="F26" s="140"/>
      <c r="G26" s="137"/>
      <c r="H26" s="137"/>
      <c r="I26" s="137"/>
      <c r="J26" s="137"/>
      <c r="K26" s="139"/>
      <c r="L26" s="140"/>
      <c r="M26" s="103"/>
    </row>
    <row r="27" spans="1:13" x14ac:dyDescent="0.2">
      <c r="A27" s="135" t="s">
        <v>480</v>
      </c>
      <c r="B27" s="103" t="s">
        <v>475</v>
      </c>
      <c r="C27" s="240" t="s">
        <v>809</v>
      </c>
      <c r="D27" s="188">
        <v>0</v>
      </c>
      <c r="E27" s="223" t="s">
        <v>474</v>
      </c>
    </row>
    <row r="28" spans="1:13" x14ac:dyDescent="0.2">
      <c r="A28" s="135" t="s">
        <v>480</v>
      </c>
      <c r="B28" s="103" t="s">
        <v>475</v>
      </c>
      <c r="C28" s="235" t="s">
        <v>810</v>
      </c>
      <c r="D28" s="188">
        <v>0</v>
      </c>
      <c r="E28" s="223" t="s">
        <v>474</v>
      </c>
    </row>
    <row r="29" spans="1:13" x14ac:dyDescent="0.2">
      <c r="A29" s="135" t="s">
        <v>480</v>
      </c>
      <c r="B29" s="103" t="s">
        <v>475</v>
      </c>
      <c r="C29" s="234" t="s">
        <v>811</v>
      </c>
      <c r="D29" s="188">
        <v>0</v>
      </c>
      <c r="E29" s="223" t="s">
        <v>474</v>
      </c>
    </row>
    <row r="30" spans="1:13" x14ac:dyDescent="0.2">
      <c r="A30" s="135" t="s">
        <v>480</v>
      </c>
      <c r="B30" s="103" t="s">
        <v>475</v>
      </c>
      <c r="C30" s="233" t="s">
        <v>812</v>
      </c>
      <c r="D30" s="188">
        <v>0</v>
      </c>
      <c r="E30" s="223" t="s">
        <v>474</v>
      </c>
    </row>
    <row r="31" spans="1:13" x14ac:dyDescent="0.2">
      <c r="A31" s="135" t="s">
        <v>480</v>
      </c>
      <c r="B31" s="103" t="s">
        <v>475</v>
      </c>
      <c r="C31" s="232" t="s">
        <v>813</v>
      </c>
      <c r="D31" s="188">
        <v>0</v>
      </c>
      <c r="E31" s="223" t="s">
        <v>474</v>
      </c>
    </row>
    <row r="32" spans="1:13" s="28" customFormat="1" x14ac:dyDescent="0.2">
      <c r="A32" s="239" t="s">
        <v>479</v>
      </c>
      <c r="B32" s="152" t="s">
        <v>475</v>
      </c>
      <c r="C32" s="238" t="s">
        <v>809</v>
      </c>
      <c r="D32" s="188">
        <v>0</v>
      </c>
      <c r="E32" s="237" t="s">
        <v>474</v>
      </c>
      <c r="F32" s="155"/>
      <c r="K32" s="236"/>
      <c r="L32" s="155"/>
      <c r="M32" s="152"/>
    </row>
    <row r="33" spans="1:13" s="27" customFormat="1" x14ac:dyDescent="0.2">
      <c r="A33" s="135" t="s">
        <v>479</v>
      </c>
      <c r="B33" s="103" t="s">
        <v>475</v>
      </c>
      <c r="C33" s="235" t="s">
        <v>810</v>
      </c>
      <c r="D33" s="188">
        <v>0</v>
      </c>
      <c r="E33" s="223" t="s">
        <v>474</v>
      </c>
      <c r="F33" s="136"/>
      <c r="K33" s="134"/>
      <c r="L33" s="136"/>
      <c r="M33" s="103"/>
    </row>
    <row r="34" spans="1:13" s="27" customFormat="1" x14ac:dyDescent="0.2">
      <c r="A34" s="135" t="s">
        <v>479</v>
      </c>
      <c r="B34" s="103" t="s">
        <v>475</v>
      </c>
      <c r="C34" s="234" t="s">
        <v>811</v>
      </c>
      <c r="D34" s="188">
        <v>0</v>
      </c>
      <c r="E34" s="223" t="s">
        <v>474</v>
      </c>
      <c r="F34" s="136"/>
      <c r="K34" s="134"/>
      <c r="L34" s="136"/>
      <c r="M34" s="103"/>
    </row>
    <row r="35" spans="1:13" s="27" customFormat="1" x14ac:dyDescent="0.2">
      <c r="A35" s="135" t="s">
        <v>479</v>
      </c>
      <c r="B35" s="103" t="s">
        <v>475</v>
      </c>
      <c r="C35" s="233" t="s">
        <v>812</v>
      </c>
      <c r="D35" s="188">
        <v>0</v>
      </c>
      <c r="E35" s="223" t="s">
        <v>474</v>
      </c>
      <c r="F35" s="136"/>
      <c r="K35" s="134"/>
      <c r="L35" s="136"/>
      <c r="M35" s="103"/>
    </row>
    <row r="36" spans="1:13" s="27" customFormat="1" x14ac:dyDescent="0.2">
      <c r="A36" s="135" t="s">
        <v>479</v>
      </c>
      <c r="B36" s="103" t="s">
        <v>475</v>
      </c>
      <c r="C36" s="232" t="s">
        <v>813</v>
      </c>
      <c r="D36" s="188">
        <v>0</v>
      </c>
      <c r="E36" s="223" t="s">
        <v>474</v>
      </c>
      <c r="F36" s="136"/>
      <c r="K36" s="134"/>
      <c r="L36" s="136"/>
      <c r="M36" s="103"/>
    </row>
    <row r="37" spans="1:13" x14ac:dyDescent="0.2">
      <c r="A37" s="239" t="s">
        <v>478</v>
      </c>
      <c r="B37" s="152" t="s">
        <v>475</v>
      </c>
      <c r="C37" s="238" t="s">
        <v>809</v>
      </c>
      <c r="D37" s="188">
        <v>0</v>
      </c>
      <c r="E37" s="237" t="s">
        <v>474</v>
      </c>
      <c r="F37" s="155"/>
      <c r="G37" s="28"/>
      <c r="H37" s="28"/>
      <c r="I37" s="28"/>
      <c r="J37" s="28"/>
      <c r="K37" s="236"/>
      <c r="L37" s="155"/>
    </row>
    <row r="38" spans="1:13" x14ac:dyDescent="0.2">
      <c r="A38" s="135" t="s">
        <v>478</v>
      </c>
      <c r="B38" s="103" t="s">
        <v>475</v>
      </c>
      <c r="C38" s="235" t="s">
        <v>810</v>
      </c>
      <c r="D38" s="188">
        <v>0</v>
      </c>
      <c r="E38" s="223" t="s">
        <v>474</v>
      </c>
    </row>
    <row r="39" spans="1:13" x14ac:dyDescent="0.2">
      <c r="A39" s="135" t="s">
        <v>478</v>
      </c>
      <c r="B39" s="103" t="s">
        <v>475</v>
      </c>
      <c r="C39" s="234" t="s">
        <v>811</v>
      </c>
      <c r="D39" s="188">
        <v>0</v>
      </c>
      <c r="E39" s="223" t="s">
        <v>474</v>
      </c>
    </row>
    <row r="40" spans="1:13" x14ac:dyDescent="0.2">
      <c r="A40" s="135" t="s">
        <v>478</v>
      </c>
      <c r="B40" s="103" t="s">
        <v>475</v>
      </c>
      <c r="C40" s="233" t="s">
        <v>812</v>
      </c>
      <c r="D40" s="188">
        <v>0</v>
      </c>
      <c r="E40" s="223" t="s">
        <v>474</v>
      </c>
    </row>
    <row r="41" spans="1:13" x14ac:dyDescent="0.2">
      <c r="A41" s="231" t="s">
        <v>478</v>
      </c>
      <c r="B41" s="138" t="s">
        <v>475</v>
      </c>
      <c r="C41" s="333" t="s">
        <v>813</v>
      </c>
      <c r="D41" s="188">
        <v>0</v>
      </c>
      <c r="E41" s="230" t="s">
        <v>474</v>
      </c>
      <c r="F41" s="140"/>
      <c r="G41" s="137"/>
      <c r="H41" s="137"/>
      <c r="I41" s="137"/>
      <c r="J41" s="137"/>
      <c r="K41" s="139"/>
      <c r="L41" s="140"/>
    </row>
    <row r="42" spans="1:13" s="28" customFormat="1" x14ac:dyDescent="0.2">
      <c r="A42" s="239" t="s">
        <v>477</v>
      </c>
      <c r="B42" s="152" t="s">
        <v>475</v>
      </c>
      <c r="C42" s="238" t="s">
        <v>809</v>
      </c>
      <c r="D42" s="188">
        <v>0</v>
      </c>
      <c r="E42" s="237" t="s">
        <v>474</v>
      </c>
      <c r="F42" s="155"/>
      <c r="K42" s="236"/>
      <c r="L42" s="155"/>
      <c r="M42" s="152"/>
    </row>
    <row r="43" spans="1:13" s="27" customFormat="1" x14ac:dyDescent="0.2">
      <c r="A43" s="135" t="s">
        <v>477</v>
      </c>
      <c r="B43" s="103" t="s">
        <v>475</v>
      </c>
      <c r="C43" s="235" t="s">
        <v>810</v>
      </c>
      <c r="D43" s="188">
        <v>0</v>
      </c>
      <c r="E43" s="223" t="s">
        <v>474</v>
      </c>
      <c r="F43" s="136"/>
      <c r="K43" s="134"/>
      <c r="L43" s="136"/>
      <c r="M43" s="103"/>
    </row>
    <row r="44" spans="1:13" s="27" customFormat="1" x14ac:dyDescent="0.2">
      <c r="A44" s="135" t="s">
        <v>477</v>
      </c>
      <c r="B44" s="103" t="s">
        <v>475</v>
      </c>
      <c r="C44" s="234" t="s">
        <v>811</v>
      </c>
      <c r="D44" s="188">
        <v>0</v>
      </c>
      <c r="E44" s="223" t="s">
        <v>474</v>
      </c>
      <c r="F44" s="136"/>
      <c r="K44" s="134"/>
      <c r="L44" s="136"/>
      <c r="M44" s="103"/>
    </row>
    <row r="45" spans="1:13" s="27" customFormat="1" x14ac:dyDescent="0.2">
      <c r="A45" s="135" t="s">
        <v>477</v>
      </c>
      <c r="B45" s="103" t="s">
        <v>475</v>
      </c>
      <c r="C45" s="233" t="s">
        <v>812</v>
      </c>
      <c r="D45" s="188">
        <v>0</v>
      </c>
      <c r="E45" s="223" t="s">
        <v>474</v>
      </c>
      <c r="F45" s="136"/>
      <c r="K45" s="134"/>
      <c r="L45" s="136"/>
      <c r="M45" s="103"/>
    </row>
    <row r="46" spans="1:13" s="27" customFormat="1" x14ac:dyDescent="0.2">
      <c r="A46" s="231" t="s">
        <v>477</v>
      </c>
      <c r="B46" s="138" t="s">
        <v>475</v>
      </c>
      <c r="C46" s="333" t="s">
        <v>813</v>
      </c>
      <c r="D46" s="188">
        <v>0</v>
      </c>
      <c r="E46" s="230" t="s">
        <v>474</v>
      </c>
      <c r="F46" s="140"/>
      <c r="G46" s="137"/>
      <c r="H46" s="137"/>
      <c r="I46" s="137"/>
      <c r="J46" s="137"/>
      <c r="K46" s="139"/>
      <c r="L46" s="140"/>
      <c r="M46" s="103"/>
    </row>
    <row r="47" spans="1:13" s="28" customFormat="1" x14ac:dyDescent="0.2">
      <c r="A47" s="239" t="s">
        <v>476</v>
      </c>
      <c r="B47" s="152" t="s">
        <v>475</v>
      </c>
      <c r="C47" s="238" t="s">
        <v>809</v>
      </c>
      <c r="D47" s="188">
        <v>0</v>
      </c>
      <c r="E47" s="237" t="s">
        <v>474</v>
      </c>
      <c r="F47" s="155"/>
      <c r="K47" s="236"/>
      <c r="L47" s="155"/>
      <c r="M47" s="152"/>
    </row>
    <row r="48" spans="1:13" s="27" customFormat="1" x14ac:dyDescent="0.2">
      <c r="A48" s="135" t="s">
        <v>476</v>
      </c>
      <c r="B48" s="103" t="s">
        <v>475</v>
      </c>
      <c r="C48" s="235" t="s">
        <v>810</v>
      </c>
      <c r="D48" s="188">
        <v>0</v>
      </c>
      <c r="E48" s="223" t="s">
        <v>474</v>
      </c>
      <c r="F48" s="136"/>
      <c r="K48" s="134"/>
      <c r="L48" s="136"/>
      <c r="M48" s="103"/>
    </row>
    <row r="49" spans="1:13" s="27" customFormat="1" x14ac:dyDescent="0.2">
      <c r="A49" s="135" t="s">
        <v>476</v>
      </c>
      <c r="B49" s="103" t="s">
        <v>475</v>
      </c>
      <c r="C49" s="234" t="s">
        <v>811</v>
      </c>
      <c r="D49" s="188">
        <v>0</v>
      </c>
      <c r="E49" s="223" t="s">
        <v>474</v>
      </c>
      <c r="F49" s="136"/>
      <c r="K49" s="134"/>
      <c r="L49" s="136"/>
      <c r="M49" s="103"/>
    </row>
    <row r="50" spans="1:13" s="27" customFormat="1" x14ac:dyDescent="0.2">
      <c r="A50" s="135" t="s">
        <v>476</v>
      </c>
      <c r="B50" s="103" t="s">
        <v>475</v>
      </c>
      <c r="C50" s="233" t="s">
        <v>812</v>
      </c>
      <c r="D50" s="27">
        <v>0</v>
      </c>
      <c r="E50" s="223" t="s">
        <v>474</v>
      </c>
      <c r="F50" s="136"/>
      <c r="K50" s="134"/>
      <c r="L50" s="136"/>
      <c r="M50" s="103"/>
    </row>
    <row r="51" spans="1:13" s="27" customFormat="1" x14ac:dyDescent="0.2">
      <c r="A51" s="231" t="s">
        <v>476</v>
      </c>
      <c r="B51" s="138" t="s">
        <v>475</v>
      </c>
      <c r="C51" s="333" t="s">
        <v>813</v>
      </c>
      <c r="D51" s="137">
        <v>0</v>
      </c>
      <c r="E51" s="230" t="s">
        <v>474</v>
      </c>
      <c r="F51" s="140"/>
      <c r="G51" s="137"/>
      <c r="H51" s="137"/>
      <c r="I51" s="137"/>
      <c r="J51" s="137"/>
      <c r="K51" s="139"/>
      <c r="L51" s="140"/>
      <c r="M51" s="103"/>
    </row>
  </sheetData>
  <conditionalFormatting sqref="G2:K51">
    <cfRule type="dataBar" priority="1365">
      <dataBar>
        <cfvo type="min"/>
        <cfvo type="max"/>
        <color rgb="FFFFB628"/>
      </dataBar>
      <extLst>
        <ext xmlns:x14="http://schemas.microsoft.com/office/spreadsheetml/2009/9/main" uri="{B025F937-C7B1-47D3-B67F-A62EFF666E3E}">
          <x14:id>{5CF26BD0-7B3E-4334-AB9F-72651C697D1B}</x14:id>
        </ext>
      </extLst>
    </cfRule>
  </conditionalFormatting>
  <conditionalFormatting sqref="L2:L51">
    <cfRule type="dataBar" priority="1367">
      <dataBar>
        <cfvo type="min"/>
        <cfvo type="max"/>
        <color rgb="FF3FCDFF"/>
      </dataBar>
      <extLst>
        <ext xmlns:x14="http://schemas.microsoft.com/office/spreadsheetml/2009/9/main" uri="{B025F937-C7B1-47D3-B67F-A62EFF666E3E}">
          <x14:id>{492B1F0B-9C2A-4ADB-84C7-CEE2F2449542}</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CF26BD0-7B3E-4334-AB9F-72651C697D1B}">
            <x14:dataBar minLength="0" maxLength="100" gradient="0">
              <x14:cfvo type="autoMin"/>
              <x14:cfvo type="autoMax"/>
              <x14:negativeFillColor rgb="FFFF0000"/>
              <x14:axisColor rgb="FF000000"/>
            </x14:dataBar>
          </x14:cfRule>
          <xm:sqref>G2:K51</xm:sqref>
        </x14:conditionalFormatting>
        <x14:conditionalFormatting xmlns:xm="http://schemas.microsoft.com/office/excel/2006/main">
          <x14:cfRule type="dataBar" id="{492B1F0B-9C2A-4ADB-84C7-CEE2F2449542}">
            <x14:dataBar minLength="0" maxLength="100" gradient="0">
              <x14:cfvo type="autoMin"/>
              <x14:cfvo type="autoMax"/>
              <x14:negativeFillColor rgb="FFFF0000"/>
              <x14:axisColor rgb="FF000000"/>
            </x14:dataBar>
          </x14:cfRule>
          <xm:sqref>L2:L51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Input_EU</vt:lpstr>
      <vt:lpstr>TransferCoefficients</vt:lpstr>
      <vt:lpstr>Input_CH</vt:lpstr>
      <vt:lpstr>Module1</vt:lpstr>
      <vt:lpstr>PCCP</vt:lpstr>
      <vt:lpstr>Module2</vt:lpstr>
      <vt:lpstr>Textiles</vt:lpstr>
      <vt:lpstr>Flushing</vt:lpstr>
      <vt:lpstr>Automotive</vt:lpstr>
      <vt:lpstr>Compost</vt:lpstr>
      <vt:lpstr>Rank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2021-08-10T00:18:05Z</dcterms:modified>
</cp:coreProperties>
</file>