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7" i="1" l="1"/>
  <c r="E333" i="1" l="1"/>
  <c r="E330" i="1"/>
  <c r="E328" i="1"/>
  <c r="E327" i="1"/>
  <c r="E337" i="1" s="1"/>
  <c r="E326" i="1"/>
  <c r="E335" i="1" s="1"/>
  <c r="E325" i="1"/>
  <c r="E336" i="1" s="1"/>
  <c r="E324" i="1"/>
  <c r="E331" i="1" s="1"/>
  <c r="E323" i="1"/>
  <c r="E322" i="1"/>
  <c r="E334" i="1" s="1"/>
  <c r="E321" i="1"/>
  <c r="E320" i="1"/>
  <c r="E332" i="1" s="1"/>
  <c r="E319" i="1"/>
  <c r="E318" i="1"/>
  <c r="E317" i="1"/>
  <c r="B321" i="1" s="1"/>
  <c r="E329" i="1" s="1"/>
  <c r="E338" i="1" s="1"/>
  <c r="E204" i="1" l="1"/>
  <c r="E117" i="1" l="1"/>
  <c r="E116" i="1"/>
  <c r="E203" i="1"/>
  <c r="E215" i="1"/>
  <c r="E216" i="1"/>
  <c r="E217" i="1"/>
  <c r="E228" i="1"/>
  <c r="E229" i="1"/>
  <c r="E294" i="1" l="1"/>
  <c r="E280" i="1" l="1"/>
  <c r="E22" i="1" l="1"/>
  <c r="E300" i="1" l="1"/>
  <c r="E299" i="1"/>
  <c r="E296" i="1"/>
  <c r="E293" i="1"/>
  <c r="E140" i="1" l="1"/>
  <c r="E187" i="1" l="1"/>
  <c r="B63" i="1" l="1"/>
  <c r="E80" i="1"/>
  <c r="E103" i="1"/>
  <c r="E102" i="1"/>
  <c r="E101" i="1"/>
  <c r="E75" i="1"/>
  <c r="E71" i="1"/>
  <c r="E38" i="1" l="1"/>
  <c r="E292" i="1" s="1"/>
  <c r="E240" i="1" l="1"/>
  <c r="E241" i="1" s="1"/>
  <c r="E191" i="1"/>
  <c r="E267" i="1"/>
  <c r="E189" i="1" l="1"/>
  <c r="E188" i="1"/>
  <c r="E176" i="1"/>
  <c r="E165" i="1"/>
  <c r="E153" i="1"/>
  <c r="E154" i="1" s="1"/>
  <c r="E139" i="1"/>
  <c r="E142" i="1" s="1"/>
  <c r="E128" i="1"/>
  <c r="E7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4" i="1"/>
  <c r="E72" i="1"/>
  <c r="E70" i="1"/>
  <c r="E69" i="1"/>
  <c r="E68" i="1"/>
  <c r="E67" i="1"/>
  <c r="E66" i="1"/>
  <c r="E65" i="1"/>
  <c r="E64" i="1"/>
  <c r="E63" i="1"/>
  <c r="E50" i="1"/>
  <c r="E51" i="1"/>
  <c r="E52" i="1"/>
  <c r="E49" i="1"/>
  <c r="E281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<sst xmlns="http://schemas.openxmlformats.org/spreadsheetml/2006/main" count="1458" uniqueCount="280">
  <si>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</si>
  <si>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</si>
  <si>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</si>
  <si>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</si>
  <si>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</si>
  <si>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</si>
  <si>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</si>
  <si>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</si>
  <si>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</si>
  <si>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</si>
  <si>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</si>
  <si>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</si>
  <si>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</si>
  <si>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</si>
  <si>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</si>
  <si>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</si>
  <si>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</si>
  <si>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</si>
  <si>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</si>
  <si>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</si>
  <si>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</si>
  <si>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</si>
  <si>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</si>
  <si>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</si>
  <si>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</si>
  <si>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</si>
  <si>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</si>
  <si>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</si>
  <si>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</si>
  <si>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</si>
  <si>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</si>
  <si>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</si>
  <si>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</si>
  <si>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</si>
  <si>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</si>
  <si>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</si>
  <si>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</si>
  <si>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</si>
  <si>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</si>
  <si>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</si>
  <si>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</si>
  <si>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</si>
  <si>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</si>
  <si>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</si>
  <si>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</si>
  <si>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</si>
  <si>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</si>
  <si>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</si>
  <si>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</si>
  <si>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</si>
  <si>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</si>
  <si>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</si>
  <si>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</si>
  <si>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</si>
  <si>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</si>
  <si>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</si>
  <si>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</si>
  <si>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</si>
  <si>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</si>
  <si>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</si>
  <si>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</si>
  <si>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</si>
  <si>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</si>
  <si>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</si>
  <si>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</si>
  <si>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</si>
  <si>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</si>
  <si>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</si>
  <si>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</si>
  <si>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</si>
  <si>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</si>
  <si>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</si>
  <si>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</si>
  <si>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</si>
  <si>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</si>
  <si>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</si>
  <si>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</si>
  <si>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</si>
  <si>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</si>
  <si>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</si>
  <si>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</si>
  <si>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</si>
  <si>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</si>
  <si>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</si>
  <si>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</si>
  <si>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</si>
  <si>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</si>
  <si>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</si>
  <si>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</si>
  <si>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</si>
  <si>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</si>
  <si>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</si>
  <si>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</si>
  <si>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</si>
  <si>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</si>
  <si>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</si>
  <si>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</si>
  <si>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</si>
  <si>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</si>
  <si>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</si>
  <si>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</si>
  <si>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</si>
  <si>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</si>
  <si>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</si>
  <si>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</si>
  <si>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</si>
  <si>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</si>
  <si>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</si>
  <si>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</si>
  <si>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</si>
  <si>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</si>
  <si>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</si>
  <si>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</si>
  <si>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</si>
  <si>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</si>
  <si>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</si>
  <si>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</si>
  <si>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</si>
  <si>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</si>
  <si>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</si>
  <si>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</si>
  <si>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</si>
  <si>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</si>
  <si>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</si>
  <si>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</si>
  <si>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</si>
  <si>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</si>
  <si>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</si>
  <si>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</si>
  <si>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</si>
  <si>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</si>
  <si>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</si>
  <si>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</si>
  <si>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</si>
  <si>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</si>
  <si>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</si>
  <si>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</si>
  <si>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</si>
  <si>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</si>
  <si>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</si>
  <si>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</si>
  <si>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</si>
  <si>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</si>
  <si>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</si>
  <si>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</si>
  <si>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</si>
  <si>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</si>
  <si>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</si>
  <si>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</si>
  <si>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</si>
  <si>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</si>
  <si>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</si>
  <si>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</si>
  <si>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</si>
  <si>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</si>
  <si>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</si>
  <si>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</si>
  <si>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</si>
  <si>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</si>
  <si>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</si>
  <si>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</si>
  <si>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</si>
  <si>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</si>
  <si>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</si>
  <si>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</si>
  <si>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</si>
  <si>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</si>
  <si>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</si>
  <si>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</si>
  <si>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</si>
  <si>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</si>
  <si>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</si>
  <si>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</si>
  <si>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</si>
  <si>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</si>
  <si>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</si>
  <si>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</si>
  <si>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</si>
  <si>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</si>
  <si>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</si>
  <si>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</si>
  <si>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</si>
  <si>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</si>
  <si>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</si>
  <si>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</si>
  <si>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</si>
  <si>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</si>
  <si>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</si>
  <si>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</si>
  <si>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</si>
  <si>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</si>
  <si>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</si>
  <si>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</si>
  <si>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</si>
  <si>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</si>
  <si>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</si>
  <si>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</si>
  <si>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</si>
  <si>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</si>
  <si>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</si>
  <si>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</si>
  <si>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m2/cap</t>
  </si>
  <si>
    <t>not vegan</t>
  </si>
  <si>
    <t>1: carnivor, 0: vegan</t>
  </si>
  <si>
    <t>Calorie loss (vegan)</t>
  </si>
  <si>
    <t>Protein loss (vegan)</t>
  </si>
  <si>
    <t>doubled (compensation), proteins+calories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</si>
  <si>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</si>
  <si>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</si>
  <si>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</si>
  <si>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</si>
  <si>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</si>
  <si>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</si>
  <si>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basic scenario</t>
  </si>
  <si>
    <t>5% of food bio waste (EoL)</t>
  </si>
  <si>
    <t>market for transport, passenger car</t>
  </si>
  <si>
    <t>life time 80a</t>
  </si>
  <si>
    <t>building construction, multi-storey, wooden</t>
  </si>
  <si>
    <t>buildingwooden</t>
  </si>
  <si>
    <t>comment</t>
  </si>
  <si>
    <t>Multi-Familiy house, wooden, 3 floors. LCI data from Kakkos et al. (2020) https://www.mdpi.com/2071-1050/12/12/5041</t>
  </si>
  <si>
    <t>&lt;-- assumed room height, assumed life time --&gt;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</si>
  <si>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</si>
  <si>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</si>
  <si>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</si>
  <si>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</si>
  <si>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</si>
  <si>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</si>
  <si>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</si>
  <si>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</si>
  <si>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</si>
  <si>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</si>
  <si>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</si>
  <si>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</si>
  <si>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</si>
  <si>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</si>
  <si>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</si>
  <si>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</si>
  <si>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</si>
  <si>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</si>
  <si>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</si>
  <si>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</si>
  <si>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</si>
  <si>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</si>
  <si>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</si>
  <si>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</si>
  <si>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</si>
  <si>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</si>
  <si>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</si>
  <si>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</si>
  <si>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</si>
  <si>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</si>
  <si>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</si>
  <si>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</si>
  <si>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</si>
  <si>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</si>
  <si>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</si>
  <si>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</si>
  <si>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</si>
  <si>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</si>
  <si>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</si>
  <si>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</si>
  <si>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</si>
  <si>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</si>
  <si>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</si>
  <si>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</si>
  <si>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</si>
  <si>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</si>
  <si>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</si>
  <si>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</si>
  <si>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</si>
  <si>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</si>
  <si>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</si>
  <si>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wood / (wood + masonry) ration = 1</t>
  </si>
  <si>
    <t>wood/(wood+masonry) ratio</t>
  </si>
  <si>
    <t>ecoinvent 3.8 cutoff_fossilfree</t>
  </si>
  <si>
    <t>market for cleft timber, measured as dry mass</t>
  </si>
  <si>
    <t>600 kg/m3</t>
  </si>
  <si>
    <t>dls_basket_basic_LD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</si>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</sst>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70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3" fillId="3" borderId="0" xfId="3" applyFont="1"/>
    <xf numFmtId="0" fontId="13" fillId="7" borderId="0" xfId="1" applyFont="1" applyFill="1"/>
    <xf numFmtId="0" fontId="0" fillId="3" borderId="1" xfId="3" applyFont="1" applyBorder="1"/>
    <xf numFmtId="0" fontId="2" fillId="3" borderId="2" xfId="3" applyBorder="1" applyAlignment="1">
      <alignment wrapText="1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3" borderId="0" xfId="3" applyFont="1" applyFill="1" applyAlignment="1">
      <alignment wrapText="1"/>
    </xf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2" fillId="5" borderId="0" xfId="1" applyFill="1" applyBorder="1" applyAlignment="1">
      <alignment horizontal="left" vertical="top"/>
    </xf>
    <xf numFmtId="0" fontId="1" fillId="8" borderId="1" xfId="1" applyFont="1" applyFill="1" applyBorder="1"/>
    <xf numFmtId="0" fontId="1" fillId="8" borderId="0" xfId="1" applyFont="1" applyFill="1"/>
    <xf numFmtId="0" fontId="1" fillId="8" borderId="2" xfId="1" applyFont="1" applyFill="1" applyBorder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topLeftCell="A256" zoomScale="50" zoomScaleNormal="50" workbookViewId="0">
      <selection activeCell="H298" sqref="H298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278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129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129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25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4" t="s">
        <v>160</v>
      </c>
      <c r="B12" s="317" t="s">
        <v>199</v>
      </c>
      <c r="C12" s="17"/>
      <c r="D12" s="18" t="s">
        <v>129</v>
      </c>
      <c r="E12" s="318">
        <v>1</v>
      </c>
      <c r="F12" s="16" t="s">
        <v>10</v>
      </c>
      <c r="G12" s="18" t="s">
        <v>278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6" t="s">
        <v>132</v>
      </c>
      <c r="E13" s="319">
        <v>1</v>
      </c>
      <c r="F13" s="71" t="s">
        <v>10</v>
      </c>
      <c r="G13" s="18" t="s">
        <v>278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35" t="s">
        <v>133</v>
      </c>
      <c r="E14" s="318">
        <v>1</v>
      </c>
      <c r="F14" s="16" t="s">
        <v>10</v>
      </c>
      <c r="G14" s="18" t="s">
        <v>278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6" t="s">
        <v>134</v>
      </c>
      <c r="E15" s="319">
        <v>1</v>
      </c>
      <c r="F15" s="3" t="s">
        <v>10</v>
      </c>
      <c r="G15" s="18" t="s">
        <v>278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6" t="s">
        <v>135</v>
      </c>
      <c r="E16" s="318">
        <v>1</v>
      </c>
      <c r="F16" s="16" t="s">
        <v>10</v>
      </c>
      <c r="G16" s="18" t="s">
        <v>278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6" t="s">
        <v>136</v>
      </c>
      <c r="E17" s="319">
        <v>1</v>
      </c>
      <c r="F17" s="3" t="s">
        <v>10</v>
      </c>
      <c r="G17" s="18" t="s">
        <v>278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6"/>
      <c r="C18" s="17"/>
      <c r="D18" s="67" t="s">
        <v>137</v>
      </c>
      <c r="E18" s="319">
        <v>1</v>
      </c>
      <c r="F18" s="71" t="s">
        <v>10</v>
      </c>
      <c r="G18" s="18" t="s">
        <v>278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6"/>
      <c r="C19" s="17"/>
      <c r="D19" s="66" t="s">
        <v>138</v>
      </c>
      <c r="E19" s="320">
        <v>1</v>
      </c>
      <c r="F19" s="52" t="s">
        <v>10</v>
      </c>
      <c r="G19" s="52" t="s">
        <v>278</v>
      </c>
      <c r="H19" s="52" t="s">
        <v>6</v>
      </c>
      <c r="I19" s="52" t="s">
        <v>25</v>
      </c>
      <c r="J19" s="52"/>
      <c r="K19" s="16"/>
      <c r="L19" s="16"/>
      <c r="M19" s="19"/>
      <c r="N19" s="16"/>
      <c r="O19" s="21"/>
    </row>
    <row r="20" spans="1:15" x14ac:dyDescent="0.35">
      <c r="A20" s="15"/>
      <c r="B20" s="76"/>
      <c r="C20" s="17"/>
      <c r="D20" s="67" t="s">
        <v>139</v>
      </c>
      <c r="E20" s="319">
        <v>1</v>
      </c>
      <c r="F20" s="3" t="s">
        <v>10</v>
      </c>
      <c r="G20" s="18" t="s">
        <v>278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6"/>
      <c r="C21" s="17"/>
      <c r="D21" s="67" t="s">
        <v>140</v>
      </c>
      <c r="E21" s="319">
        <v>1</v>
      </c>
      <c r="F21" s="71" t="s">
        <v>10</v>
      </c>
      <c r="G21" s="18" t="s">
        <v>278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4" t="s">
        <v>213</v>
      </c>
      <c r="B22" s="322">
        <v>2.1000000000000001E-2</v>
      </c>
      <c r="C22" s="321" t="s">
        <v>201</v>
      </c>
      <c r="D22" s="67" t="s">
        <v>141</v>
      </c>
      <c r="E22" s="323">
        <f>B22/0.035</f>
        <v>0.6</v>
      </c>
      <c r="F22" s="52" t="s">
        <v>10</v>
      </c>
      <c r="G22" s="52" t="s">
        <v>278</v>
      </c>
      <c r="H22" s="52" t="s">
        <v>6</v>
      </c>
      <c r="I22" s="52" t="s">
        <v>25</v>
      </c>
      <c r="J22" s="52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7" t="s">
        <v>142</v>
      </c>
      <c r="E23" s="319">
        <v>1</v>
      </c>
      <c r="F23" s="3" t="s">
        <v>10</v>
      </c>
      <c r="G23" s="18" t="s">
        <v>278</v>
      </c>
      <c r="H23" s="18" t="s">
        <v>6</v>
      </c>
      <c r="I23" s="13" t="s">
        <v>25</v>
      </c>
      <c r="J23" s="52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7" t="s">
        <v>143</v>
      </c>
      <c r="E24" s="319">
        <v>1</v>
      </c>
      <c r="F24" s="71" t="s">
        <v>10</v>
      </c>
      <c r="G24" s="18" t="s">
        <v>278</v>
      </c>
      <c r="H24" s="18" t="s">
        <v>6</v>
      </c>
      <c r="I24" s="13" t="s">
        <v>25</v>
      </c>
      <c r="J24" s="52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7" t="s">
        <v>144</v>
      </c>
      <c r="E25" s="320">
        <v>1</v>
      </c>
      <c r="F25" s="52" t="s">
        <v>10</v>
      </c>
      <c r="G25" s="52" t="s">
        <v>278</v>
      </c>
      <c r="H25" s="52" t="s">
        <v>6</v>
      </c>
      <c r="I25" s="52" t="s">
        <v>25</v>
      </c>
      <c r="J25" s="52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7" t="s">
        <v>145</v>
      </c>
      <c r="E26" s="319">
        <v>1</v>
      </c>
      <c r="F26" s="3" t="s">
        <v>10</v>
      </c>
      <c r="G26" s="18" t="s">
        <v>278</v>
      </c>
      <c r="H26" s="18" t="s">
        <v>6</v>
      </c>
      <c r="I26" s="13" t="s">
        <v>25</v>
      </c>
      <c r="J26" s="52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7" t="s">
        <v>130</v>
      </c>
      <c r="E27" s="319">
        <v>1</v>
      </c>
      <c r="F27" s="71" t="s">
        <v>10</v>
      </c>
      <c r="G27" s="18" t="s">
        <v>278</v>
      </c>
      <c r="H27" s="18" t="s">
        <v>6</v>
      </c>
      <c r="I27" s="13" t="s">
        <v>25</v>
      </c>
      <c r="J27" s="52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36" t="s">
        <v>137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7" t="s">
        <v>137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29">
        <v>1</v>
      </c>
      <c r="C32" s="29"/>
      <c r="D32" s="9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9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7" t="s">
        <v>200</v>
      </c>
      <c r="B37" s="77" t="s">
        <v>156</v>
      </c>
      <c r="C37" s="97" t="s">
        <v>157</v>
      </c>
      <c r="D37" s="77" t="s">
        <v>137</v>
      </c>
      <c r="E37" s="137">
        <v>1</v>
      </c>
      <c r="F37" s="77" t="s">
        <v>10</v>
      </c>
      <c r="G37" s="28" t="s">
        <v>278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15">
        <v>676</v>
      </c>
      <c r="B38" s="315">
        <v>39</v>
      </c>
      <c r="C38" s="316">
        <v>61</v>
      </c>
      <c r="D38" s="77" t="s">
        <v>146</v>
      </c>
      <c r="E38" s="137">
        <f>A38*(B38/100+C38/2.5/100)</f>
        <v>428.584</v>
      </c>
      <c r="F38" s="28" t="s">
        <v>28</v>
      </c>
      <c r="G38" s="77" t="s">
        <v>102</v>
      </c>
      <c r="H38" s="77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99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5" t="s">
        <v>130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130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28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14">
        <v>5000</v>
      </c>
      <c r="C48" s="142" t="s">
        <v>158</v>
      </c>
      <c r="D48" s="30" t="s">
        <v>130</v>
      </c>
      <c r="E48" s="32">
        <v>1</v>
      </c>
      <c r="F48" s="30" t="s">
        <v>10</v>
      </c>
      <c r="G48" s="30" t="s">
        <v>278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1">
        <v>40</v>
      </c>
      <c r="C49" s="142" t="s">
        <v>155</v>
      </c>
      <c r="D49" s="30" t="s">
        <v>31</v>
      </c>
      <c r="E49" s="32">
        <f>$B$48*B49/100</f>
        <v>2000</v>
      </c>
      <c r="F49" s="30" t="s">
        <v>33</v>
      </c>
      <c r="G49" s="30" t="s">
        <v>102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1">
        <v>40</v>
      </c>
      <c r="C50" s="142" t="s">
        <v>155</v>
      </c>
      <c r="D50" s="30" t="s">
        <v>127</v>
      </c>
      <c r="E50" s="32">
        <f t="shared" ref="E50:E52" si="0">$B$48*B50/100</f>
        <v>2000</v>
      </c>
      <c r="F50" s="30" t="s">
        <v>33</v>
      </c>
      <c r="G50" s="30" t="s">
        <v>102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2" t="s">
        <v>155</v>
      </c>
      <c r="D51" s="141" t="s">
        <v>215</v>
      </c>
      <c r="E51" s="32">
        <f t="shared" si="0"/>
        <v>750</v>
      </c>
      <c r="F51" s="30" t="s">
        <v>34</v>
      </c>
      <c r="G51" s="30" t="s">
        <v>102</v>
      </c>
      <c r="H51" s="141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2" t="s">
        <v>155</v>
      </c>
      <c r="D52" s="30" t="s">
        <v>32</v>
      </c>
      <c r="E52" s="32">
        <f t="shared" si="0"/>
        <v>250</v>
      </c>
      <c r="F52" s="30" t="s">
        <v>34</v>
      </c>
      <c r="G52" s="30" t="s">
        <v>102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132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2" t="s">
        <v>132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27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2" t="s">
        <v>106</v>
      </c>
      <c r="B62" s="73" t="s">
        <v>159</v>
      </c>
      <c r="C62" s="313">
        <v>2000</v>
      </c>
      <c r="D62" s="82" t="s">
        <v>132</v>
      </c>
      <c r="E62" s="115">
        <v>1</v>
      </c>
      <c r="F62" s="39" t="s">
        <v>10</v>
      </c>
      <c r="G62" s="39" t="s">
        <v>278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82" t="s">
        <v>204</v>
      </c>
      <c r="B63" s="43">
        <f>((30+62)-142)*(C62/2500)</f>
        <v>-40</v>
      </c>
      <c r="C63" s="134"/>
      <c r="D63" s="39" t="s">
        <v>35</v>
      </c>
      <c r="E63" s="143">
        <f>24.691101999686*(C62/2500)</f>
        <v>19.752881599748804</v>
      </c>
      <c r="F63" s="39" t="s">
        <v>21</v>
      </c>
      <c r="G63" s="39" t="s">
        <v>102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82" t="s">
        <v>205</v>
      </c>
      <c r="B64" s="43"/>
      <c r="C64" s="40"/>
      <c r="D64" s="39" t="s">
        <v>36</v>
      </c>
      <c r="E64" s="115">
        <f>16.1707528122296*(C62/2500)</f>
        <v>12.936602249783682</v>
      </c>
      <c r="F64" s="39" t="s">
        <v>21</v>
      </c>
      <c r="G64" s="39" t="s">
        <v>102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15">
        <f>36.7935799746616*(C62/2500)</f>
        <v>29.434863979729279</v>
      </c>
      <c r="F65" s="39" t="s">
        <v>21</v>
      </c>
      <c r="G65" s="39" t="s">
        <v>102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15">
        <f>0.0801714538159062*(C62/2500)</f>
        <v>6.413716305272496E-2</v>
      </c>
      <c r="F66" s="39" t="s">
        <v>21</v>
      </c>
      <c r="G66" s="39" t="s">
        <v>102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15">
        <f>1.98995783024758*(C62/2500)</f>
        <v>1.5919662641980641</v>
      </c>
      <c r="F67" s="39" t="s">
        <v>21</v>
      </c>
      <c r="G67" s="39" t="s">
        <v>102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15">
        <f>0.0134009996604513*(C62/2500)</f>
        <v>1.0720799728361041E-2</v>
      </c>
      <c r="F68" s="39" t="s">
        <v>21</v>
      </c>
      <c r="G68" s="39" t="s">
        <v>102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15">
        <f>4.94103492969882*(C62/2500)</f>
        <v>3.9528279437590563</v>
      </c>
      <c r="F69" s="39" t="s">
        <v>21</v>
      </c>
      <c r="G69" s="39" t="s">
        <v>102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ht="15" thickBot="1" x14ac:dyDescent="0.4">
      <c r="A70" s="39"/>
      <c r="B70" s="43"/>
      <c r="C70" s="40"/>
      <c r="D70" s="39" t="s">
        <v>42</v>
      </c>
      <c r="E70" s="115">
        <f>18.25*(C62/2500)</f>
        <v>14.600000000000001</v>
      </c>
      <c r="F70" s="39" t="s">
        <v>21</v>
      </c>
      <c r="G70" s="39" t="s">
        <v>102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ht="15" thickBot="1" x14ac:dyDescent="0.4">
      <c r="A71" s="82" t="s">
        <v>203</v>
      </c>
      <c r="B71" s="327">
        <v>0</v>
      </c>
      <c r="C71" s="326" t="s">
        <v>202</v>
      </c>
      <c r="D71" s="324" t="s">
        <v>43</v>
      </c>
      <c r="E71" s="115">
        <f>10.585*(C62/2500)*B71</f>
        <v>0</v>
      </c>
      <c r="F71" s="39" t="s">
        <v>21</v>
      </c>
      <c r="G71" s="39" t="s">
        <v>102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15">
        <f>9.052*(C62/2500)</f>
        <v>7.2416</v>
      </c>
      <c r="F72" s="39" t="s">
        <v>21</v>
      </c>
      <c r="G72" s="39" t="s">
        <v>102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3">
        <f>2.263*(C62/2500)</f>
        <v>1.8104</v>
      </c>
      <c r="F73" s="39" t="s">
        <v>21</v>
      </c>
      <c r="G73" s="39" t="s">
        <v>102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15">
        <f>14.6*(C62/2500)</f>
        <v>11.68</v>
      </c>
      <c r="F74" s="39" t="s">
        <v>21</v>
      </c>
      <c r="G74" s="39" t="s">
        <v>102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326" t="s">
        <v>202</v>
      </c>
      <c r="D75" s="324" t="s">
        <v>47</v>
      </c>
      <c r="E75" s="115">
        <f>5.11*(C62/2500)*B71</f>
        <v>0</v>
      </c>
      <c r="F75" s="39" t="s">
        <v>21</v>
      </c>
      <c r="G75" s="39" t="s">
        <v>102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15">
        <f>9.125*(C62/2500)</f>
        <v>7.3000000000000007</v>
      </c>
      <c r="F76" s="39" t="s">
        <v>21</v>
      </c>
      <c r="G76" s="39" t="s">
        <v>102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15">
        <f>10.22*(C62/2500)</f>
        <v>8.1760000000000002</v>
      </c>
      <c r="F77" s="39" t="s">
        <v>21</v>
      </c>
      <c r="G77" s="39" t="s">
        <v>102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15">
        <f>22.103153426319*(C62/2500)</f>
        <v>17.682522741055202</v>
      </c>
      <c r="F78" s="39" t="s">
        <v>21</v>
      </c>
      <c r="G78" s="39" t="s">
        <v>102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15">
        <f>17.6080958156458*(C62/2500)</f>
        <v>14.086476652516641</v>
      </c>
      <c r="F79" s="39" t="s">
        <v>21</v>
      </c>
      <c r="G79" s="39" t="s">
        <v>102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26" t="s">
        <v>206</v>
      </c>
      <c r="B80" s="43"/>
      <c r="C80" s="326"/>
      <c r="D80" s="39" t="s">
        <v>52</v>
      </c>
      <c r="E80" s="115">
        <f>18.25*(C62/2500)*(1-B71)*2</f>
        <v>29.200000000000003</v>
      </c>
      <c r="F80" s="39" t="s">
        <v>21</v>
      </c>
      <c r="G80" s="39" t="s">
        <v>102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15">
        <f>14.3543056397817*(C62/2500)</f>
        <v>11.483444511825361</v>
      </c>
      <c r="F81" s="39" t="s">
        <v>21</v>
      </c>
      <c r="G81" s="39" t="s">
        <v>102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15">
        <f>4.21664645239539*(C62/2500)</f>
        <v>3.3733171619163125</v>
      </c>
      <c r="F82" s="39" t="s">
        <v>21</v>
      </c>
      <c r="G82" s="39" t="s">
        <v>102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15">
        <f>6.51864766525167*(C62/2500)</f>
        <v>5.2149181322013369</v>
      </c>
      <c r="F83" s="39" t="s">
        <v>21</v>
      </c>
      <c r="G83" s="39" t="s">
        <v>102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15">
        <f>6.86856882959369*(C62/2500)</f>
        <v>5.4948550636749527</v>
      </c>
      <c r="F84" s="39" t="s">
        <v>21</v>
      </c>
      <c r="G84" s="39" t="s">
        <v>102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15">
        <f>1.31701030927835*(C62/2500)</f>
        <v>1.05360824742268</v>
      </c>
      <c r="F85" s="39" t="s">
        <v>21</v>
      </c>
      <c r="G85" s="39" t="s">
        <v>102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15">
        <f>8.7355966662923*(C62/2500)</f>
        <v>6.988477333033841</v>
      </c>
      <c r="F86" s="39" t="s">
        <v>21</v>
      </c>
      <c r="G86" s="39" t="s">
        <v>102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15">
        <f>7.17049260279694*(C62/2500)</f>
        <v>5.7363940822375525</v>
      </c>
      <c r="F87" s="39" t="s">
        <v>21</v>
      </c>
      <c r="G87" s="39" t="s">
        <v>102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15">
        <f>2.34391073091076*(C62/2500)</f>
        <v>1.8751285847286081</v>
      </c>
      <c r="F88" s="39" t="s">
        <v>21</v>
      </c>
      <c r="G88" s="39" t="s">
        <v>102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15">
        <f>1.3447779251572*(C62/2500)</f>
        <v>1.0758223401257601</v>
      </c>
      <c r="F89" s="39" t="s">
        <v>21</v>
      </c>
      <c r="G89" s="39" t="s">
        <v>102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15">
        <f>11.1694711530351*(C62/2500)</f>
        <v>8.9355769224280817</v>
      </c>
      <c r="F90" s="39" t="s">
        <v>21</v>
      </c>
      <c r="G90" s="39" t="s">
        <v>102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15">
        <f>6.46663199234141*(C62/2500)</f>
        <v>5.1733055938731285</v>
      </c>
      <c r="F91" s="39" t="s">
        <v>21</v>
      </c>
      <c r="G91" s="39" t="s">
        <v>102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15">
        <f>4.06242286823153*(C62/2500)</f>
        <v>3.249938294585224</v>
      </c>
      <c r="F92" s="39" t="s">
        <v>21</v>
      </c>
      <c r="G92" s="39" t="s">
        <v>102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15">
        <f>5.71852397892416*(C62/2500)</f>
        <v>4.5748191831393283</v>
      </c>
      <c r="F93" s="39" t="s">
        <v>21</v>
      </c>
      <c r="G93" s="39" t="s">
        <v>102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15">
        <f>13.9993202282027*(C62/2500)</f>
        <v>11.199456182562161</v>
      </c>
      <c r="F94" s="39" t="s">
        <v>21</v>
      </c>
      <c r="G94" s="39" t="s">
        <v>102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15">
        <f>8.80556018691014*(C62/2500)</f>
        <v>7.0444481495281126</v>
      </c>
      <c r="F95" s="39" t="s">
        <v>21</v>
      </c>
      <c r="G95" s="39" t="s">
        <v>102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15">
        <f>4.3471483938049*(C62/2500)</f>
        <v>3.4777187150439199</v>
      </c>
      <c r="F96" s="39" t="s">
        <v>21</v>
      </c>
      <c r="G96" s="39" t="s">
        <v>102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15">
        <f>3.69975375852425*(C62/2500)</f>
        <v>2.9598030068194001</v>
      </c>
      <c r="F97" s="39" t="s">
        <v>21</v>
      </c>
      <c r="G97" s="39" t="s">
        <v>102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15">
        <f>15.9530009839203*(C62/2500)</f>
        <v>12.76240078713624</v>
      </c>
      <c r="F98" s="39" t="s">
        <v>21</v>
      </c>
      <c r="G98" s="39" t="s">
        <v>102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15">
        <f>4.77542162276646*(C62/2500)</f>
        <v>3.8203372982131683</v>
      </c>
      <c r="F99" s="39" t="s">
        <v>21</v>
      </c>
      <c r="G99" s="39" t="s">
        <v>102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15">
        <f>29.1579669081819*(C62/2500)</f>
        <v>23.326373526545524</v>
      </c>
      <c r="F100" s="39" t="s">
        <v>21</v>
      </c>
      <c r="G100" s="39" t="s">
        <v>102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326" t="s">
        <v>202</v>
      </c>
      <c r="D101" s="324" t="s">
        <v>72</v>
      </c>
      <c r="E101" s="115">
        <f>4.72923483486591*(C62/2500)*B71</f>
        <v>0</v>
      </c>
      <c r="F101" s="39" t="s">
        <v>21</v>
      </c>
      <c r="G101" s="39" t="s">
        <v>102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326" t="s">
        <v>202</v>
      </c>
      <c r="D102" s="324" t="s">
        <v>74</v>
      </c>
      <c r="E102" s="115">
        <f>2.28790798532525*(C62/2500)*B71</f>
        <v>0</v>
      </c>
      <c r="F102" s="39" t="s">
        <v>21</v>
      </c>
      <c r="G102" s="39" t="s">
        <v>102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326" t="s">
        <v>202</v>
      </c>
      <c r="D103" s="325" t="s">
        <v>73</v>
      </c>
      <c r="E103" s="116">
        <f>84.2328571798088*(C62/2500)*B71</f>
        <v>0</v>
      </c>
      <c r="F103" s="39" t="s">
        <v>21</v>
      </c>
      <c r="G103" s="39" t="s">
        <v>102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333" t="s">
        <v>214</v>
      </c>
      <c r="B104" s="43"/>
      <c r="C104" s="44"/>
      <c r="D104" s="72" t="s">
        <v>98</v>
      </c>
      <c r="E104" s="117">
        <f>-0.05*SUM(E63:E103)</f>
        <v>-15.417057125530627</v>
      </c>
      <c r="F104" s="39" t="s">
        <v>21</v>
      </c>
      <c r="G104" s="39" t="s">
        <v>102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136</v>
      </c>
      <c r="C106" s="366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5">
      <c r="A107" s="46" t="s">
        <v>4</v>
      </c>
      <c r="B107" s="48" t="s">
        <v>136</v>
      </c>
      <c r="C107" s="36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5">
      <c r="A108" s="46" t="s">
        <v>5</v>
      </c>
      <c r="B108" s="46" t="s">
        <v>6</v>
      </c>
      <c r="C108" s="36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5">
      <c r="A109" s="46" t="s">
        <v>7</v>
      </c>
      <c r="B109" s="126">
        <v>1</v>
      </c>
      <c r="C109" s="36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5">
      <c r="A110" s="46" t="s">
        <v>8</v>
      </c>
      <c r="B110" s="46" t="s">
        <v>9</v>
      </c>
      <c r="C110" s="36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5">
      <c r="A111" s="74" t="s">
        <v>219</v>
      </c>
      <c r="B111" s="74" t="s">
        <v>273</v>
      </c>
      <c r="C111" s="36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5">
      <c r="A112" s="46" t="s">
        <v>10</v>
      </c>
      <c r="B112" s="49" t="s">
        <v>10</v>
      </c>
      <c r="C112" s="36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5">
      <c r="A113" s="45" t="s">
        <v>11</v>
      </c>
      <c r="B113" s="46"/>
      <c r="C113" s="36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ht="15" thickBot="1" x14ac:dyDescent="0.4">
      <c r="A114" s="367" t="s">
        <v>22</v>
      </c>
      <c r="B114" s="367" t="s">
        <v>23</v>
      </c>
      <c r="C114" s="366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4" t="s">
        <v>163</v>
      </c>
      <c r="B115" s="312">
        <v>10</v>
      </c>
      <c r="C115" s="149" t="s">
        <v>161</v>
      </c>
      <c r="D115" s="78" t="s">
        <v>136</v>
      </c>
      <c r="E115" s="118">
        <v>1</v>
      </c>
      <c r="F115" s="50" t="s">
        <v>10</v>
      </c>
      <c r="G115" s="50" t="s">
        <v>278</v>
      </c>
      <c r="H115" s="50" t="s">
        <v>6</v>
      </c>
      <c r="I115" s="50" t="s">
        <v>20</v>
      </c>
      <c r="J115" s="51"/>
      <c r="K115" s="51"/>
      <c r="L115" s="51"/>
      <c r="M115" s="51"/>
      <c r="N115" s="50"/>
      <c r="O115" s="46"/>
    </row>
    <row r="116" spans="1:15" ht="15" thickBot="1" x14ac:dyDescent="0.4">
      <c r="A116" s="368">
        <v>0</v>
      </c>
      <c r="B116" s="75" t="s">
        <v>162</v>
      </c>
      <c r="C116" s="149">
        <v>50</v>
      </c>
      <c r="D116" s="78" t="s">
        <v>217</v>
      </c>
      <c r="E116" s="118">
        <f>A116*B115*A117/C116</f>
        <v>0</v>
      </c>
      <c r="F116" s="50" t="s">
        <v>29</v>
      </c>
      <c r="G116" s="50" t="s">
        <v>278</v>
      </c>
      <c r="H116" s="78" t="s">
        <v>6</v>
      </c>
      <c r="I116" s="50" t="s">
        <v>25</v>
      </c>
      <c r="J116" s="51"/>
      <c r="K116" s="51"/>
      <c r="L116" s="51"/>
      <c r="M116" s="51"/>
      <c r="N116" s="50"/>
      <c r="O116" s="46"/>
    </row>
    <row r="117" spans="1:15" x14ac:dyDescent="0.35">
      <c r="A117" s="74">
        <v>2.5</v>
      </c>
      <c r="B117" s="75" t="s">
        <v>162</v>
      </c>
      <c r="C117" s="149">
        <v>80</v>
      </c>
      <c r="D117" s="50" t="s">
        <v>75</v>
      </c>
      <c r="E117" s="118">
        <f>(1-A116)*B115*A117/C117</f>
        <v>0.3125</v>
      </c>
      <c r="F117" s="50" t="s">
        <v>29</v>
      </c>
      <c r="G117" s="50" t="s">
        <v>102</v>
      </c>
      <c r="H117" s="50" t="s">
        <v>6</v>
      </c>
      <c r="I117" s="50" t="s">
        <v>25</v>
      </c>
      <c r="J117" s="45"/>
      <c r="K117" s="45"/>
      <c r="L117" s="45"/>
      <c r="M117" s="45"/>
      <c r="N117" s="46"/>
      <c r="O117" s="46"/>
    </row>
    <row r="118" spans="1:15" x14ac:dyDescent="0.35">
      <c r="A118" s="2"/>
      <c r="B118" s="145"/>
      <c r="C118" s="146"/>
      <c r="D118" s="79"/>
      <c r="E118" s="147"/>
      <c r="F118" s="79"/>
      <c r="G118" s="79"/>
      <c r="H118" s="79"/>
      <c r="I118" s="79"/>
      <c r="J118" s="25"/>
      <c r="K118" s="25"/>
      <c r="L118" s="25"/>
      <c r="M118" s="25"/>
      <c r="N118" s="2"/>
      <c r="O118" s="2"/>
    </row>
    <row r="119" spans="1:15" x14ac:dyDescent="0.35">
      <c r="A119" s="152" t="s">
        <v>3</v>
      </c>
      <c r="B119" s="152" t="s">
        <v>133</v>
      </c>
      <c r="C119" s="153"/>
      <c r="D119" s="154"/>
      <c r="E119" s="154"/>
      <c r="F119" s="155"/>
      <c r="G119" s="154"/>
      <c r="H119" s="154"/>
      <c r="I119" s="154"/>
      <c r="J119" s="154"/>
      <c r="K119" s="154"/>
      <c r="L119" s="154"/>
      <c r="M119" s="154"/>
      <c r="N119" s="154"/>
      <c r="O119" s="154"/>
    </row>
    <row r="120" spans="1:15" x14ac:dyDescent="0.35">
      <c r="A120" s="154" t="s">
        <v>4</v>
      </c>
      <c r="B120" s="156" t="s">
        <v>133</v>
      </c>
      <c r="C120" s="153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</row>
    <row r="121" spans="1:15" x14ac:dyDescent="0.35">
      <c r="A121" s="154" t="s">
        <v>5</v>
      </c>
      <c r="B121" s="154" t="s">
        <v>6</v>
      </c>
      <c r="C121" s="153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</row>
    <row r="122" spans="1:15" x14ac:dyDescent="0.35">
      <c r="A122" s="154" t="s">
        <v>7</v>
      </c>
      <c r="B122" s="157">
        <v>1</v>
      </c>
      <c r="C122" s="153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</row>
    <row r="123" spans="1:15" x14ac:dyDescent="0.35">
      <c r="A123" s="154" t="s">
        <v>8</v>
      </c>
      <c r="B123" s="154" t="s">
        <v>9</v>
      </c>
      <c r="C123" s="153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</row>
    <row r="124" spans="1:15" x14ac:dyDescent="0.35">
      <c r="A124" s="154" t="s">
        <v>10</v>
      </c>
      <c r="B124" s="154" t="s">
        <v>10</v>
      </c>
      <c r="C124" s="153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</row>
    <row r="125" spans="1:15" x14ac:dyDescent="0.35">
      <c r="A125" s="152" t="s">
        <v>11</v>
      </c>
      <c r="B125" s="154"/>
      <c r="C125" s="153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</row>
    <row r="126" spans="1:15" x14ac:dyDescent="0.35">
      <c r="A126" s="158" t="s">
        <v>22</v>
      </c>
      <c r="B126" s="158" t="s">
        <v>23</v>
      </c>
      <c r="C126" s="153" t="s">
        <v>24</v>
      </c>
      <c r="D126" s="152" t="s">
        <v>12</v>
      </c>
      <c r="E126" s="152" t="s">
        <v>13</v>
      </c>
      <c r="F126" s="152" t="s">
        <v>10</v>
      </c>
      <c r="G126" s="152" t="s">
        <v>14</v>
      </c>
      <c r="H126" s="152" t="s">
        <v>5</v>
      </c>
      <c r="I126" s="152" t="s">
        <v>8</v>
      </c>
      <c r="J126" s="152" t="s">
        <v>15</v>
      </c>
      <c r="K126" s="152" t="s">
        <v>16</v>
      </c>
      <c r="L126" s="152" t="s">
        <v>17</v>
      </c>
      <c r="M126" s="152" t="s">
        <v>18</v>
      </c>
      <c r="N126" s="152" t="s">
        <v>19</v>
      </c>
      <c r="O126" s="152" t="s">
        <v>4</v>
      </c>
    </row>
    <row r="127" spans="1:15" ht="15" thickBot="1" x14ac:dyDescent="0.4">
      <c r="A127" s="154" t="s">
        <v>164</v>
      </c>
      <c r="B127" s="154"/>
      <c r="C127" s="159"/>
      <c r="D127" s="160" t="s">
        <v>133</v>
      </c>
      <c r="E127" s="161">
        <v>1</v>
      </c>
      <c r="F127" s="160" t="s">
        <v>10</v>
      </c>
      <c r="G127" s="160" t="s">
        <v>278</v>
      </c>
      <c r="H127" s="160" t="s">
        <v>6</v>
      </c>
      <c r="I127" s="160" t="s">
        <v>20</v>
      </c>
      <c r="J127" s="162"/>
      <c r="K127" s="162"/>
      <c r="L127" s="162"/>
      <c r="M127" s="162"/>
      <c r="N127" s="160"/>
      <c r="O127" s="154"/>
    </row>
    <row r="128" spans="1:15" ht="15" thickBot="1" x14ac:dyDescent="0.4">
      <c r="A128" s="311">
        <v>5</v>
      </c>
      <c r="B128" s="160" t="s">
        <v>162</v>
      </c>
      <c r="C128" s="159">
        <v>10</v>
      </c>
      <c r="D128" s="154" t="s">
        <v>76</v>
      </c>
      <c r="E128" s="161">
        <f>1/A128/C128</f>
        <v>0.02</v>
      </c>
      <c r="F128" s="154" t="s">
        <v>10</v>
      </c>
      <c r="G128" s="160" t="s">
        <v>102</v>
      </c>
      <c r="H128" s="154" t="s">
        <v>6</v>
      </c>
      <c r="I128" s="154" t="s">
        <v>25</v>
      </c>
      <c r="J128" s="156"/>
      <c r="K128" s="156"/>
      <c r="L128" s="156"/>
      <c r="M128" s="156"/>
      <c r="N128" s="154"/>
      <c r="O128" s="154"/>
    </row>
    <row r="129" spans="1:15" x14ac:dyDescent="0.35">
      <c r="A129" s="2"/>
      <c r="B129" s="79"/>
      <c r="C129" s="148"/>
      <c r="D129" s="2"/>
      <c r="E129" s="147"/>
      <c r="F129" s="2"/>
      <c r="G129" s="79"/>
      <c r="H129" s="2"/>
      <c r="I129" s="2"/>
      <c r="J129" s="23"/>
      <c r="K129" s="23"/>
      <c r="L129" s="23"/>
      <c r="M129" s="23"/>
      <c r="N129" s="2"/>
      <c r="O129" s="2"/>
    </row>
    <row r="130" spans="1:15" x14ac:dyDescent="0.35">
      <c r="A130" s="164" t="s">
        <v>3</v>
      </c>
      <c r="B130" s="164" t="s">
        <v>135</v>
      </c>
      <c r="C130" s="165"/>
      <c r="D130" s="166"/>
      <c r="E130" s="166"/>
      <c r="F130" s="167"/>
      <c r="G130" s="166"/>
      <c r="H130" s="166"/>
      <c r="I130" s="166"/>
      <c r="J130" s="166"/>
      <c r="K130" s="166"/>
      <c r="L130" s="166"/>
      <c r="M130" s="166"/>
      <c r="N130" s="166"/>
      <c r="O130" s="166"/>
    </row>
    <row r="131" spans="1:15" x14ac:dyDescent="0.35">
      <c r="A131" s="166" t="s">
        <v>4</v>
      </c>
      <c r="B131" s="168" t="s">
        <v>135</v>
      </c>
      <c r="C131" s="165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</row>
    <row r="132" spans="1:15" x14ac:dyDescent="0.35">
      <c r="A132" s="166" t="s">
        <v>5</v>
      </c>
      <c r="B132" s="166" t="s">
        <v>6</v>
      </c>
      <c r="C132" s="165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</row>
    <row r="133" spans="1:15" x14ac:dyDescent="0.35">
      <c r="A133" s="166" t="s">
        <v>7</v>
      </c>
      <c r="B133" s="169">
        <v>1</v>
      </c>
      <c r="C133" s="165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</row>
    <row r="134" spans="1:15" x14ac:dyDescent="0.35">
      <c r="A134" s="166" t="s">
        <v>8</v>
      </c>
      <c r="B134" s="166" t="s">
        <v>9</v>
      </c>
      <c r="C134" s="165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</row>
    <row r="135" spans="1:15" x14ac:dyDescent="0.35">
      <c r="A135" s="166" t="s">
        <v>10</v>
      </c>
      <c r="B135" s="166" t="s">
        <v>10</v>
      </c>
      <c r="C135" s="165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</row>
    <row r="136" spans="1:15" x14ac:dyDescent="0.35">
      <c r="A136" s="164" t="s">
        <v>11</v>
      </c>
      <c r="B136" s="166"/>
      <c r="C136" s="165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</row>
    <row r="137" spans="1:15" x14ac:dyDescent="0.35">
      <c r="A137" s="170" t="s">
        <v>22</v>
      </c>
      <c r="B137" s="170" t="s">
        <v>23</v>
      </c>
      <c r="C137" s="165" t="s">
        <v>24</v>
      </c>
      <c r="D137" s="164" t="s">
        <v>12</v>
      </c>
      <c r="E137" s="164" t="s">
        <v>13</v>
      </c>
      <c r="F137" s="164" t="s">
        <v>10</v>
      </c>
      <c r="G137" s="164" t="s">
        <v>14</v>
      </c>
      <c r="H137" s="164" t="s">
        <v>5</v>
      </c>
      <c r="I137" s="164" t="s">
        <v>8</v>
      </c>
      <c r="J137" s="164" t="s">
        <v>15</v>
      </c>
      <c r="K137" s="164" t="s">
        <v>16</v>
      </c>
      <c r="L137" s="164" t="s">
        <v>17</v>
      </c>
      <c r="M137" s="164" t="s">
        <v>18</v>
      </c>
      <c r="N137" s="164" t="s">
        <v>19</v>
      </c>
      <c r="O137" s="164" t="s">
        <v>4</v>
      </c>
    </row>
    <row r="138" spans="1:15" x14ac:dyDescent="0.35">
      <c r="A138" s="171"/>
      <c r="B138" s="166"/>
      <c r="C138" s="172"/>
      <c r="D138" s="173" t="s">
        <v>135</v>
      </c>
      <c r="E138" s="174">
        <v>1</v>
      </c>
      <c r="F138" s="173" t="s">
        <v>10</v>
      </c>
      <c r="G138" s="173" t="s">
        <v>278</v>
      </c>
      <c r="H138" s="173" t="s">
        <v>6</v>
      </c>
      <c r="I138" s="173" t="s">
        <v>20</v>
      </c>
      <c r="J138" s="175"/>
      <c r="K138" s="175"/>
      <c r="L138" s="175"/>
      <c r="M138" s="175"/>
      <c r="N138" s="173"/>
      <c r="O138" s="166"/>
    </row>
    <row r="139" spans="1:15" ht="15" thickBot="1" x14ac:dyDescent="0.4">
      <c r="A139" s="166" t="s">
        <v>167</v>
      </c>
      <c r="B139" s="173" t="s">
        <v>165</v>
      </c>
      <c r="C139" s="172">
        <v>25</v>
      </c>
      <c r="D139" s="166" t="s">
        <v>77</v>
      </c>
      <c r="E139" s="174">
        <f>7.5/C139/A140</f>
        <v>0.06</v>
      </c>
      <c r="F139" s="166" t="s">
        <v>21</v>
      </c>
      <c r="G139" s="173" t="s">
        <v>102</v>
      </c>
      <c r="H139" s="166" t="s">
        <v>6</v>
      </c>
      <c r="I139" s="166" t="s">
        <v>25</v>
      </c>
      <c r="J139" s="168"/>
      <c r="K139" s="168"/>
      <c r="L139" s="168"/>
      <c r="M139" s="168"/>
      <c r="N139" s="166"/>
      <c r="O139" s="166"/>
    </row>
    <row r="140" spans="1:15" ht="15" thickBot="1" x14ac:dyDescent="0.4">
      <c r="A140" s="310">
        <v>5</v>
      </c>
      <c r="B140" s="328">
        <v>50</v>
      </c>
      <c r="C140" s="172" t="s">
        <v>208</v>
      </c>
      <c r="D140" s="166" t="s">
        <v>78</v>
      </c>
      <c r="E140" s="176">
        <f>21.17*1000*(B140/58)</f>
        <v>18250</v>
      </c>
      <c r="F140" s="166" t="s">
        <v>21</v>
      </c>
      <c r="G140" s="173" t="s">
        <v>102</v>
      </c>
      <c r="H140" s="166" t="s">
        <v>6</v>
      </c>
      <c r="I140" s="166" t="s">
        <v>25</v>
      </c>
      <c r="J140" s="168"/>
      <c r="K140" s="168"/>
      <c r="L140" s="168"/>
      <c r="M140" s="168"/>
      <c r="N140" s="166"/>
      <c r="O140" s="166"/>
    </row>
    <row r="141" spans="1:15" x14ac:dyDescent="0.35">
      <c r="A141" s="166"/>
      <c r="B141" s="173"/>
      <c r="C141" s="172" t="s">
        <v>166</v>
      </c>
      <c r="D141" s="166" t="s">
        <v>79</v>
      </c>
      <c r="E141" s="174">
        <f>-E140/1000</f>
        <v>-18.25</v>
      </c>
      <c r="F141" s="166" t="s">
        <v>29</v>
      </c>
      <c r="G141" s="173" t="s">
        <v>102</v>
      </c>
      <c r="H141" s="166" t="s">
        <v>30</v>
      </c>
      <c r="I141" s="166" t="s">
        <v>25</v>
      </c>
      <c r="J141" s="168"/>
      <c r="K141" s="168"/>
      <c r="L141" s="168"/>
      <c r="M141" s="168"/>
      <c r="N141" s="166"/>
      <c r="O141" s="166"/>
    </row>
    <row r="142" spans="1:15" x14ac:dyDescent="0.35">
      <c r="A142" s="166"/>
      <c r="B142" s="173"/>
      <c r="C142" s="172" t="s">
        <v>170</v>
      </c>
      <c r="D142" s="166" t="s">
        <v>105</v>
      </c>
      <c r="E142" s="174">
        <f>-E139</f>
        <v>-0.06</v>
      </c>
      <c r="F142" s="166" t="s">
        <v>21</v>
      </c>
      <c r="G142" s="173" t="s">
        <v>102</v>
      </c>
      <c r="H142" s="166" t="s">
        <v>30</v>
      </c>
      <c r="I142" s="166" t="s">
        <v>25</v>
      </c>
      <c r="J142" s="168"/>
      <c r="K142" s="168"/>
      <c r="L142" s="168"/>
      <c r="M142" s="168"/>
      <c r="N142" s="166"/>
      <c r="O142" s="166"/>
    </row>
    <row r="143" spans="1:15" x14ac:dyDescent="0.35">
      <c r="A143" s="2"/>
      <c r="B143" s="79"/>
      <c r="C143" s="163"/>
      <c r="D143" s="2"/>
      <c r="E143" s="147"/>
      <c r="F143" s="2"/>
      <c r="G143" s="79"/>
      <c r="H143" s="2"/>
      <c r="I143" s="2"/>
      <c r="J143" s="23"/>
      <c r="K143" s="23"/>
      <c r="L143" s="23"/>
      <c r="M143" s="23"/>
      <c r="N143" s="2"/>
      <c r="O143" s="2"/>
    </row>
    <row r="144" spans="1:15" x14ac:dyDescent="0.35">
      <c r="A144" s="179" t="s">
        <v>3</v>
      </c>
      <c r="B144" s="179" t="s">
        <v>138</v>
      </c>
      <c r="C144" s="180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</row>
    <row r="145" spans="1:15" x14ac:dyDescent="0.35">
      <c r="A145" s="181" t="s">
        <v>4</v>
      </c>
      <c r="B145" s="183" t="s">
        <v>138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</row>
    <row r="146" spans="1:15" x14ac:dyDescent="0.35">
      <c r="A146" s="181" t="s">
        <v>5</v>
      </c>
      <c r="B146" s="181" t="s">
        <v>6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</row>
    <row r="147" spans="1:15" x14ac:dyDescent="0.35">
      <c r="A147" s="181" t="s">
        <v>7</v>
      </c>
      <c r="B147" s="184">
        <v>1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</row>
    <row r="148" spans="1:15" x14ac:dyDescent="0.35">
      <c r="A148" s="181" t="s">
        <v>8</v>
      </c>
      <c r="B148" s="181" t="s">
        <v>9</v>
      </c>
      <c r="C148" s="180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</row>
    <row r="149" spans="1:15" x14ac:dyDescent="0.35">
      <c r="A149" s="181" t="s">
        <v>10</v>
      </c>
      <c r="B149" s="181" t="s">
        <v>10</v>
      </c>
      <c r="C149" s="180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</row>
    <row r="150" spans="1:15" x14ac:dyDescent="0.35">
      <c r="A150" s="179" t="s">
        <v>11</v>
      </c>
      <c r="B150" s="181"/>
      <c r="C150" s="180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</row>
    <row r="151" spans="1:15" x14ac:dyDescent="0.35">
      <c r="A151" s="185" t="s">
        <v>22</v>
      </c>
      <c r="B151" s="185" t="s">
        <v>23</v>
      </c>
      <c r="C151" s="180" t="s">
        <v>24</v>
      </c>
      <c r="D151" s="179" t="s">
        <v>12</v>
      </c>
      <c r="E151" s="179" t="s">
        <v>13</v>
      </c>
      <c r="F151" s="179" t="s">
        <v>10</v>
      </c>
      <c r="G151" s="179" t="s">
        <v>14</v>
      </c>
      <c r="H151" s="179" t="s">
        <v>5</v>
      </c>
      <c r="I151" s="179" t="s">
        <v>8</v>
      </c>
      <c r="J151" s="179" t="s">
        <v>15</v>
      </c>
      <c r="K151" s="179" t="s">
        <v>16</v>
      </c>
      <c r="L151" s="179" t="s">
        <v>17</v>
      </c>
      <c r="M151" s="179" t="s">
        <v>18</v>
      </c>
      <c r="N151" s="179" t="s">
        <v>19</v>
      </c>
      <c r="O151" s="179" t="s">
        <v>4</v>
      </c>
    </row>
    <row r="152" spans="1:15" ht="15" thickBot="1" x14ac:dyDescent="0.4">
      <c r="A152" s="186" t="s">
        <v>169</v>
      </c>
      <c r="B152" s="181"/>
      <c r="C152" s="187"/>
      <c r="D152" s="188" t="s">
        <v>138</v>
      </c>
      <c r="E152" s="189">
        <v>1</v>
      </c>
      <c r="F152" s="188" t="s">
        <v>10</v>
      </c>
      <c r="G152" s="188" t="s">
        <v>278</v>
      </c>
      <c r="H152" s="188" t="s">
        <v>6</v>
      </c>
      <c r="I152" s="188" t="s">
        <v>20</v>
      </c>
      <c r="J152" s="190"/>
      <c r="K152" s="190"/>
      <c r="L152" s="190"/>
      <c r="M152" s="190"/>
      <c r="N152" s="188"/>
      <c r="O152" s="181"/>
    </row>
    <row r="153" spans="1:15" ht="15" thickBot="1" x14ac:dyDescent="0.4">
      <c r="A153" s="308">
        <v>5</v>
      </c>
      <c r="B153" s="188" t="s">
        <v>168</v>
      </c>
      <c r="C153" s="309">
        <v>4</v>
      </c>
      <c r="D153" s="181" t="s">
        <v>80</v>
      </c>
      <c r="E153" s="189">
        <f>0.35*(C153/6)*(4/A153)</f>
        <v>0.18666666666666665</v>
      </c>
      <c r="F153" s="181" t="s">
        <v>21</v>
      </c>
      <c r="G153" s="188" t="s">
        <v>102</v>
      </c>
      <c r="H153" s="181" t="s">
        <v>6</v>
      </c>
      <c r="I153" s="181" t="s">
        <v>25</v>
      </c>
      <c r="J153" s="183"/>
      <c r="K153" s="183"/>
      <c r="L153" s="183"/>
      <c r="M153" s="183"/>
      <c r="N153" s="181"/>
      <c r="O153" s="181"/>
    </row>
    <row r="154" spans="1:15" x14ac:dyDescent="0.35">
      <c r="A154" s="191"/>
      <c r="B154" s="188"/>
      <c r="C154" s="187"/>
      <c r="D154" s="181" t="s">
        <v>100</v>
      </c>
      <c r="E154" s="189">
        <f>-E153</f>
        <v>-0.18666666666666665</v>
      </c>
      <c r="F154" s="181" t="s">
        <v>21</v>
      </c>
      <c r="G154" s="188" t="s">
        <v>102</v>
      </c>
      <c r="H154" s="181" t="s">
        <v>6</v>
      </c>
      <c r="I154" s="181" t="s">
        <v>25</v>
      </c>
      <c r="J154" s="183"/>
      <c r="K154" s="183"/>
      <c r="L154" s="183"/>
      <c r="M154" s="183"/>
      <c r="N154" s="181"/>
      <c r="O154" s="181"/>
    </row>
    <row r="155" spans="1:15" x14ac:dyDescent="0.35">
      <c r="A155" s="177"/>
      <c r="B155" s="81"/>
      <c r="C155" s="178"/>
      <c r="D155" s="2"/>
      <c r="E155" s="147"/>
      <c r="F155" s="2"/>
      <c r="G155" s="79"/>
      <c r="H155" s="2"/>
      <c r="I155" s="2"/>
      <c r="J155" s="23"/>
      <c r="K155" s="23"/>
      <c r="L155" s="23"/>
      <c r="M155" s="23"/>
      <c r="N155" s="2"/>
      <c r="O155" s="2"/>
    </row>
    <row r="156" spans="1:15" x14ac:dyDescent="0.35">
      <c r="A156" s="192" t="s">
        <v>3</v>
      </c>
      <c r="B156" s="192" t="s">
        <v>134</v>
      </c>
      <c r="C156" s="193"/>
      <c r="D156" s="194"/>
      <c r="E156" s="194"/>
      <c r="F156" s="195"/>
      <c r="G156" s="194"/>
      <c r="H156" s="194"/>
      <c r="I156" s="194"/>
      <c r="J156" s="194"/>
      <c r="K156" s="194"/>
      <c r="L156" s="194"/>
      <c r="M156" s="194"/>
      <c r="N156" s="194"/>
      <c r="O156" s="194"/>
    </row>
    <row r="157" spans="1:15" x14ac:dyDescent="0.35">
      <c r="A157" s="194" t="s">
        <v>4</v>
      </c>
      <c r="B157" s="196" t="s">
        <v>134</v>
      </c>
      <c r="C157" s="193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</row>
    <row r="158" spans="1:15" x14ac:dyDescent="0.35">
      <c r="A158" s="194" t="s">
        <v>5</v>
      </c>
      <c r="B158" s="194" t="s">
        <v>6</v>
      </c>
      <c r="C158" s="193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</row>
    <row r="159" spans="1:15" x14ac:dyDescent="0.35">
      <c r="A159" s="194" t="s">
        <v>7</v>
      </c>
      <c r="B159" s="197">
        <v>1</v>
      </c>
      <c r="C159" s="193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</row>
    <row r="160" spans="1:15" x14ac:dyDescent="0.35">
      <c r="A160" s="194" t="s">
        <v>8</v>
      </c>
      <c r="B160" s="194" t="s">
        <v>9</v>
      </c>
      <c r="C160" s="193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</row>
    <row r="161" spans="1:15" x14ac:dyDescent="0.35">
      <c r="A161" s="194" t="s">
        <v>10</v>
      </c>
      <c r="B161" s="194" t="s">
        <v>10</v>
      </c>
      <c r="C161" s="193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</row>
    <row r="162" spans="1:15" x14ac:dyDescent="0.35">
      <c r="A162" s="192" t="s">
        <v>11</v>
      </c>
      <c r="B162" s="194"/>
      <c r="C162" s="193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</row>
    <row r="163" spans="1:15" x14ac:dyDescent="0.35">
      <c r="A163" s="198" t="s">
        <v>22</v>
      </c>
      <c r="B163" s="198" t="s">
        <v>23</v>
      </c>
      <c r="C163" s="193" t="s">
        <v>24</v>
      </c>
      <c r="D163" s="192" t="s">
        <v>12</v>
      </c>
      <c r="E163" s="192" t="s">
        <v>13</v>
      </c>
      <c r="F163" s="192" t="s">
        <v>10</v>
      </c>
      <c r="G163" s="192" t="s">
        <v>14</v>
      </c>
      <c r="H163" s="192" t="s">
        <v>5</v>
      </c>
      <c r="I163" s="192" t="s">
        <v>8</v>
      </c>
      <c r="J163" s="192" t="s">
        <v>15</v>
      </c>
      <c r="K163" s="192" t="s">
        <v>16</v>
      </c>
      <c r="L163" s="192" t="s">
        <v>17</v>
      </c>
      <c r="M163" s="192" t="s">
        <v>18</v>
      </c>
      <c r="N163" s="192" t="s">
        <v>19</v>
      </c>
      <c r="O163" s="192" t="s">
        <v>4</v>
      </c>
    </row>
    <row r="164" spans="1:15" ht="15" thickBot="1" x14ac:dyDescent="0.4">
      <c r="A164" s="199" t="s">
        <v>169</v>
      </c>
      <c r="B164" s="194" t="s">
        <v>171</v>
      </c>
      <c r="C164" s="200"/>
      <c r="D164" s="201" t="s">
        <v>134</v>
      </c>
      <c r="E164" s="202">
        <v>1</v>
      </c>
      <c r="F164" s="201" t="s">
        <v>10</v>
      </c>
      <c r="G164" s="201" t="s">
        <v>278</v>
      </c>
      <c r="H164" s="201" t="s">
        <v>6</v>
      </c>
      <c r="I164" s="201" t="s">
        <v>20</v>
      </c>
      <c r="J164" s="203"/>
      <c r="K164" s="203"/>
      <c r="L164" s="203"/>
      <c r="M164" s="203"/>
      <c r="N164" s="201"/>
      <c r="O164" s="194"/>
    </row>
    <row r="165" spans="1:15" ht="15" thickBot="1" x14ac:dyDescent="0.4">
      <c r="A165" s="307">
        <v>5</v>
      </c>
      <c r="B165" s="204">
        <v>15</v>
      </c>
      <c r="C165" s="200" t="s">
        <v>161</v>
      </c>
      <c r="D165" s="194" t="s">
        <v>81</v>
      </c>
      <c r="E165" s="202">
        <f>1/A165/B165</f>
        <v>1.3333333333333334E-2</v>
      </c>
      <c r="F165" s="194" t="s">
        <v>10</v>
      </c>
      <c r="G165" s="201" t="s">
        <v>102</v>
      </c>
      <c r="H165" s="194" t="s">
        <v>6</v>
      </c>
      <c r="I165" s="194" t="s">
        <v>25</v>
      </c>
      <c r="J165" s="196"/>
      <c r="K165" s="196"/>
      <c r="L165" s="196"/>
      <c r="M165" s="196"/>
      <c r="N165" s="194"/>
      <c r="O165" s="194"/>
    </row>
    <row r="166" spans="1:15" s="210" customFormat="1" x14ac:dyDescent="0.35">
      <c r="A166" s="205"/>
      <c r="B166" s="206"/>
      <c r="C166" s="207"/>
      <c r="D166" s="205"/>
      <c r="E166" s="208"/>
      <c r="F166" s="205"/>
      <c r="G166" s="206"/>
      <c r="H166" s="205"/>
      <c r="I166" s="205"/>
      <c r="J166" s="209"/>
      <c r="K166" s="209"/>
      <c r="L166" s="209"/>
      <c r="M166" s="209"/>
      <c r="N166" s="205"/>
      <c r="O166" s="205"/>
    </row>
    <row r="167" spans="1:15" x14ac:dyDescent="0.35">
      <c r="A167" s="232" t="s">
        <v>3</v>
      </c>
      <c r="B167" s="232" t="s">
        <v>139</v>
      </c>
      <c r="C167" s="233"/>
      <c r="D167" s="234"/>
      <c r="E167" s="234"/>
      <c r="F167" s="235"/>
      <c r="G167" s="234"/>
      <c r="H167" s="234"/>
      <c r="I167" s="234"/>
      <c r="J167" s="234"/>
      <c r="K167" s="234"/>
      <c r="L167" s="234"/>
      <c r="M167" s="234"/>
      <c r="N167" s="234"/>
      <c r="O167" s="234"/>
    </row>
    <row r="168" spans="1:15" x14ac:dyDescent="0.35">
      <c r="A168" s="234" t="s">
        <v>4</v>
      </c>
      <c r="B168" s="236" t="s">
        <v>139</v>
      </c>
      <c r="C168" s="233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</row>
    <row r="169" spans="1:15" x14ac:dyDescent="0.35">
      <c r="A169" s="234" t="s">
        <v>5</v>
      </c>
      <c r="B169" s="234" t="s">
        <v>6</v>
      </c>
      <c r="C169" s="233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</row>
    <row r="170" spans="1:15" x14ac:dyDescent="0.35">
      <c r="A170" s="234" t="s">
        <v>7</v>
      </c>
      <c r="B170" s="237">
        <v>1</v>
      </c>
      <c r="C170" s="233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</row>
    <row r="171" spans="1:15" x14ac:dyDescent="0.35">
      <c r="A171" s="234" t="s">
        <v>8</v>
      </c>
      <c r="B171" s="234" t="s">
        <v>9</v>
      </c>
      <c r="C171" s="233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</row>
    <row r="172" spans="1:15" x14ac:dyDescent="0.35">
      <c r="A172" s="234" t="s">
        <v>10</v>
      </c>
      <c r="B172" s="234" t="s">
        <v>10</v>
      </c>
      <c r="C172" s="233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</row>
    <row r="173" spans="1:15" x14ac:dyDescent="0.35">
      <c r="A173" s="232" t="s">
        <v>11</v>
      </c>
      <c r="B173" s="234"/>
      <c r="C173" s="233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</row>
    <row r="174" spans="1:15" x14ac:dyDescent="0.35">
      <c r="A174" s="238" t="s">
        <v>22</v>
      </c>
      <c r="B174" s="238" t="s">
        <v>23</v>
      </c>
      <c r="C174" s="233" t="s">
        <v>24</v>
      </c>
      <c r="D174" s="232" t="s">
        <v>12</v>
      </c>
      <c r="E174" s="232" t="s">
        <v>13</v>
      </c>
      <c r="F174" s="232" t="s">
        <v>10</v>
      </c>
      <c r="G174" s="232" t="s">
        <v>14</v>
      </c>
      <c r="H174" s="232" t="s">
        <v>5</v>
      </c>
      <c r="I174" s="232" t="s">
        <v>8</v>
      </c>
      <c r="J174" s="232" t="s">
        <v>15</v>
      </c>
      <c r="K174" s="232" t="s">
        <v>16</v>
      </c>
      <c r="L174" s="232" t="s">
        <v>17</v>
      </c>
      <c r="M174" s="232" t="s">
        <v>18</v>
      </c>
      <c r="N174" s="232" t="s">
        <v>19</v>
      </c>
      <c r="O174" s="232" t="s">
        <v>4</v>
      </c>
    </row>
    <row r="175" spans="1:15" ht="15" thickBot="1" x14ac:dyDescent="0.4">
      <c r="A175" s="239" t="s">
        <v>169</v>
      </c>
      <c r="B175" s="234"/>
      <c r="C175" s="239" t="s">
        <v>172</v>
      </c>
      <c r="D175" s="240" t="s">
        <v>139</v>
      </c>
      <c r="E175" s="241">
        <v>1</v>
      </c>
      <c r="F175" s="240" t="s">
        <v>10</v>
      </c>
      <c r="G175" s="240" t="s">
        <v>278</v>
      </c>
      <c r="H175" s="240" t="s">
        <v>6</v>
      </c>
      <c r="I175" s="240" t="s">
        <v>20</v>
      </c>
      <c r="J175" s="242"/>
      <c r="K175" s="242"/>
      <c r="L175" s="242"/>
      <c r="M175" s="242"/>
      <c r="N175" s="240"/>
      <c r="O175" s="234"/>
    </row>
    <row r="176" spans="1:15" ht="15" thickBot="1" x14ac:dyDescent="0.4">
      <c r="A176" s="306">
        <v>5</v>
      </c>
      <c r="B176" s="234"/>
      <c r="C176" s="243"/>
      <c r="D176" s="240" t="s">
        <v>147</v>
      </c>
      <c r="E176" s="241">
        <f>1/A176</f>
        <v>0.2</v>
      </c>
      <c r="F176" s="240" t="s">
        <v>10</v>
      </c>
      <c r="G176" s="240" t="s">
        <v>278</v>
      </c>
      <c r="H176" s="240" t="s">
        <v>6</v>
      </c>
      <c r="I176" s="240" t="s">
        <v>25</v>
      </c>
      <c r="J176" s="242"/>
      <c r="K176" s="242"/>
      <c r="L176" s="242"/>
      <c r="M176" s="242"/>
      <c r="N176" s="240"/>
      <c r="O176" s="234"/>
    </row>
    <row r="177" spans="1:15" s="210" customFormat="1" x14ac:dyDescent="0.35">
      <c r="A177" s="211"/>
      <c r="B177" s="212"/>
      <c r="C177" s="213"/>
      <c r="D177" s="214"/>
      <c r="E177" s="215"/>
      <c r="F177" s="214"/>
      <c r="G177" s="214"/>
      <c r="H177" s="214"/>
      <c r="I177" s="214"/>
      <c r="J177" s="216"/>
      <c r="K177" s="216"/>
      <c r="L177" s="216"/>
      <c r="M177" s="216"/>
      <c r="N177" s="214"/>
      <c r="O177" s="212"/>
    </row>
    <row r="178" spans="1:15" x14ac:dyDescent="0.35">
      <c r="A178" s="218" t="s">
        <v>3</v>
      </c>
      <c r="B178" s="218" t="s">
        <v>140</v>
      </c>
      <c r="C178" s="219"/>
      <c r="D178" s="217"/>
      <c r="E178" s="217"/>
      <c r="F178" s="220"/>
      <c r="G178" s="217"/>
      <c r="H178" s="217"/>
      <c r="I178" s="217"/>
      <c r="J178" s="217"/>
      <c r="K178" s="217"/>
      <c r="L178" s="217"/>
      <c r="M178" s="217"/>
      <c r="N178" s="217"/>
      <c r="O178" s="217"/>
    </row>
    <row r="179" spans="1:15" x14ac:dyDescent="0.35">
      <c r="A179" s="217" t="s">
        <v>4</v>
      </c>
      <c r="B179" s="221" t="s">
        <v>140</v>
      </c>
      <c r="C179" s="21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</row>
    <row r="180" spans="1:15" x14ac:dyDescent="0.35">
      <c r="A180" s="217" t="s">
        <v>5</v>
      </c>
      <c r="B180" s="217" t="s">
        <v>6</v>
      </c>
      <c r="C180" s="21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</row>
    <row r="181" spans="1:15" x14ac:dyDescent="0.35">
      <c r="A181" s="217" t="s">
        <v>7</v>
      </c>
      <c r="B181" s="222">
        <v>1</v>
      </c>
      <c r="C181" s="21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</row>
    <row r="182" spans="1:15" x14ac:dyDescent="0.35">
      <c r="A182" s="217" t="s">
        <v>8</v>
      </c>
      <c r="B182" s="217" t="s">
        <v>9</v>
      </c>
      <c r="C182" s="21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</row>
    <row r="183" spans="1:15" x14ac:dyDescent="0.35">
      <c r="A183" s="217" t="s">
        <v>10</v>
      </c>
      <c r="B183" s="217" t="s">
        <v>10</v>
      </c>
      <c r="C183" s="21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</row>
    <row r="184" spans="1:15" x14ac:dyDescent="0.35">
      <c r="A184" s="218" t="s">
        <v>11</v>
      </c>
      <c r="B184" s="217"/>
      <c r="C184" s="21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</row>
    <row r="185" spans="1:15" x14ac:dyDescent="0.35">
      <c r="A185" s="223" t="s">
        <v>22</v>
      </c>
      <c r="B185" s="223" t="s">
        <v>23</v>
      </c>
      <c r="C185" s="219" t="s">
        <v>24</v>
      </c>
      <c r="D185" s="218" t="s">
        <v>12</v>
      </c>
      <c r="E185" s="218" t="s">
        <v>13</v>
      </c>
      <c r="F185" s="218" t="s">
        <v>10</v>
      </c>
      <c r="G185" s="218" t="s">
        <v>14</v>
      </c>
      <c r="H185" s="218" t="s">
        <v>5</v>
      </c>
      <c r="I185" s="218" t="s">
        <v>8</v>
      </c>
      <c r="J185" s="218" t="s">
        <v>15</v>
      </c>
      <c r="K185" s="218" t="s">
        <v>16</v>
      </c>
      <c r="L185" s="218" t="s">
        <v>17</v>
      </c>
      <c r="M185" s="218" t="s">
        <v>18</v>
      </c>
      <c r="N185" s="218" t="s">
        <v>19</v>
      </c>
      <c r="O185" s="218" t="s">
        <v>4</v>
      </c>
    </row>
    <row r="186" spans="1:15" ht="15" thickBot="1" x14ac:dyDescent="0.4">
      <c r="A186" s="224" t="s">
        <v>169</v>
      </c>
      <c r="B186" s="217"/>
      <c r="C186" s="224"/>
      <c r="D186" s="225" t="s">
        <v>140</v>
      </c>
      <c r="E186" s="226">
        <v>1</v>
      </c>
      <c r="F186" s="225" t="s">
        <v>10</v>
      </c>
      <c r="G186" s="225" t="s">
        <v>278</v>
      </c>
      <c r="H186" s="225" t="s">
        <v>6</v>
      </c>
      <c r="I186" s="225" t="s">
        <v>20</v>
      </c>
      <c r="J186" s="227"/>
      <c r="K186" s="227"/>
      <c r="L186" s="227"/>
      <c r="M186" s="227"/>
      <c r="N186" s="225"/>
      <c r="O186" s="217"/>
    </row>
    <row r="187" spans="1:15" ht="15" thickBot="1" x14ac:dyDescent="0.4">
      <c r="A187" s="217" t="s">
        <v>207</v>
      </c>
      <c r="B187" s="305">
        <v>0.75</v>
      </c>
      <c r="C187" s="228"/>
      <c r="D187" s="217" t="s">
        <v>82</v>
      </c>
      <c r="E187" s="229">
        <f>B187*78</f>
        <v>58.5</v>
      </c>
      <c r="F187" s="217" t="s">
        <v>21</v>
      </c>
      <c r="G187" s="225" t="s">
        <v>102</v>
      </c>
      <c r="H187" s="217" t="s">
        <v>6</v>
      </c>
      <c r="I187" s="217" t="s">
        <v>25</v>
      </c>
      <c r="J187" s="217"/>
      <c r="K187" s="217"/>
      <c r="L187" s="217"/>
      <c r="M187" s="217"/>
      <c r="N187" s="217"/>
      <c r="O187" s="217"/>
    </row>
    <row r="188" spans="1:15" ht="15" thickBot="1" x14ac:dyDescent="0.4">
      <c r="A188" s="217" t="s">
        <v>140</v>
      </c>
      <c r="B188" s="305">
        <v>1.3</v>
      </c>
      <c r="C188" s="228" t="s">
        <v>173</v>
      </c>
      <c r="D188" s="217" t="s">
        <v>83</v>
      </c>
      <c r="E188" s="229">
        <f>0.75*B188</f>
        <v>0.97500000000000009</v>
      </c>
      <c r="F188" s="217" t="s">
        <v>21</v>
      </c>
      <c r="G188" s="225" t="s">
        <v>102</v>
      </c>
      <c r="H188" s="217" t="s">
        <v>6</v>
      </c>
      <c r="I188" s="217" t="s">
        <v>25</v>
      </c>
      <c r="J188" s="217"/>
      <c r="K188" s="217"/>
      <c r="L188" s="217"/>
      <c r="M188" s="217"/>
      <c r="N188" s="217"/>
      <c r="O188" s="217"/>
    </row>
    <row r="189" spans="1:15" x14ac:dyDescent="0.35">
      <c r="A189" s="224"/>
      <c r="B189" s="217"/>
      <c r="C189" s="228"/>
      <c r="D189" s="217" t="s">
        <v>126</v>
      </c>
      <c r="E189" s="229">
        <f>0.25*B188</f>
        <v>0.32500000000000001</v>
      </c>
      <c r="F189" s="217" t="s">
        <v>21</v>
      </c>
      <c r="G189" s="225" t="s">
        <v>102</v>
      </c>
      <c r="H189" s="217" t="s">
        <v>6</v>
      </c>
      <c r="I189" s="217" t="s">
        <v>25</v>
      </c>
      <c r="J189" s="217"/>
      <c r="K189" s="217"/>
      <c r="L189" s="217"/>
      <c r="M189" s="217"/>
      <c r="N189" s="217"/>
      <c r="O189" s="217"/>
    </row>
    <row r="190" spans="1:15" ht="15" thickBot="1" x14ac:dyDescent="0.4">
      <c r="A190" s="217"/>
      <c r="B190" s="217"/>
      <c r="C190" s="230"/>
      <c r="D190" s="231" t="s">
        <v>99</v>
      </c>
      <c r="E190" s="229">
        <f>-(E189+E188)</f>
        <v>-1.3</v>
      </c>
      <c r="F190" s="217" t="s">
        <v>21</v>
      </c>
      <c r="G190" s="225" t="s">
        <v>102</v>
      </c>
      <c r="H190" s="217" t="s">
        <v>6</v>
      </c>
      <c r="I190" s="217" t="s">
        <v>25</v>
      </c>
      <c r="J190" s="217"/>
      <c r="K190" s="217"/>
      <c r="L190" s="217"/>
      <c r="M190" s="217"/>
      <c r="N190" s="217"/>
      <c r="O190" s="217"/>
    </row>
    <row r="191" spans="1:15" ht="15" thickBot="1" x14ac:dyDescent="0.4">
      <c r="A191" s="217"/>
      <c r="B191" s="305">
        <v>0.45</v>
      </c>
      <c r="C191" s="217" t="s">
        <v>173</v>
      </c>
      <c r="D191" s="231" t="s">
        <v>131</v>
      </c>
      <c r="E191" s="264">
        <f>1*(B191/0.9)</f>
        <v>0.5</v>
      </c>
      <c r="F191" s="217" t="s">
        <v>10</v>
      </c>
      <c r="G191" s="225" t="s">
        <v>278</v>
      </c>
      <c r="H191" s="217" t="s">
        <v>6</v>
      </c>
      <c r="I191" s="217" t="s">
        <v>25</v>
      </c>
      <c r="J191" s="217"/>
      <c r="K191" s="217"/>
      <c r="L191" s="217"/>
      <c r="M191" s="217"/>
      <c r="N191" s="217"/>
      <c r="O191" s="217"/>
    </row>
    <row r="193" spans="1:15" x14ac:dyDescent="0.35">
      <c r="A193" s="11" t="s">
        <v>3</v>
      </c>
      <c r="B193" s="11" t="s">
        <v>142</v>
      </c>
      <c r="C193" s="362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142</v>
      </c>
      <c r="C194" s="36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36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25">
        <v>1</v>
      </c>
      <c r="C196" s="36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36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1" t="s">
        <v>219</v>
      </c>
      <c r="B198" s="71" t="s">
        <v>273</v>
      </c>
      <c r="C198" s="36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3" t="s">
        <v>10</v>
      </c>
      <c r="B199" s="1" t="s">
        <v>10</v>
      </c>
      <c r="C199" s="36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36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363" t="s">
        <v>22</v>
      </c>
      <c r="B201" s="363" t="s">
        <v>23</v>
      </c>
      <c r="C201" s="362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44" t="s">
        <v>274</v>
      </c>
      <c r="B202" s="71" t="s">
        <v>198</v>
      </c>
      <c r="C202" s="304">
        <v>1</v>
      </c>
      <c r="D202" s="67" t="s">
        <v>142</v>
      </c>
      <c r="E202" s="114">
        <v>1</v>
      </c>
      <c r="F202" s="16" t="s">
        <v>10</v>
      </c>
      <c r="G202" s="16" t="s">
        <v>278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64">
        <v>0</v>
      </c>
      <c r="B203" s="244" t="s">
        <v>177</v>
      </c>
      <c r="C203" s="365"/>
      <c r="D203" s="67" t="s">
        <v>217</v>
      </c>
      <c r="E203" s="114">
        <f>A203*C202*3/50</f>
        <v>0</v>
      </c>
      <c r="F203" s="16" t="s">
        <v>29</v>
      </c>
      <c r="G203" s="16" t="s">
        <v>278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1" t="s">
        <v>183</v>
      </c>
      <c r="B204" s="244" t="s">
        <v>216</v>
      </c>
      <c r="C204" s="245" t="s">
        <v>161</v>
      </c>
      <c r="D204" s="16" t="s">
        <v>75</v>
      </c>
      <c r="E204" s="114">
        <f>(1-A203)*C202*3/80</f>
        <v>3.7499999999999999E-2</v>
      </c>
      <c r="F204" s="16" t="s">
        <v>29</v>
      </c>
      <c r="G204" s="16" t="s">
        <v>102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x14ac:dyDescent="0.35">
      <c r="A205" s="71"/>
      <c r="B205" s="244"/>
      <c r="C205" s="245"/>
      <c r="D205" s="16"/>
      <c r="E205" s="114"/>
      <c r="F205" s="16"/>
      <c r="G205" s="16"/>
      <c r="H205" s="16"/>
      <c r="I205" s="16"/>
      <c r="J205" s="11"/>
      <c r="K205" s="11"/>
      <c r="L205" s="11"/>
      <c r="M205" s="11"/>
      <c r="N205" s="3"/>
      <c r="O205" s="3"/>
    </row>
    <row r="206" spans="1:15" x14ac:dyDescent="0.35">
      <c r="A206" s="246" t="s">
        <v>3</v>
      </c>
      <c r="B206" s="246" t="s">
        <v>143</v>
      </c>
      <c r="C206" s="247"/>
      <c r="D206" s="248"/>
      <c r="E206" s="248"/>
      <c r="F206" s="249"/>
      <c r="G206" s="248"/>
      <c r="H206" s="248"/>
      <c r="I206" s="248"/>
      <c r="J206" s="248"/>
      <c r="K206" s="248"/>
      <c r="L206" s="248"/>
      <c r="M206" s="248"/>
      <c r="N206" s="248"/>
      <c r="O206" s="248"/>
    </row>
    <row r="207" spans="1:15" x14ac:dyDescent="0.35">
      <c r="A207" s="248" t="s">
        <v>4</v>
      </c>
      <c r="B207" s="250" t="s">
        <v>143</v>
      </c>
      <c r="C207" s="247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</row>
    <row r="208" spans="1:15" x14ac:dyDescent="0.35">
      <c r="A208" s="248" t="s">
        <v>5</v>
      </c>
      <c r="B208" s="248" t="s">
        <v>6</v>
      </c>
      <c r="C208" s="247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</row>
    <row r="209" spans="1:15" x14ac:dyDescent="0.35">
      <c r="A209" s="248" t="s">
        <v>7</v>
      </c>
      <c r="B209" s="251">
        <v>1</v>
      </c>
      <c r="C209" s="247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</row>
    <row r="210" spans="1:15" x14ac:dyDescent="0.35">
      <c r="A210" s="248" t="s">
        <v>8</v>
      </c>
      <c r="B210" s="248" t="s">
        <v>9</v>
      </c>
      <c r="C210" s="247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</row>
    <row r="211" spans="1:15" x14ac:dyDescent="0.35">
      <c r="A211" s="248" t="s">
        <v>10</v>
      </c>
      <c r="B211" s="252" t="s">
        <v>10</v>
      </c>
      <c r="C211" s="247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</row>
    <row r="212" spans="1:15" x14ac:dyDescent="0.35">
      <c r="A212" s="246" t="s">
        <v>11</v>
      </c>
      <c r="B212" s="248"/>
      <c r="C212" s="247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</row>
    <row r="213" spans="1:15" x14ac:dyDescent="0.35">
      <c r="A213" s="253" t="s">
        <v>22</v>
      </c>
      <c r="B213" s="253" t="s">
        <v>23</v>
      </c>
      <c r="C213" s="247" t="s">
        <v>24</v>
      </c>
      <c r="D213" s="246" t="s">
        <v>12</v>
      </c>
      <c r="E213" s="246" t="s">
        <v>13</v>
      </c>
      <c r="F213" s="246" t="s">
        <v>10</v>
      </c>
      <c r="G213" s="246" t="s">
        <v>14</v>
      </c>
      <c r="H213" s="246" t="s">
        <v>5</v>
      </c>
      <c r="I213" s="246" t="s">
        <v>8</v>
      </c>
      <c r="J213" s="246" t="s">
        <v>15</v>
      </c>
      <c r="K213" s="246" t="s">
        <v>16</v>
      </c>
      <c r="L213" s="246" t="s">
        <v>17</v>
      </c>
      <c r="M213" s="246" t="s">
        <v>18</v>
      </c>
      <c r="N213" s="246" t="s">
        <v>19</v>
      </c>
      <c r="O213" s="246" t="s">
        <v>4</v>
      </c>
    </row>
    <row r="214" spans="1:15" ht="15" thickBot="1" x14ac:dyDescent="0.4">
      <c r="A214" s="262" t="s">
        <v>184</v>
      </c>
      <c r="B214" s="248"/>
      <c r="C214" s="254"/>
      <c r="D214" s="255" t="s">
        <v>143</v>
      </c>
      <c r="E214" s="256">
        <v>1</v>
      </c>
      <c r="F214" s="257" t="s">
        <v>10</v>
      </c>
      <c r="G214" s="257" t="s">
        <v>278</v>
      </c>
      <c r="H214" s="257" t="s">
        <v>6</v>
      </c>
      <c r="I214" s="257" t="s">
        <v>20</v>
      </c>
      <c r="J214" s="258"/>
      <c r="K214" s="258"/>
      <c r="L214" s="258"/>
      <c r="M214" s="258"/>
      <c r="N214" s="257"/>
      <c r="O214" s="248"/>
    </row>
    <row r="215" spans="1:15" ht="15" thickBot="1" x14ac:dyDescent="0.4">
      <c r="A215" s="303">
        <v>5</v>
      </c>
      <c r="B215" s="259" t="s">
        <v>185</v>
      </c>
      <c r="C215" s="260"/>
      <c r="D215" s="259" t="s">
        <v>84</v>
      </c>
      <c r="E215" s="261">
        <f>1/8/A215</f>
        <v>2.5000000000000001E-2</v>
      </c>
      <c r="F215" s="259" t="s">
        <v>10</v>
      </c>
      <c r="G215" s="257" t="s">
        <v>102</v>
      </c>
      <c r="H215" s="259" t="s">
        <v>6</v>
      </c>
      <c r="I215" s="259" t="s">
        <v>25</v>
      </c>
      <c r="J215" s="259"/>
      <c r="K215" s="259"/>
      <c r="L215" s="259"/>
      <c r="M215" s="259"/>
      <c r="N215" s="259"/>
      <c r="O215" s="259"/>
    </row>
    <row r="216" spans="1:15" x14ac:dyDescent="0.35">
      <c r="A216" s="259" t="s">
        <v>121</v>
      </c>
      <c r="B216" s="259"/>
      <c r="C216" s="260" t="s">
        <v>186</v>
      </c>
      <c r="D216" s="259" t="s">
        <v>100</v>
      </c>
      <c r="E216" s="261">
        <f>-1.5/8</f>
        <v>-0.1875</v>
      </c>
      <c r="F216" s="259" t="s">
        <v>21</v>
      </c>
      <c r="G216" s="257" t="s">
        <v>102</v>
      </c>
      <c r="H216" s="259" t="s">
        <v>6</v>
      </c>
      <c r="I216" s="259" t="s">
        <v>25</v>
      </c>
      <c r="J216" s="259"/>
      <c r="K216" s="259"/>
      <c r="L216" s="259"/>
      <c r="M216" s="259"/>
      <c r="N216" s="259"/>
      <c r="O216" s="259"/>
    </row>
    <row r="217" spans="1:15" x14ac:dyDescent="0.35">
      <c r="A217" s="259" t="s">
        <v>188</v>
      </c>
      <c r="B217" s="259" t="s">
        <v>187</v>
      </c>
      <c r="C217" s="260"/>
      <c r="D217" s="259" t="s">
        <v>123</v>
      </c>
      <c r="E217" s="263">
        <f>365</f>
        <v>365</v>
      </c>
      <c r="F217" s="259" t="s">
        <v>124</v>
      </c>
      <c r="G217" s="257" t="s">
        <v>102</v>
      </c>
      <c r="H217" s="259" t="s">
        <v>6</v>
      </c>
      <c r="I217" s="259" t="s">
        <v>25</v>
      </c>
      <c r="J217" s="259"/>
      <c r="K217" s="259"/>
      <c r="L217" s="259"/>
      <c r="M217" s="259"/>
      <c r="N217" s="259"/>
      <c r="O217" s="259"/>
    </row>
    <row r="218" spans="1:15" x14ac:dyDescent="0.35">
      <c r="C218" s="266"/>
      <c r="E218" s="267"/>
      <c r="G218" s="79"/>
    </row>
    <row r="219" spans="1:15" x14ac:dyDescent="0.35">
      <c r="A219" s="268" t="s">
        <v>3</v>
      </c>
      <c r="B219" s="268" t="s">
        <v>144</v>
      </c>
      <c r="C219" s="269"/>
      <c r="D219" s="270"/>
      <c r="E219" s="270"/>
      <c r="F219" s="271"/>
      <c r="G219" s="270"/>
      <c r="H219" s="270"/>
      <c r="I219" s="270"/>
      <c r="J219" s="270"/>
      <c r="K219" s="270"/>
      <c r="L219" s="270"/>
      <c r="M219" s="270"/>
      <c r="N219" s="270"/>
      <c r="O219" s="270"/>
    </row>
    <row r="220" spans="1:15" x14ac:dyDescent="0.35">
      <c r="A220" s="270" t="s">
        <v>4</v>
      </c>
      <c r="B220" s="272" t="s">
        <v>144</v>
      </c>
      <c r="C220" s="269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</row>
    <row r="221" spans="1:15" x14ac:dyDescent="0.35">
      <c r="A221" s="270" t="s">
        <v>5</v>
      </c>
      <c r="B221" s="270" t="s">
        <v>6</v>
      </c>
      <c r="C221" s="269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</row>
    <row r="222" spans="1:15" x14ac:dyDescent="0.35">
      <c r="A222" s="270" t="s">
        <v>7</v>
      </c>
      <c r="B222" s="273">
        <v>1</v>
      </c>
      <c r="C222" s="269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</row>
    <row r="223" spans="1:15" x14ac:dyDescent="0.35">
      <c r="A223" s="270" t="s">
        <v>8</v>
      </c>
      <c r="B223" s="270" t="s">
        <v>9</v>
      </c>
      <c r="C223" s="269"/>
      <c r="D223" s="270"/>
      <c r="E223" s="270"/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</row>
    <row r="224" spans="1:15" x14ac:dyDescent="0.35">
      <c r="A224" s="270" t="s">
        <v>10</v>
      </c>
      <c r="B224" s="270" t="s">
        <v>10</v>
      </c>
      <c r="C224" s="269"/>
      <c r="D224" s="270"/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</row>
    <row r="225" spans="1:15" x14ac:dyDescent="0.35">
      <c r="A225" s="268" t="s">
        <v>11</v>
      </c>
      <c r="B225" s="270"/>
      <c r="C225" s="269"/>
      <c r="D225" s="270"/>
      <c r="E225" s="270"/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</row>
    <row r="226" spans="1:15" x14ac:dyDescent="0.35">
      <c r="A226" s="274" t="s">
        <v>22</v>
      </c>
      <c r="B226" s="274" t="s">
        <v>23</v>
      </c>
      <c r="C226" s="269" t="s">
        <v>24</v>
      </c>
      <c r="D226" s="268" t="s">
        <v>12</v>
      </c>
      <c r="E226" s="268" t="s">
        <v>13</v>
      </c>
      <c r="F226" s="268" t="s">
        <v>10</v>
      </c>
      <c r="G226" s="268" t="s">
        <v>14</v>
      </c>
      <c r="H226" s="268" t="s">
        <v>5</v>
      </c>
      <c r="I226" s="268" t="s">
        <v>8</v>
      </c>
      <c r="J226" s="268" t="s">
        <v>15</v>
      </c>
      <c r="K226" s="268" t="s">
        <v>16</v>
      </c>
      <c r="L226" s="268" t="s">
        <v>17</v>
      </c>
      <c r="M226" s="268" t="s">
        <v>18</v>
      </c>
      <c r="N226" s="268" t="s">
        <v>19</v>
      </c>
      <c r="O226" s="268" t="s">
        <v>4</v>
      </c>
    </row>
    <row r="227" spans="1:15" ht="15" thickBot="1" x14ac:dyDescent="0.4">
      <c r="A227" s="275"/>
      <c r="B227" s="270" t="s">
        <v>195</v>
      </c>
      <c r="C227" s="276"/>
      <c r="D227" s="277" t="s">
        <v>144</v>
      </c>
      <c r="E227" s="278">
        <v>1</v>
      </c>
      <c r="F227" s="277" t="s">
        <v>10</v>
      </c>
      <c r="G227" s="277" t="s">
        <v>278</v>
      </c>
      <c r="H227" s="277" t="s">
        <v>6</v>
      </c>
      <c r="I227" s="277" t="s">
        <v>20</v>
      </c>
      <c r="J227" s="279"/>
      <c r="K227" s="279"/>
      <c r="L227" s="279"/>
      <c r="M227" s="279"/>
      <c r="N227" s="277"/>
      <c r="O227" s="270"/>
    </row>
    <row r="228" spans="1:15" ht="15" thickBot="1" x14ac:dyDescent="0.4">
      <c r="A228" s="280"/>
      <c r="B228" s="302">
        <v>0.2</v>
      </c>
      <c r="C228" s="281" t="s">
        <v>194</v>
      </c>
      <c r="D228" s="280" t="s">
        <v>101</v>
      </c>
      <c r="E228" s="282">
        <f>0.6*(B228/0.6)</f>
        <v>0.2</v>
      </c>
      <c r="F228" s="280" t="s">
        <v>10</v>
      </c>
      <c r="G228" s="277" t="s">
        <v>102</v>
      </c>
      <c r="H228" s="280" t="s">
        <v>6</v>
      </c>
      <c r="I228" s="280" t="s">
        <v>25</v>
      </c>
      <c r="J228" s="280"/>
      <c r="K228" s="280"/>
      <c r="L228" s="280"/>
      <c r="M228" s="280"/>
      <c r="N228" s="280"/>
      <c r="O228" s="280"/>
    </row>
    <row r="229" spans="1:15" x14ac:dyDescent="0.35">
      <c r="A229" s="280"/>
      <c r="B229" s="280"/>
      <c r="C229" s="281" t="s">
        <v>104</v>
      </c>
      <c r="D229" s="280" t="s">
        <v>103</v>
      </c>
      <c r="E229" s="282">
        <f>-0.16345*E228</f>
        <v>-3.2690000000000004E-2</v>
      </c>
      <c r="F229" s="280" t="s">
        <v>21</v>
      </c>
      <c r="G229" s="277" t="s">
        <v>102</v>
      </c>
      <c r="H229" s="280" t="s">
        <v>6</v>
      </c>
      <c r="I229" s="280" t="s">
        <v>25</v>
      </c>
      <c r="J229" s="280"/>
      <c r="K229" s="280"/>
      <c r="L229" s="280"/>
      <c r="M229" s="280"/>
      <c r="N229" s="280"/>
      <c r="O229" s="280"/>
    </row>
    <row r="230" spans="1:15" x14ac:dyDescent="0.35">
      <c r="A230" s="283"/>
      <c r="B230" s="283"/>
      <c r="C230" s="283"/>
      <c r="D230" s="283"/>
      <c r="E230" s="284"/>
      <c r="F230" s="283"/>
      <c r="G230" s="285"/>
      <c r="H230" s="283"/>
      <c r="I230" s="283"/>
      <c r="J230" s="283"/>
      <c r="K230" s="283"/>
      <c r="L230" s="283"/>
      <c r="M230" s="283"/>
      <c r="N230" s="283"/>
      <c r="O230" s="283"/>
    </row>
    <row r="231" spans="1:15" x14ac:dyDescent="0.35">
      <c r="A231" s="286" t="s">
        <v>3</v>
      </c>
      <c r="B231" s="286" t="s">
        <v>145</v>
      </c>
      <c r="C231" s="287"/>
      <c r="D231" s="288"/>
      <c r="E231" s="288"/>
      <c r="F231" s="289"/>
      <c r="G231" s="288"/>
      <c r="H231" s="288"/>
      <c r="I231" s="288"/>
      <c r="J231" s="288"/>
      <c r="K231" s="288"/>
      <c r="L231" s="288"/>
      <c r="M231" s="288"/>
      <c r="N231" s="288"/>
      <c r="O231" s="288"/>
    </row>
    <row r="232" spans="1:15" x14ac:dyDescent="0.35">
      <c r="A232" s="288" t="s">
        <v>4</v>
      </c>
      <c r="B232" s="290" t="s">
        <v>145</v>
      </c>
      <c r="C232" s="287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</row>
    <row r="233" spans="1:15" x14ac:dyDescent="0.35">
      <c r="A233" s="288" t="s">
        <v>5</v>
      </c>
      <c r="B233" s="288" t="s">
        <v>6</v>
      </c>
      <c r="C233" s="287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</row>
    <row r="234" spans="1:15" x14ac:dyDescent="0.35">
      <c r="A234" s="288" t="s">
        <v>7</v>
      </c>
      <c r="B234" s="291">
        <v>1</v>
      </c>
      <c r="C234" s="287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</row>
    <row r="235" spans="1:15" x14ac:dyDescent="0.35">
      <c r="A235" s="288" t="s">
        <v>8</v>
      </c>
      <c r="B235" s="288" t="s">
        <v>9</v>
      </c>
      <c r="C235" s="287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</row>
    <row r="236" spans="1:15" x14ac:dyDescent="0.35">
      <c r="A236" s="288" t="s">
        <v>10</v>
      </c>
      <c r="B236" s="288" t="s">
        <v>10</v>
      </c>
      <c r="C236" s="287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</row>
    <row r="237" spans="1:15" x14ac:dyDescent="0.35">
      <c r="A237" s="286" t="s">
        <v>11</v>
      </c>
      <c r="B237" s="288"/>
      <c r="C237" s="287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</row>
    <row r="238" spans="1:15" x14ac:dyDescent="0.35">
      <c r="A238" s="292" t="s">
        <v>22</v>
      </c>
      <c r="B238" s="292" t="s">
        <v>23</v>
      </c>
      <c r="C238" s="287" t="s">
        <v>24</v>
      </c>
      <c r="D238" s="286" t="s">
        <v>12</v>
      </c>
      <c r="E238" s="286" t="s">
        <v>13</v>
      </c>
      <c r="F238" s="286" t="s">
        <v>10</v>
      </c>
      <c r="G238" s="286" t="s">
        <v>14</v>
      </c>
      <c r="H238" s="286" t="s">
        <v>5</v>
      </c>
      <c r="I238" s="286" t="s">
        <v>8</v>
      </c>
      <c r="J238" s="286" t="s">
        <v>15</v>
      </c>
      <c r="K238" s="286" t="s">
        <v>16</v>
      </c>
      <c r="L238" s="286" t="s">
        <v>17</v>
      </c>
      <c r="M238" s="286" t="s">
        <v>18</v>
      </c>
      <c r="N238" s="286" t="s">
        <v>19</v>
      </c>
      <c r="O238" s="286" t="s">
        <v>4</v>
      </c>
    </row>
    <row r="239" spans="1:15" x14ac:dyDescent="0.35">
      <c r="A239" s="293" t="s">
        <v>184</v>
      </c>
      <c r="B239" s="288"/>
      <c r="C239" s="294"/>
      <c r="D239" s="295" t="s">
        <v>145</v>
      </c>
      <c r="E239" s="296">
        <v>1</v>
      </c>
      <c r="F239" s="295" t="s">
        <v>10</v>
      </c>
      <c r="G239" s="295" t="s">
        <v>278</v>
      </c>
      <c r="H239" s="295" t="s">
        <v>6</v>
      </c>
      <c r="I239" s="295" t="s">
        <v>20</v>
      </c>
      <c r="J239" s="297"/>
      <c r="K239" s="297"/>
      <c r="L239" s="297"/>
      <c r="M239" s="297"/>
      <c r="N239" s="295"/>
      <c r="O239" s="288"/>
    </row>
    <row r="240" spans="1:15" ht="15" thickBot="1" x14ac:dyDescent="0.4">
      <c r="A240" s="298" t="s">
        <v>197</v>
      </c>
      <c r="B240" s="298" t="s">
        <v>177</v>
      </c>
      <c r="C240" s="298" t="s">
        <v>196</v>
      </c>
      <c r="D240" s="298" t="s">
        <v>118</v>
      </c>
      <c r="E240" s="299">
        <f>0.84/10/(3/A241)</f>
        <v>2.7999999999999997E-2</v>
      </c>
      <c r="F240" s="298" t="s">
        <v>29</v>
      </c>
      <c r="G240" s="295" t="s">
        <v>102</v>
      </c>
      <c r="H240" s="298" t="s">
        <v>30</v>
      </c>
      <c r="I240" s="298" t="s">
        <v>25</v>
      </c>
      <c r="J240" s="298"/>
      <c r="K240" s="298"/>
      <c r="L240" s="298"/>
      <c r="M240" s="298"/>
      <c r="N240" s="298"/>
      <c r="O240" s="298"/>
    </row>
    <row r="241" spans="1:15" ht="15" thickBot="1" x14ac:dyDescent="0.4">
      <c r="A241" s="300">
        <v>1</v>
      </c>
      <c r="B241" s="298" t="s">
        <v>119</v>
      </c>
      <c r="C241" s="298" t="s">
        <v>120</v>
      </c>
      <c r="D241" s="298" t="s">
        <v>105</v>
      </c>
      <c r="E241" s="299">
        <f>-E240</f>
        <v>-2.7999999999999997E-2</v>
      </c>
      <c r="F241" s="298" t="s">
        <v>21</v>
      </c>
      <c r="G241" s="295" t="s">
        <v>102</v>
      </c>
      <c r="H241" s="298" t="s">
        <v>30</v>
      </c>
      <c r="I241" s="298" t="s">
        <v>25</v>
      </c>
      <c r="J241" s="298"/>
      <c r="K241" s="298"/>
      <c r="L241" s="298"/>
      <c r="M241" s="298"/>
      <c r="N241" s="298"/>
      <c r="O241" s="298"/>
    </row>
    <row r="243" spans="1:15" x14ac:dyDescent="0.35">
      <c r="A243" s="53" t="s">
        <v>3</v>
      </c>
      <c r="B243" s="53" t="s">
        <v>131</v>
      </c>
      <c r="C243" s="54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5">
      <c r="A244" s="55" t="s">
        <v>4</v>
      </c>
      <c r="B244" s="57" t="s">
        <v>131</v>
      </c>
      <c r="C244" s="54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5">
      <c r="A245" s="55" t="s">
        <v>5</v>
      </c>
      <c r="B245" s="55" t="s">
        <v>6</v>
      </c>
      <c r="C245" s="54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5">
      <c r="A246" s="55" t="s">
        <v>7</v>
      </c>
      <c r="B246" s="130">
        <v>1</v>
      </c>
      <c r="C246" s="54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5">
      <c r="A247" s="55" t="s">
        <v>8</v>
      </c>
      <c r="B247" s="68" t="s">
        <v>9</v>
      </c>
      <c r="C247" s="54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5">
      <c r="A248" s="55" t="s">
        <v>10</v>
      </c>
      <c r="B248" s="133" t="s">
        <v>10</v>
      </c>
      <c r="C248" s="54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5">
      <c r="A249" s="53" t="s">
        <v>11</v>
      </c>
      <c r="B249" s="55"/>
      <c r="C249" s="5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5">
      <c r="A250" s="58" t="s">
        <v>22</v>
      </c>
      <c r="B250" s="58" t="s">
        <v>23</v>
      </c>
      <c r="C250" s="54" t="s">
        <v>24</v>
      </c>
      <c r="D250" s="53" t="s">
        <v>12</v>
      </c>
      <c r="E250" s="53" t="s">
        <v>13</v>
      </c>
      <c r="F250" s="53" t="s">
        <v>10</v>
      </c>
      <c r="G250" s="53" t="s">
        <v>14</v>
      </c>
      <c r="H250" s="53" t="s">
        <v>5</v>
      </c>
      <c r="I250" s="53" t="s">
        <v>8</v>
      </c>
      <c r="J250" s="53" t="s">
        <v>15</v>
      </c>
      <c r="K250" s="53" t="s">
        <v>16</v>
      </c>
      <c r="L250" s="53" t="s">
        <v>17</v>
      </c>
      <c r="M250" s="53" t="s">
        <v>18</v>
      </c>
      <c r="N250" s="53" t="s">
        <v>19</v>
      </c>
      <c r="O250" s="53" t="s">
        <v>4</v>
      </c>
    </row>
    <row r="251" spans="1:15" x14ac:dyDescent="0.35">
      <c r="A251" s="69"/>
      <c r="B251" s="133" t="s">
        <v>193</v>
      </c>
      <c r="C251" s="265" t="s">
        <v>189</v>
      </c>
      <c r="D251" s="60" t="s">
        <v>131</v>
      </c>
      <c r="E251" s="119">
        <v>1</v>
      </c>
      <c r="F251" s="70" t="s">
        <v>10</v>
      </c>
      <c r="G251" s="60" t="s">
        <v>278</v>
      </c>
      <c r="H251" s="60" t="s">
        <v>6</v>
      </c>
      <c r="I251" s="60" t="s">
        <v>20</v>
      </c>
      <c r="J251" s="61"/>
      <c r="K251" s="61"/>
      <c r="L251" s="61"/>
      <c r="M251" s="61"/>
      <c r="N251" s="60"/>
      <c r="O251" s="55"/>
    </row>
    <row r="252" spans="1:15" x14ac:dyDescent="0.35">
      <c r="A252" s="69"/>
      <c r="B252" s="59"/>
      <c r="C252" s="62"/>
      <c r="D252" s="60" t="s">
        <v>85</v>
      </c>
      <c r="E252" s="119">
        <f>0.05+0.05</f>
        <v>0.1</v>
      </c>
      <c r="F252" s="60" t="s">
        <v>21</v>
      </c>
      <c r="G252" s="60" t="s">
        <v>102</v>
      </c>
      <c r="H252" s="60" t="s">
        <v>6</v>
      </c>
      <c r="I252" s="60" t="s">
        <v>25</v>
      </c>
      <c r="J252" s="53"/>
      <c r="K252" s="53"/>
      <c r="L252" s="53"/>
      <c r="M252" s="53"/>
      <c r="N252" s="55"/>
      <c r="O252" s="55"/>
    </row>
    <row r="253" spans="1:15" x14ac:dyDescent="0.35">
      <c r="A253" s="63"/>
      <c r="B253" s="63"/>
      <c r="C253" s="64"/>
      <c r="D253" s="63" t="s">
        <v>86</v>
      </c>
      <c r="E253" s="120">
        <v>0.05</v>
      </c>
      <c r="F253" s="63" t="s">
        <v>21</v>
      </c>
      <c r="G253" s="60" t="s">
        <v>102</v>
      </c>
      <c r="H253" s="63" t="s">
        <v>6</v>
      </c>
      <c r="I253" s="63" t="s">
        <v>25</v>
      </c>
      <c r="J253" s="63"/>
      <c r="K253" s="63"/>
      <c r="L253" s="63"/>
      <c r="M253" s="63"/>
      <c r="N253" s="63"/>
      <c r="O253" s="63"/>
    </row>
    <row r="254" spans="1:15" x14ac:dyDescent="0.35">
      <c r="A254" s="63"/>
      <c r="B254" s="63"/>
      <c r="C254" s="64" t="s">
        <v>190</v>
      </c>
      <c r="D254" s="63" t="s">
        <v>87</v>
      </c>
      <c r="E254" s="120">
        <f>0.055+0.025</f>
        <v>0.08</v>
      </c>
      <c r="F254" s="63" t="s">
        <v>21</v>
      </c>
      <c r="G254" s="60" t="s">
        <v>102</v>
      </c>
      <c r="H254" s="63" t="s">
        <v>6</v>
      </c>
      <c r="I254" s="63" t="s">
        <v>25</v>
      </c>
      <c r="J254" s="63"/>
      <c r="K254" s="63"/>
      <c r="L254" s="63"/>
      <c r="M254" s="63"/>
      <c r="N254" s="63"/>
      <c r="O254" s="63"/>
    </row>
    <row r="255" spans="1:15" x14ac:dyDescent="0.35">
      <c r="A255" s="63"/>
      <c r="B255" s="63"/>
      <c r="C255" s="64"/>
      <c r="D255" s="63" t="s">
        <v>88</v>
      </c>
      <c r="E255" s="120">
        <v>5.0000000000000001E-3</v>
      </c>
      <c r="F255" s="63" t="s">
        <v>21</v>
      </c>
      <c r="G255" s="60" t="s">
        <v>102</v>
      </c>
      <c r="H255" s="63" t="s">
        <v>26</v>
      </c>
      <c r="I255" s="63" t="s">
        <v>25</v>
      </c>
      <c r="J255" s="63"/>
      <c r="K255" s="63"/>
      <c r="L255" s="63"/>
      <c r="M255" s="63"/>
      <c r="N255" s="63"/>
      <c r="O255" s="63"/>
    </row>
    <row r="256" spans="1:15" x14ac:dyDescent="0.35">
      <c r="A256" s="63"/>
      <c r="B256" s="63"/>
      <c r="C256" s="64"/>
      <c r="D256" s="63" t="s">
        <v>89</v>
      </c>
      <c r="E256" s="120">
        <v>1.7999999999999999E-2</v>
      </c>
      <c r="F256" s="63" t="s">
        <v>21</v>
      </c>
      <c r="G256" s="60" t="s">
        <v>102</v>
      </c>
      <c r="H256" s="63" t="s">
        <v>6</v>
      </c>
      <c r="I256" s="63" t="s">
        <v>25</v>
      </c>
      <c r="J256" s="63"/>
      <c r="K256" s="63"/>
      <c r="L256" s="63"/>
      <c r="M256" s="63"/>
      <c r="N256" s="63"/>
      <c r="O256" s="63"/>
    </row>
    <row r="257" spans="1:15" x14ac:dyDescent="0.35">
      <c r="A257" s="63"/>
      <c r="B257" s="63"/>
      <c r="C257" s="64"/>
      <c r="D257" s="63" t="s">
        <v>90</v>
      </c>
      <c r="E257" s="120">
        <v>8.5000000000000006E-2</v>
      </c>
      <c r="F257" s="63" t="s">
        <v>21</v>
      </c>
      <c r="G257" s="60" t="s">
        <v>102</v>
      </c>
      <c r="H257" s="63" t="s">
        <v>6</v>
      </c>
      <c r="I257" s="63" t="s">
        <v>25</v>
      </c>
      <c r="J257" s="63"/>
      <c r="K257" s="63"/>
      <c r="L257" s="63"/>
      <c r="M257" s="63"/>
      <c r="N257" s="63"/>
      <c r="O257" s="63"/>
    </row>
    <row r="258" spans="1:15" x14ac:dyDescent="0.35">
      <c r="A258" s="63"/>
      <c r="B258" s="63"/>
      <c r="C258" s="64" t="s">
        <v>191</v>
      </c>
      <c r="D258" s="63" t="s">
        <v>91</v>
      </c>
      <c r="E258" s="120">
        <f>0.059+0.01</f>
        <v>6.8999999999999992E-2</v>
      </c>
      <c r="F258" s="63" t="s">
        <v>21</v>
      </c>
      <c r="G258" s="60" t="s">
        <v>102</v>
      </c>
      <c r="H258" s="63" t="s">
        <v>26</v>
      </c>
      <c r="I258" s="63" t="s">
        <v>25</v>
      </c>
      <c r="J258" s="63"/>
      <c r="K258" s="63"/>
      <c r="L258" s="63"/>
      <c r="M258" s="63"/>
      <c r="N258" s="63"/>
      <c r="O258" s="63"/>
    </row>
    <row r="259" spans="1:15" x14ac:dyDescent="0.35">
      <c r="A259" s="63"/>
      <c r="B259" s="63"/>
      <c r="C259" s="64"/>
      <c r="D259" s="63" t="s">
        <v>92</v>
      </c>
      <c r="E259" s="120">
        <v>8.9999999999999993E-3</v>
      </c>
      <c r="F259" s="63" t="s">
        <v>21</v>
      </c>
      <c r="G259" s="60" t="s">
        <v>102</v>
      </c>
      <c r="H259" s="63" t="s">
        <v>30</v>
      </c>
      <c r="I259" s="63" t="s">
        <v>25</v>
      </c>
      <c r="J259" s="63"/>
      <c r="K259" s="63"/>
      <c r="L259" s="63"/>
      <c r="M259" s="63"/>
      <c r="N259" s="63"/>
      <c r="O259" s="63"/>
    </row>
    <row r="260" spans="1:15" x14ac:dyDescent="0.35">
      <c r="A260" s="63"/>
      <c r="B260" s="63"/>
      <c r="C260" s="64"/>
      <c r="D260" s="63" t="s">
        <v>93</v>
      </c>
      <c r="E260" s="120">
        <v>5.0000000000000001E-3</v>
      </c>
      <c r="F260" s="63" t="s">
        <v>21</v>
      </c>
      <c r="G260" s="60" t="s">
        <v>102</v>
      </c>
      <c r="H260" s="63" t="s">
        <v>6</v>
      </c>
      <c r="I260" s="63" t="s">
        <v>25</v>
      </c>
      <c r="J260" s="63"/>
      <c r="K260" s="63"/>
      <c r="L260" s="63"/>
      <c r="M260" s="63"/>
      <c r="N260" s="63"/>
      <c r="O260" s="63"/>
    </row>
    <row r="261" spans="1:15" x14ac:dyDescent="0.35">
      <c r="A261" s="63"/>
      <c r="B261" s="63"/>
      <c r="C261" s="64"/>
      <c r="D261" s="63" t="s">
        <v>109</v>
      </c>
      <c r="E261" s="120">
        <v>5.0000000000000001E-3</v>
      </c>
      <c r="F261" s="63" t="s">
        <v>21</v>
      </c>
      <c r="G261" s="60" t="s">
        <v>102</v>
      </c>
      <c r="H261" s="63" t="s">
        <v>107</v>
      </c>
      <c r="I261" s="63" t="s">
        <v>25</v>
      </c>
      <c r="J261" s="63"/>
      <c r="K261" s="63"/>
      <c r="L261" s="63"/>
      <c r="M261" s="63"/>
      <c r="N261" s="63"/>
      <c r="O261" s="63"/>
    </row>
    <row r="262" spans="1:15" x14ac:dyDescent="0.35">
      <c r="A262" s="63"/>
      <c r="B262" s="63"/>
      <c r="C262" s="64"/>
      <c r="D262" s="63" t="s">
        <v>110</v>
      </c>
      <c r="E262" s="120">
        <v>0.01</v>
      </c>
      <c r="F262" s="63" t="s">
        <v>21</v>
      </c>
      <c r="G262" s="60" t="s">
        <v>102</v>
      </c>
      <c r="H262" s="63" t="s">
        <v>6</v>
      </c>
      <c r="I262" s="63" t="s">
        <v>25</v>
      </c>
      <c r="J262" s="63"/>
      <c r="K262" s="63"/>
      <c r="L262" s="63"/>
      <c r="M262" s="63"/>
      <c r="N262" s="63"/>
      <c r="O262" s="63"/>
    </row>
    <row r="263" spans="1:15" x14ac:dyDescent="0.35">
      <c r="A263" s="63"/>
      <c r="B263" s="63"/>
      <c r="C263" s="64"/>
      <c r="D263" s="63" t="s">
        <v>128</v>
      </c>
      <c r="E263" s="120">
        <v>5.0000000000000001E-3</v>
      </c>
      <c r="F263" s="63" t="s">
        <v>21</v>
      </c>
      <c r="G263" s="60" t="s">
        <v>102</v>
      </c>
      <c r="H263" s="63" t="s">
        <v>6</v>
      </c>
      <c r="I263" s="63" t="s">
        <v>25</v>
      </c>
      <c r="J263" s="63"/>
      <c r="K263" s="63"/>
      <c r="L263" s="63"/>
      <c r="M263" s="63"/>
      <c r="N263" s="63"/>
      <c r="O263" s="63"/>
    </row>
    <row r="264" spans="1:15" x14ac:dyDescent="0.35">
      <c r="A264" s="63"/>
      <c r="B264" s="63"/>
      <c r="C264" s="64"/>
      <c r="D264" s="63" t="s">
        <v>94</v>
      </c>
      <c r="E264" s="120">
        <v>5.0000000000000001E-3</v>
      </c>
      <c r="F264" s="63" t="s">
        <v>21</v>
      </c>
      <c r="G264" s="60" t="s">
        <v>102</v>
      </c>
      <c r="H264" s="63" t="s">
        <v>6</v>
      </c>
      <c r="I264" s="63" t="s">
        <v>25</v>
      </c>
      <c r="J264" s="63"/>
      <c r="K264" s="63"/>
      <c r="L264" s="63"/>
      <c r="M264" s="63"/>
      <c r="N264" s="63"/>
      <c r="O264" s="63"/>
    </row>
    <row r="265" spans="1:15" x14ac:dyDescent="0.35">
      <c r="A265" s="63"/>
      <c r="B265" s="63"/>
      <c r="C265" s="64"/>
      <c r="D265" s="63" t="s">
        <v>95</v>
      </c>
      <c r="E265" s="120">
        <v>5.0000000000000001E-3</v>
      </c>
      <c r="F265" s="63" t="s">
        <v>21</v>
      </c>
      <c r="G265" s="60" t="s">
        <v>102</v>
      </c>
      <c r="H265" s="63" t="s">
        <v>6</v>
      </c>
      <c r="I265" s="63" t="s">
        <v>25</v>
      </c>
      <c r="J265" s="63"/>
      <c r="K265" s="63"/>
      <c r="L265" s="63"/>
      <c r="M265" s="63"/>
      <c r="N265" s="63"/>
      <c r="O265" s="63"/>
    </row>
    <row r="266" spans="1:15" x14ac:dyDescent="0.35">
      <c r="A266" s="63"/>
      <c r="B266" s="63"/>
      <c r="C266" s="64"/>
      <c r="D266" s="63" t="s">
        <v>96</v>
      </c>
      <c r="E266" s="120">
        <v>5.0000000000000001E-3</v>
      </c>
      <c r="F266" s="63" t="s">
        <v>21</v>
      </c>
      <c r="G266" s="60" t="s">
        <v>102</v>
      </c>
      <c r="H266" s="63" t="s">
        <v>30</v>
      </c>
      <c r="I266" s="63" t="s">
        <v>25</v>
      </c>
      <c r="J266" s="63"/>
      <c r="K266" s="63"/>
      <c r="L266" s="63"/>
      <c r="M266" s="63"/>
      <c r="N266" s="63"/>
      <c r="O266" s="63"/>
    </row>
    <row r="267" spans="1:15" x14ac:dyDescent="0.35">
      <c r="A267" s="63"/>
      <c r="B267" s="63"/>
      <c r="C267" s="64"/>
      <c r="D267" s="63" t="s">
        <v>146</v>
      </c>
      <c r="E267" s="120">
        <f>0.9/3.6</f>
        <v>0.25</v>
      </c>
      <c r="F267" s="63" t="s">
        <v>28</v>
      </c>
      <c r="G267" s="60" t="s">
        <v>102</v>
      </c>
      <c r="H267" s="63" t="s">
        <v>6</v>
      </c>
      <c r="I267" s="63" t="s">
        <v>25</v>
      </c>
      <c r="J267" s="63"/>
      <c r="K267" s="63"/>
      <c r="L267" s="63"/>
      <c r="M267" s="63"/>
      <c r="N267" s="63"/>
      <c r="O267" s="63"/>
    </row>
    <row r="268" spans="1:15" x14ac:dyDescent="0.35">
      <c r="A268" s="63"/>
      <c r="B268" s="63"/>
      <c r="C268" s="64"/>
      <c r="D268" s="63" t="s">
        <v>97</v>
      </c>
      <c r="E268" s="120">
        <v>5</v>
      </c>
      <c r="F268" s="63" t="s">
        <v>27</v>
      </c>
      <c r="G268" s="60" t="s">
        <v>102</v>
      </c>
      <c r="H268" s="63" t="s">
        <v>6</v>
      </c>
      <c r="I268" s="63" t="s">
        <v>25</v>
      </c>
      <c r="J268" s="63"/>
      <c r="K268" s="63"/>
      <c r="L268" s="63"/>
      <c r="M268" s="63"/>
      <c r="N268" s="63"/>
      <c r="O268" s="63"/>
    </row>
    <row r="269" spans="1:15" x14ac:dyDescent="0.35">
      <c r="A269" s="63"/>
      <c r="B269" s="63"/>
      <c r="C269" s="64" t="s">
        <v>192</v>
      </c>
      <c r="D269" s="63" t="s">
        <v>108</v>
      </c>
      <c r="E269" s="120">
        <v>-0.5</v>
      </c>
      <c r="F269" s="63" t="s">
        <v>21</v>
      </c>
      <c r="G269" s="60" t="s">
        <v>102</v>
      </c>
      <c r="H269" s="63" t="s">
        <v>6</v>
      </c>
      <c r="I269" s="63" t="s">
        <v>25</v>
      </c>
      <c r="J269" s="63"/>
      <c r="K269" s="63"/>
      <c r="L269" s="63"/>
      <c r="M269" s="63"/>
      <c r="N269" s="63"/>
      <c r="O269" s="63"/>
    </row>
    <row r="271" spans="1:15" x14ac:dyDescent="0.35">
      <c r="A271" s="83" t="s">
        <v>3</v>
      </c>
      <c r="B271" s="83" t="s">
        <v>147</v>
      </c>
      <c r="C271" s="84"/>
      <c r="D271" s="85"/>
      <c r="E271" s="85"/>
      <c r="F271" s="86"/>
      <c r="G271" s="85"/>
      <c r="H271" s="85"/>
      <c r="I271" s="85"/>
      <c r="J271" s="85"/>
      <c r="K271" s="85"/>
      <c r="L271" s="85"/>
      <c r="M271" s="85"/>
      <c r="N271" s="85"/>
      <c r="O271" s="85"/>
    </row>
    <row r="272" spans="1:15" x14ac:dyDescent="0.35">
      <c r="A272" s="85" t="s">
        <v>4</v>
      </c>
      <c r="B272" s="140" t="s">
        <v>147</v>
      </c>
      <c r="C272" s="84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</row>
    <row r="273" spans="1:15" x14ac:dyDescent="0.35">
      <c r="A273" s="85" t="s">
        <v>5</v>
      </c>
      <c r="B273" s="87" t="s">
        <v>6</v>
      </c>
      <c r="C273" s="84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</row>
    <row r="274" spans="1:15" x14ac:dyDescent="0.35">
      <c r="A274" s="85" t="s">
        <v>7</v>
      </c>
      <c r="B274" s="131">
        <v>1</v>
      </c>
      <c r="C274" s="84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</row>
    <row r="275" spans="1:15" x14ac:dyDescent="0.35">
      <c r="A275" s="85" t="s">
        <v>8</v>
      </c>
      <c r="B275" s="87" t="s">
        <v>9</v>
      </c>
      <c r="C275" s="8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</row>
    <row r="276" spans="1:15" x14ac:dyDescent="0.35">
      <c r="A276" s="85" t="s">
        <v>10</v>
      </c>
      <c r="B276" s="88" t="s">
        <v>10</v>
      </c>
      <c r="C276" s="8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</row>
    <row r="277" spans="1:15" x14ac:dyDescent="0.35">
      <c r="A277" s="83" t="s">
        <v>11</v>
      </c>
      <c r="B277" s="85"/>
      <c r="C277" s="84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</row>
    <row r="278" spans="1:15" x14ac:dyDescent="0.35">
      <c r="A278" s="89" t="s">
        <v>22</v>
      </c>
      <c r="B278" s="89" t="s">
        <v>23</v>
      </c>
      <c r="C278" s="84" t="s">
        <v>24</v>
      </c>
      <c r="D278" s="83" t="s">
        <v>12</v>
      </c>
      <c r="E278" s="83" t="s">
        <v>13</v>
      </c>
      <c r="F278" s="83" t="s">
        <v>10</v>
      </c>
      <c r="G278" s="83" t="s">
        <v>14</v>
      </c>
      <c r="H278" s="83" t="s">
        <v>5</v>
      </c>
      <c r="I278" s="83" t="s">
        <v>8</v>
      </c>
      <c r="J278" s="83" t="s">
        <v>15</v>
      </c>
      <c r="K278" s="83" t="s">
        <v>16</v>
      </c>
      <c r="L278" s="83" t="s">
        <v>17</v>
      </c>
      <c r="M278" s="83" t="s">
        <v>18</v>
      </c>
      <c r="N278" s="83" t="s">
        <v>19</v>
      </c>
      <c r="O278" s="83" t="s">
        <v>4</v>
      </c>
    </row>
    <row r="279" spans="1:15" ht="15" thickBot="1" x14ac:dyDescent="0.4">
      <c r="A279" s="90" t="s">
        <v>149</v>
      </c>
      <c r="B279" s="138">
        <v>20</v>
      </c>
      <c r="C279" s="91" t="s">
        <v>150</v>
      </c>
      <c r="D279" s="90" t="s">
        <v>147</v>
      </c>
      <c r="E279" s="121">
        <v>1</v>
      </c>
      <c r="F279" s="90" t="s">
        <v>10</v>
      </c>
      <c r="G279" s="92" t="s">
        <v>278</v>
      </c>
      <c r="H279" s="90" t="s">
        <v>6</v>
      </c>
      <c r="I279" s="92" t="s">
        <v>20</v>
      </c>
      <c r="J279" s="93"/>
      <c r="K279" s="93"/>
      <c r="L279" s="93"/>
      <c r="M279" s="93"/>
      <c r="N279" s="92"/>
      <c r="O279" s="85"/>
    </row>
    <row r="280" spans="1:15" ht="15" thickBot="1" x14ac:dyDescent="0.4">
      <c r="A280" s="87" t="s">
        <v>151</v>
      </c>
      <c r="B280" s="301">
        <v>10</v>
      </c>
      <c r="C280" s="96" t="s">
        <v>152</v>
      </c>
      <c r="D280" s="90" t="s">
        <v>148</v>
      </c>
      <c r="E280" s="139">
        <f>1/(B279)</f>
        <v>0.05</v>
      </c>
      <c r="F280" s="90" t="s">
        <v>10</v>
      </c>
      <c r="G280" s="92" t="s">
        <v>102</v>
      </c>
      <c r="H280" s="90" t="s">
        <v>6</v>
      </c>
      <c r="I280" s="92" t="s">
        <v>25</v>
      </c>
      <c r="J280" s="83"/>
      <c r="K280" s="83"/>
      <c r="L280" s="83"/>
      <c r="M280" s="83"/>
      <c r="N280" s="85"/>
      <c r="O280" s="85"/>
    </row>
    <row r="281" spans="1:15" x14ac:dyDescent="0.35">
      <c r="A281" s="94"/>
      <c r="B281" s="94"/>
      <c r="C281" s="95"/>
      <c r="D281" s="94" t="s">
        <v>153</v>
      </c>
      <c r="E281" s="122">
        <f>1/B279</f>
        <v>0.05</v>
      </c>
      <c r="F281" s="94" t="s">
        <v>10</v>
      </c>
      <c r="G281" s="92" t="s">
        <v>102</v>
      </c>
      <c r="H281" s="94" t="s">
        <v>6</v>
      </c>
      <c r="I281" s="94" t="s">
        <v>25</v>
      </c>
      <c r="J281" s="94"/>
      <c r="K281" s="94"/>
      <c r="L281" s="94"/>
      <c r="M281" s="94"/>
      <c r="N281" s="94"/>
      <c r="O281" s="94" t="s">
        <v>154</v>
      </c>
    </row>
    <row r="282" spans="1:15" x14ac:dyDescent="0.35">
      <c r="A282" s="2"/>
      <c r="B282" s="80"/>
      <c r="C282" s="80"/>
      <c r="D282" s="81"/>
      <c r="E282" s="79"/>
      <c r="F282" s="81"/>
      <c r="G282" s="79"/>
      <c r="H282" s="81"/>
      <c r="I282" s="79"/>
      <c r="J282" s="25"/>
      <c r="K282" s="25"/>
      <c r="L282" s="25"/>
      <c r="M282" s="25"/>
      <c r="N282" s="2"/>
      <c r="O282" s="2"/>
    </row>
    <row r="283" spans="1:15" x14ac:dyDescent="0.35">
      <c r="A283" s="100" t="s">
        <v>3</v>
      </c>
      <c r="B283" s="100" t="s">
        <v>141</v>
      </c>
      <c r="C283" s="329"/>
      <c r="D283" s="101"/>
      <c r="E283" s="101"/>
      <c r="F283" s="102"/>
      <c r="G283" s="101"/>
      <c r="H283" s="101"/>
      <c r="I283" s="101"/>
      <c r="J283" s="101"/>
      <c r="K283" s="101"/>
      <c r="L283" s="101"/>
      <c r="M283" s="101"/>
      <c r="N283" s="101"/>
      <c r="O283" s="101"/>
    </row>
    <row r="284" spans="1:15" x14ac:dyDescent="0.35">
      <c r="A284" s="101" t="s">
        <v>4</v>
      </c>
      <c r="B284" s="150" t="s">
        <v>141</v>
      </c>
      <c r="C284" s="329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</row>
    <row r="285" spans="1:15" x14ac:dyDescent="0.35">
      <c r="A285" s="101" t="s">
        <v>5</v>
      </c>
      <c r="B285" s="103" t="s">
        <v>6</v>
      </c>
      <c r="C285" s="329"/>
      <c r="D285" s="101"/>
      <c r="E285" s="103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</row>
    <row r="286" spans="1:15" x14ac:dyDescent="0.35">
      <c r="A286" s="101" t="s">
        <v>7</v>
      </c>
      <c r="B286" s="132">
        <v>1</v>
      </c>
      <c r="C286" s="329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</row>
    <row r="287" spans="1:15" x14ac:dyDescent="0.35">
      <c r="A287" s="101" t="s">
        <v>8</v>
      </c>
      <c r="B287" s="103" t="s">
        <v>9</v>
      </c>
      <c r="C287" s="329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</row>
    <row r="288" spans="1:15" x14ac:dyDescent="0.35">
      <c r="A288" s="101" t="s">
        <v>10</v>
      </c>
      <c r="B288" s="151" t="s">
        <v>10</v>
      </c>
      <c r="C288" s="329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</row>
    <row r="289" spans="1:15" x14ac:dyDescent="0.35">
      <c r="A289" s="100" t="s">
        <v>11</v>
      </c>
      <c r="B289" s="101"/>
      <c r="C289" s="329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</row>
    <row r="290" spans="1:15" x14ac:dyDescent="0.35">
      <c r="A290" s="330" t="s">
        <v>22</v>
      </c>
      <c r="B290" s="330" t="s">
        <v>23</v>
      </c>
      <c r="C290" s="329" t="s">
        <v>24</v>
      </c>
      <c r="D290" s="100" t="s">
        <v>12</v>
      </c>
      <c r="E290" s="100" t="s">
        <v>13</v>
      </c>
      <c r="F290" s="100" t="s">
        <v>10</v>
      </c>
      <c r="G290" s="100" t="s">
        <v>14</v>
      </c>
      <c r="H290" s="100" t="s">
        <v>5</v>
      </c>
      <c r="I290" s="100" t="s">
        <v>8</v>
      </c>
      <c r="J290" s="100" t="s">
        <v>15</v>
      </c>
      <c r="K290" s="100" t="s">
        <v>16</v>
      </c>
      <c r="L290" s="100" t="s">
        <v>17</v>
      </c>
      <c r="M290" s="100" t="s">
        <v>18</v>
      </c>
      <c r="N290" s="100" t="s">
        <v>19</v>
      </c>
      <c r="O290" s="100" t="s">
        <v>4</v>
      </c>
    </row>
    <row r="291" spans="1:15" x14ac:dyDescent="0.35">
      <c r="A291" s="151" t="s">
        <v>174</v>
      </c>
      <c r="B291" s="151" t="s">
        <v>122</v>
      </c>
      <c r="C291" s="104" t="s">
        <v>175</v>
      </c>
      <c r="D291" s="105" t="s">
        <v>141</v>
      </c>
      <c r="E291" s="123">
        <v>1</v>
      </c>
      <c r="F291" s="105" t="s">
        <v>10</v>
      </c>
      <c r="G291" s="105" t="s">
        <v>278</v>
      </c>
      <c r="H291" s="105" t="s">
        <v>6</v>
      </c>
      <c r="I291" s="106" t="s">
        <v>20</v>
      </c>
      <c r="J291" s="107"/>
      <c r="K291" s="107"/>
      <c r="L291" s="107"/>
      <c r="M291" s="107"/>
      <c r="N291" s="106"/>
      <c r="O291" s="101"/>
    </row>
    <row r="292" spans="1:15" x14ac:dyDescent="0.35">
      <c r="A292" s="151">
        <v>4.658894431158183</v>
      </c>
      <c r="B292" s="151" t="s">
        <v>209</v>
      </c>
      <c r="C292" s="104"/>
      <c r="D292" s="105" t="s">
        <v>137</v>
      </c>
      <c r="E292" s="331">
        <f>A292/E38</f>
        <v>1.0870434806614766E-2</v>
      </c>
      <c r="F292" s="105" t="s">
        <v>10</v>
      </c>
      <c r="G292" s="105" t="s">
        <v>278</v>
      </c>
      <c r="H292" s="105" t="s">
        <v>6</v>
      </c>
      <c r="I292" s="106" t="s">
        <v>25</v>
      </c>
      <c r="J292" s="100"/>
      <c r="K292" s="107"/>
      <c r="L292" s="107"/>
      <c r="M292" s="107"/>
      <c r="N292" s="106"/>
      <c r="O292" s="101"/>
    </row>
    <row r="293" spans="1:15" x14ac:dyDescent="0.35">
      <c r="A293" s="103">
        <v>5.6577540458857856</v>
      </c>
      <c r="B293" s="112" t="s">
        <v>210</v>
      </c>
      <c r="C293" s="109"/>
      <c r="D293" s="105" t="s">
        <v>211</v>
      </c>
      <c r="E293" s="123">
        <f>A293*3.6</f>
        <v>20.36791456518883</v>
      </c>
      <c r="F293" s="105" t="s">
        <v>212</v>
      </c>
      <c r="G293" s="106" t="s">
        <v>102</v>
      </c>
      <c r="H293" s="105" t="s">
        <v>30</v>
      </c>
      <c r="I293" s="106" t="s">
        <v>25</v>
      </c>
      <c r="J293" s="100"/>
      <c r="K293" s="100"/>
      <c r="L293" s="100"/>
      <c r="M293" s="100"/>
      <c r="N293" s="101"/>
      <c r="O293" s="101"/>
    </row>
    <row r="294" spans="1:15" x14ac:dyDescent="0.35">
      <c r="A294" s="110" t="s">
        <v>216</v>
      </c>
      <c r="B294" s="110" t="s">
        <v>176</v>
      </c>
      <c r="C294" s="111" t="s">
        <v>161</v>
      </c>
      <c r="D294" s="110" t="s">
        <v>75</v>
      </c>
      <c r="E294" s="332">
        <f>0.0349187353814617*3/80</f>
        <v>1.3094525768048138E-3</v>
      </c>
      <c r="F294" s="110" t="s">
        <v>29</v>
      </c>
      <c r="G294" s="106" t="s">
        <v>102</v>
      </c>
      <c r="H294" s="110" t="s">
        <v>6</v>
      </c>
      <c r="I294" s="110" t="s">
        <v>25</v>
      </c>
      <c r="J294" s="110"/>
      <c r="K294" s="110"/>
      <c r="L294" s="110"/>
      <c r="M294" s="110"/>
      <c r="N294" s="110"/>
      <c r="O294" s="110"/>
    </row>
    <row r="295" spans="1:15" x14ac:dyDescent="0.35">
      <c r="A295" s="101"/>
      <c r="B295" s="112"/>
      <c r="C295" s="113"/>
      <c r="D295" s="105" t="s">
        <v>82</v>
      </c>
      <c r="E295" s="332">
        <v>3.3080907203490056E-4</v>
      </c>
      <c r="F295" s="105" t="s">
        <v>21</v>
      </c>
      <c r="G295" s="106" t="s">
        <v>102</v>
      </c>
      <c r="H295" s="105" t="s">
        <v>6</v>
      </c>
      <c r="I295" s="106" t="s">
        <v>25</v>
      </c>
      <c r="J295" s="100"/>
      <c r="K295" s="100"/>
      <c r="L295" s="100"/>
      <c r="M295" s="100"/>
      <c r="N295" s="101"/>
      <c r="O295" s="101"/>
    </row>
    <row r="296" spans="1:15" x14ac:dyDescent="0.35">
      <c r="A296" s="110"/>
      <c r="B296" s="110"/>
      <c r="C296" s="111"/>
      <c r="D296" s="110" t="s">
        <v>78</v>
      </c>
      <c r="E296" s="124">
        <f>1000*0.0380430432840136</f>
        <v>38.043043284013606</v>
      </c>
      <c r="F296" s="110" t="s">
        <v>21</v>
      </c>
      <c r="G296" s="106" t="s">
        <v>102</v>
      </c>
      <c r="H296" s="110" t="s">
        <v>6</v>
      </c>
      <c r="I296" s="110" t="s">
        <v>25</v>
      </c>
      <c r="J296" s="110"/>
      <c r="K296" s="110"/>
      <c r="L296" s="110"/>
      <c r="M296" s="110"/>
      <c r="N296" s="110"/>
      <c r="O296" s="110"/>
    </row>
    <row r="297" spans="1:15" x14ac:dyDescent="0.35">
      <c r="A297" s="110"/>
      <c r="B297" s="110"/>
      <c r="C297" s="111"/>
      <c r="D297" s="110" t="s">
        <v>279</v>
      </c>
      <c r="E297" s="124">
        <f>1000*-0.000211350240466742</f>
        <v>-0.211350240466742</v>
      </c>
      <c r="F297" s="110" t="s">
        <v>21</v>
      </c>
      <c r="G297" s="106" t="s">
        <v>102</v>
      </c>
      <c r="H297" s="110" t="s">
        <v>30</v>
      </c>
      <c r="I297" s="110" t="s">
        <v>25</v>
      </c>
      <c r="J297" s="110"/>
      <c r="K297" s="110"/>
      <c r="L297" s="110"/>
      <c r="M297" s="110"/>
      <c r="N297" s="110"/>
      <c r="O297" s="110"/>
    </row>
    <row r="298" spans="1:15" x14ac:dyDescent="0.35">
      <c r="A298" s="101"/>
      <c r="B298" s="108"/>
      <c r="C298" s="113"/>
      <c r="D298" s="110" t="s">
        <v>114</v>
      </c>
      <c r="E298" s="332">
        <v>1.7275584872933696E-3</v>
      </c>
      <c r="F298" s="110" t="s">
        <v>21</v>
      </c>
      <c r="G298" s="105" t="s">
        <v>102</v>
      </c>
      <c r="H298" s="110" t="s">
        <v>6</v>
      </c>
      <c r="I298" s="110" t="s">
        <v>25</v>
      </c>
      <c r="J298" s="110"/>
      <c r="K298" s="110"/>
      <c r="L298" s="100"/>
      <c r="M298" s="100"/>
      <c r="N298" s="101"/>
      <c r="O298" s="101"/>
    </row>
    <row r="299" spans="1:15" x14ac:dyDescent="0.35">
      <c r="A299" s="110" t="s">
        <v>178</v>
      </c>
      <c r="B299" s="110" t="s">
        <v>113</v>
      </c>
      <c r="C299" s="111"/>
      <c r="D299" s="110" t="s">
        <v>112</v>
      </c>
      <c r="E299" s="124">
        <f>0.004*1.74593676907309</f>
        <v>6.9837470762923607E-3</v>
      </c>
      <c r="F299" s="110" t="s">
        <v>21</v>
      </c>
      <c r="G299" s="105" t="s">
        <v>102</v>
      </c>
      <c r="H299" s="110" t="s">
        <v>6</v>
      </c>
      <c r="I299" s="110" t="s">
        <v>25</v>
      </c>
      <c r="J299" s="110"/>
      <c r="K299" s="110"/>
      <c r="L299" s="110"/>
      <c r="M299" s="110"/>
      <c r="N299" s="110"/>
      <c r="O299" s="110"/>
    </row>
    <row r="300" spans="1:15" x14ac:dyDescent="0.35">
      <c r="A300" s="110" t="s">
        <v>179</v>
      </c>
      <c r="B300" s="110" t="s">
        <v>181</v>
      </c>
      <c r="C300" s="111" t="s">
        <v>182</v>
      </c>
      <c r="D300" s="110" t="s">
        <v>90</v>
      </c>
      <c r="E300" s="124">
        <f>0.05*0.101999463877428</f>
        <v>5.0999731938714005E-3</v>
      </c>
      <c r="F300" s="110" t="s">
        <v>21</v>
      </c>
      <c r="G300" s="105" t="s">
        <v>102</v>
      </c>
      <c r="H300" s="110" t="s">
        <v>6</v>
      </c>
      <c r="I300" s="110" t="s">
        <v>25</v>
      </c>
      <c r="J300" s="110"/>
      <c r="K300" s="110"/>
      <c r="L300" s="110"/>
      <c r="M300" s="110"/>
      <c r="N300" s="110"/>
      <c r="O300" s="110"/>
    </row>
    <row r="301" spans="1:15" x14ac:dyDescent="0.35">
      <c r="A301" s="110" t="s">
        <v>180</v>
      </c>
      <c r="B301" s="110"/>
      <c r="C301" s="111"/>
      <c r="D301" s="110" t="s">
        <v>117</v>
      </c>
      <c r="E301" s="332">
        <v>3.1794427478909889E-3</v>
      </c>
      <c r="F301" s="110" t="s">
        <v>21</v>
      </c>
      <c r="G301" s="105" t="s">
        <v>102</v>
      </c>
      <c r="H301" s="110" t="s">
        <v>6</v>
      </c>
      <c r="I301" s="110" t="s">
        <v>25</v>
      </c>
      <c r="J301" s="110"/>
      <c r="K301" s="110"/>
      <c r="L301" s="110"/>
      <c r="M301" s="110"/>
      <c r="N301" s="110"/>
      <c r="O301" s="110" t="s">
        <v>125</v>
      </c>
    </row>
    <row r="302" spans="1:15" x14ac:dyDescent="0.35">
      <c r="A302" s="110"/>
      <c r="B302" s="110"/>
      <c r="C302" s="111"/>
      <c r="D302" s="110" t="s">
        <v>84</v>
      </c>
      <c r="E302" s="332">
        <v>2.6648508580589213E-4</v>
      </c>
      <c r="F302" s="110" t="s">
        <v>10</v>
      </c>
      <c r="G302" s="105" t="s">
        <v>102</v>
      </c>
      <c r="H302" s="110" t="s">
        <v>6</v>
      </c>
      <c r="I302" s="110" t="s">
        <v>25</v>
      </c>
      <c r="J302" s="110"/>
      <c r="K302" s="110"/>
      <c r="L302" s="110"/>
      <c r="M302" s="110"/>
      <c r="N302" s="110"/>
      <c r="O302" s="110"/>
    </row>
    <row r="303" spans="1:15" x14ac:dyDescent="0.35">
      <c r="A303" s="110"/>
      <c r="B303" s="110"/>
      <c r="C303" s="111"/>
      <c r="D303" s="110" t="s">
        <v>115</v>
      </c>
      <c r="E303" s="332">
        <v>7.0756384851909291E-4</v>
      </c>
      <c r="F303" s="110" t="s">
        <v>10</v>
      </c>
      <c r="G303" s="105" t="s">
        <v>102</v>
      </c>
      <c r="H303" s="110" t="s">
        <v>6</v>
      </c>
      <c r="I303" s="110" t="s">
        <v>25</v>
      </c>
      <c r="J303" s="110"/>
      <c r="K303" s="110"/>
      <c r="L303" s="110"/>
      <c r="M303" s="110"/>
      <c r="N303" s="110"/>
      <c r="O303" s="110"/>
    </row>
    <row r="304" spans="1:15" x14ac:dyDescent="0.35">
      <c r="A304" s="110"/>
      <c r="B304" s="110"/>
      <c r="C304" s="111"/>
      <c r="D304" s="110" t="s">
        <v>116</v>
      </c>
      <c r="E304" s="332">
        <v>1.0751294841134268E-3</v>
      </c>
      <c r="F304" s="110" t="s">
        <v>10</v>
      </c>
      <c r="G304" s="105" t="s">
        <v>102</v>
      </c>
      <c r="H304" s="110" t="s">
        <v>6</v>
      </c>
      <c r="I304" s="110" t="s">
        <v>25</v>
      </c>
      <c r="J304" s="110"/>
      <c r="K304" s="110"/>
      <c r="L304" s="110"/>
      <c r="M304" s="110"/>
      <c r="N304" s="110"/>
      <c r="O304" s="110"/>
    </row>
    <row r="305" spans="1:15" x14ac:dyDescent="0.35">
      <c r="A305" s="110"/>
      <c r="B305" s="110"/>
      <c r="C305" s="111"/>
      <c r="D305" s="110" t="s">
        <v>111</v>
      </c>
      <c r="E305" s="124">
        <v>1.6264779375049276E-2</v>
      </c>
      <c r="F305" s="110" t="s">
        <v>21</v>
      </c>
      <c r="G305" s="105" t="s">
        <v>102</v>
      </c>
      <c r="H305" s="110" t="s">
        <v>6</v>
      </c>
      <c r="I305" s="110" t="s">
        <v>25</v>
      </c>
      <c r="J305" s="110"/>
      <c r="K305" s="110"/>
      <c r="L305" s="110"/>
      <c r="M305" s="110"/>
      <c r="N305" s="110"/>
      <c r="O305" s="110"/>
    </row>
    <row r="307" spans="1:15" x14ac:dyDescent="0.35">
      <c r="A307" s="334" t="s">
        <v>3</v>
      </c>
      <c r="B307" s="334" t="s">
        <v>217</v>
      </c>
      <c r="C307" s="335"/>
      <c r="D307" s="336"/>
      <c r="E307" s="336"/>
      <c r="F307" s="337"/>
      <c r="G307" s="336"/>
      <c r="H307" s="336"/>
      <c r="I307" s="336"/>
      <c r="J307" s="336"/>
      <c r="K307" s="336"/>
      <c r="L307" s="336"/>
      <c r="M307" s="336"/>
      <c r="N307" s="336"/>
      <c r="O307" s="336"/>
    </row>
    <row r="308" spans="1:15" x14ac:dyDescent="0.35">
      <c r="A308" s="336" t="s">
        <v>4</v>
      </c>
      <c r="B308" s="338" t="s">
        <v>218</v>
      </c>
      <c r="C308" s="335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36"/>
    </row>
    <row r="309" spans="1:15" x14ac:dyDescent="0.35">
      <c r="A309" s="336" t="s">
        <v>5</v>
      </c>
      <c r="B309" s="339" t="s">
        <v>6</v>
      </c>
      <c r="C309" s="335"/>
      <c r="D309" s="336"/>
      <c r="E309" s="339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</row>
    <row r="310" spans="1:15" x14ac:dyDescent="0.35">
      <c r="A310" s="336" t="s">
        <v>7</v>
      </c>
      <c r="B310" s="340">
        <v>1</v>
      </c>
      <c r="C310" s="335"/>
      <c r="D310" s="336"/>
      <c r="E310" s="336"/>
      <c r="F310" s="336"/>
      <c r="G310" s="336"/>
      <c r="H310" s="336"/>
      <c r="I310" s="336"/>
      <c r="J310" s="336"/>
      <c r="K310" s="336"/>
      <c r="L310" s="336"/>
      <c r="M310" s="336"/>
      <c r="N310" s="336"/>
      <c r="O310" s="336"/>
    </row>
    <row r="311" spans="1:15" x14ac:dyDescent="0.35">
      <c r="A311" s="336" t="s">
        <v>8</v>
      </c>
      <c r="B311" s="339" t="s">
        <v>9</v>
      </c>
      <c r="C311" s="335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</row>
    <row r="312" spans="1:15" x14ac:dyDescent="0.35">
      <c r="A312" s="339" t="s">
        <v>219</v>
      </c>
      <c r="B312" s="339" t="s">
        <v>220</v>
      </c>
      <c r="C312" s="335"/>
      <c r="D312" s="336"/>
      <c r="E312" s="336"/>
      <c r="F312" s="336"/>
      <c r="G312" s="336"/>
      <c r="H312" s="336"/>
      <c r="I312" s="336"/>
      <c r="J312" s="336"/>
      <c r="K312" s="336"/>
      <c r="L312" s="336"/>
      <c r="M312" s="336"/>
      <c r="N312" s="336"/>
      <c r="O312" s="336"/>
    </row>
    <row r="313" spans="1:15" x14ac:dyDescent="0.35">
      <c r="A313" s="336" t="s">
        <v>10</v>
      </c>
      <c r="B313" s="341" t="s">
        <v>29</v>
      </c>
      <c r="C313" s="335"/>
      <c r="D313" s="336"/>
      <c r="E313" s="336"/>
      <c r="F313" s="336"/>
      <c r="G313" s="336"/>
      <c r="H313" s="336"/>
      <c r="I313" s="336"/>
      <c r="J313" s="336"/>
      <c r="K313" s="336"/>
      <c r="L313" s="336"/>
      <c r="M313" s="336"/>
      <c r="N313" s="336"/>
      <c r="O313" s="336"/>
    </row>
    <row r="314" spans="1:15" x14ac:dyDescent="0.35">
      <c r="A314" s="334" t="s">
        <v>11</v>
      </c>
      <c r="B314" s="336"/>
      <c r="C314" s="335"/>
      <c r="D314" s="336"/>
      <c r="E314" s="336"/>
      <c r="F314" s="336"/>
      <c r="G314" s="336"/>
      <c r="H314" s="336"/>
      <c r="I314" s="336"/>
      <c r="J314" s="336"/>
      <c r="K314" s="336"/>
      <c r="L314" s="336"/>
      <c r="M314" s="336"/>
      <c r="N314" s="336"/>
      <c r="O314" s="336"/>
    </row>
    <row r="315" spans="1:15" x14ac:dyDescent="0.35">
      <c r="A315" s="342" t="s">
        <v>22</v>
      </c>
      <c r="B315" s="342" t="s">
        <v>23</v>
      </c>
      <c r="C315" s="335" t="s">
        <v>24</v>
      </c>
      <c r="D315" s="334" t="s">
        <v>12</v>
      </c>
      <c r="E315" s="334" t="s">
        <v>13</v>
      </c>
      <c r="F315" s="334" t="s">
        <v>10</v>
      </c>
      <c r="G315" s="334" t="s">
        <v>14</v>
      </c>
      <c r="H315" s="334" t="s">
        <v>5</v>
      </c>
      <c r="I315" s="334" t="s">
        <v>8</v>
      </c>
      <c r="J315" s="334" t="s">
        <v>15</v>
      </c>
      <c r="K315" s="334" t="s">
        <v>16</v>
      </c>
      <c r="L315" s="334" t="s">
        <v>17</v>
      </c>
      <c r="M315" s="334" t="s">
        <v>18</v>
      </c>
      <c r="N315" s="334" t="s">
        <v>19</v>
      </c>
      <c r="O315" s="334" t="s">
        <v>4</v>
      </c>
    </row>
    <row r="316" spans="1:15" x14ac:dyDescent="0.35">
      <c r="A316" s="343">
        <v>2.5</v>
      </c>
      <c r="B316" s="341" t="s">
        <v>221</v>
      </c>
      <c r="C316" s="344">
        <v>50</v>
      </c>
      <c r="D316" s="345" t="s">
        <v>217</v>
      </c>
      <c r="E316" s="346">
        <v>1</v>
      </c>
      <c r="F316" s="345" t="s">
        <v>29</v>
      </c>
      <c r="G316" s="347" t="s">
        <v>278</v>
      </c>
      <c r="H316" s="345" t="s">
        <v>6</v>
      </c>
      <c r="I316" s="347" t="s">
        <v>20</v>
      </c>
      <c r="J316" s="348"/>
      <c r="K316" s="348"/>
      <c r="L316" s="348"/>
      <c r="M316" s="348"/>
      <c r="N316" s="347"/>
      <c r="O316" s="336"/>
    </row>
    <row r="317" spans="1:15" x14ac:dyDescent="0.35">
      <c r="A317" s="341" t="s">
        <v>222</v>
      </c>
      <c r="B317" s="341">
        <v>450</v>
      </c>
      <c r="C317" s="349" t="s">
        <v>223</v>
      </c>
      <c r="D317" s="345" t="s">
        <v>224</v>
      </c>
      <c r="E317" s="369">
        <f>11.15/(B317*A316)</f>
        <v>9.9111111111111119E-3</v>
      </c>
      <c r="F317" s="345" t="s">
        <v>29</v>
      </c>
      <c r="G317" s="345" t="s">
        <v>275</v>
      </c>
      <c r="H317" s="345" t="s">
        <v>30</v>
      </c>
      <c r="I317" s="347" t="s">
        <v>25</v>
      </c>
      <c r="J317" s="334"/>
      <c r="K317" s="348"/>
      <c r="L317" s="348"/>
      <c r="M317" s="348"/>
      <c r="N317" s="347"/>
      <c r="O317" s="336"/>
    </row>
    <row r="318" spans="1:15" x14ac:dyDescent="0.35">
      <c r="A318" s="339" t="s">
        <v>225</v>
      </c>
      <c r="B318" s="350"/>
      <c r="C318" s="351" t="s">
        <v>226</v>
      </c>
      <c r="D318" s="345" t="s">
        <v>224</v>
      </c>
      <c r="E318" s="352">
        <f>84.82/(B317*A316)</f>
        <v>7.5395555555555549E-2</v>
      </c>
      <c r="F318" s="345" t="s">
        <v>29</v>
      </c>
      <c r="G318" s="345" t="s">
        <v>275</v>
      </c>
      <c r="H318" s="345" t="s">
        <v>30</v>
      </c>
      <c r="I318" s="347" t="s">
        <v>25</v>
      </c>
      <c r="J318" s="334"/>
      <c r="K318" s="353"/>
      <c r="L318" s="334"/>
      <c r="M318" s="334"/>
      <c r="N318" s="336"/>
      <c r="O318" s="336"/>
    </row>
    <row r="319" spans="1:15" x14ac:dyDescent="0.35">
      <c r="A319" s="354"/>
      <c r="B319" s="354"/>
      <c r="C319" s="355" t="s">
        <v>227</v>
      </c>
      <c r="D319" s="354" t="s">
        <v>276</v>
      </c>
      <c r="E319" s="356">
        <f>31.24*600/(B317*A316)</f>
        <v>16.661333333333335</v>
      </c>
      <c r="F319" s="345" t="s">
        <v>21</v>
      </c>
      <c r="G319" s="345" t="s">
        <v>275</v>
      </c>
      <c r="H319" s="354" t="s">
        <v>30</v>
      </c>
      <c r="I319" s="354" t="s">
        <v>25</v>
      </c>
      <c r="J319" s="354"/>
      <c r="K319" s="354"/>
      <c r="L319" s="354"/>
      <c r="M319" s="354"/>
      <c r="N319" s="354"/>
      <c r="O319" s="354"/>
    </row>
    <row r="320" spans="1:15" x14ac:dyDescent="0.35">
      <c r="A320" s="354"/>
      <c r="B320" s="354"/>
      <c r="C320" s="355" t="s">
        <v>228</v>
      </c>
      <c r="D320" s="354" t="s">
        <v>229</v>
      </c>
      <c r="E320" s="356">
        <f>273.43*100/(B317*A316)</f>
        <v>24.30488888888889</v>
      </c>
      <c r="F320" s="345" t="s">
        <v>21</v>
      </c>
      <c r="G320" s="345" t="s">
        <v>275</v>
      </c>
      <c r="H320" s="354" t="s">
        <v>6</v>
      </c>
      <c r="I320" s="354" t="s">
        <v>25</v>
      </c>
      <c r="J320" s="354"/>
      <c r="K320" s="354"/>
      <c r="L320" s="354"/>
      <c r="M320" s="354"/>
      <c r="N320" s="354"/>
      <c r="O320" s="354"/>
    </row>
    <row r="321" spans="1:15" x14ac:dyDescent="0.35">
      <c r="A321" s="354" t="s">
        <v>230</v>
      </c>
      <c r="B321" s="357">
        <f>(E317*400+E318*400+E319+E320+E321+E323*600+E324*600+E325+E327+E326*20+E322*122)</f>
        <v>116.03598222222223</v>
      </c>
      <c r="C321" s="355" t="s">
        <v>231</v>
      </c>
      <c r="D321" s="354" t="s">
        <v>232</v>
      </c>
      <c r="E321" s="354">
        <f>0.25*900/(B317*A316)</f>
        <v>0.2</v>
      </c>
      <c r="F321" s="345" t="s">
        <v>21</v>
      </c>
      <c r="G321" s="345" t="s">
        <v>275</v>
      </c>
      <c r="H321" s="354" t="s">
        <v>6</v>
      </c>
      <c r="I321" s="354" t="s">
        <v>25</v>
      </c>
      <c r="J321" s="354"/>
      <c r="K321" s="354"/>
      <c r="L321" s="354"/>
      <c r="M321" s="354"/>
      <c r="N321" s="354"/>
      <c r="O321" s="354"/>
    </row>
    <row r="322" spans="1:15" x14ac:dyDescent="0.35">
      <c r="A322" s="354"/>
      <c r="B322" s="354"/>
      <c r="C322" s="355" t="s">
        <v>233</v>
      </c>
      <c r="D322" s="354" t="s">
        <v>234</v>
      </c>
      <c r="E322" s="358">
        <f>40.36/(B317*A316)</f>
        <v>3.5875555555555556E-2</v>
      </c>
      <c r="F322" s="345" t="s">
        <v>29</v>
      </c>
      <c r="G322" s="345" t="s">
        <v>275</v>
      </c>
      <c r="H322" s="354" t="s">
        <v>30</v>
      </c>
      <c r="I322" s="354" t="s">
        <v>25</v>
      </c>
      <c r="J322" s="354"/>
      <c r="K322" s="354"/>
      <c r="L322" s="354"/>
      <c r="M322" s="354"/>
      <c r="N322" s="354"/>
      <c r="O322" s="354"/>
    </row>
    <row r="323" spans="1:15" x14ac:dyDescent="0.35">
      <c r="A323" s="354"/>
      <c r="B323" s="354" t="s">
        <v>277</v>
      </c>
      <c r="C323" s="355" t="s">
        <v>235</v>
      </c>
      <c r="D323" s="354" t="s">
        <v>236</v>
      </c>
      <c r="E323" s="359">
        <f>60/(B317*A316)</f>
        <v>5.3333333333333337E-2</v>
      </c>
      <c r="F323" s="345" t="s">
        <v>29</v>
      </c>
      <c r="G323" s="345" t="s">
        <v>275</v>
      </c>
      <c r="H323" s="354" t="s">
        <v>30</v>
      </c>
      <c r="I323" s="354" t="s">
        <v>25</v>
      </c>
      <c r="J323" s="354"/>
      <c r="K323" s="354"/>
      <c r="L323" s="354"/>
      <c r="M323" s="354"/>
      <c r="N323" s="354"/>
      <c r="O323" s="354"/>
    </row>
    <row r="324" spans="1:15" x14ac:dyDescent="0.35">
      <c r="A324" s="354"/>
      <c r="B324" s="354" t="s">
        <v>277</v>
      </c>
      <c r="C324" s="355" t="s">
        <v>237</v>
      </c>
      <c r="D324" s="354" t="s">
        <v>238</v>
      </c>
      <c r="E324" s="359">
        <f>3.75/(B317*A316)</f>
        <v>3.3333333333333335E-3</v>
      </c>
      <c r="F324" s="345" t="s">
        <v>29</v>
      </c>
      <c r="G324" s="345" t="s">
        <v>275</v>
      </c>
      <c r="H324" s="354" t="s">
        <v>30</v>
      </c>
      <c r="I324" s="354" t="s">
        <v>25</v>
      </c>
      <c r="J324" s="354"/>
      <c r="K324" s="354"/>
      <c r="L324" s="354"/>
      <c r="M324" s="354"/>
      <c r="N324" s="354"/>
      <c r="O324" s="354"/>
    </row>
    <row r="325" spans="1:15" x14ac:dyDescent="0.35">
      <c r="A325" s="354"/>
      <c r="B325" s="354"/>
      <c r="C325" s="355" t="s">
        <v>239</v>
      </c>
      <c r="D325" s="354" t="s">
        <v>240</v>
      </c>
      <c r="E325" s="359">
        <f>0.08*8900/(B317*A316)</f>
        <v>0.63288888888888883</v>
      </c>
      <c r="F325" s="345" t="s">
        <v>21</v>
      </c>
      <c r="G325" s="345" t="s">
        <v>275</v>
      </c>
      <c r="H325" s="354" t="s">
        <v>6</v>
      </c>
      <c r="I325" s="354" t="s">
        <v>25</v>
      </c>
      <c r="J325" s="354"/>
      <c r="K325" s="354"/>
      <c r="L325" s="354"/>
      <c r="M325" s="354"/>
      <c r="N325" s="354"/>
      <c r="O325" s="354"/>
    </row>
    <row r="326" spans="1:15" x14ac:dyDescent="0.35">
      <c r="A326" s="354"/>
      <c r="B326" s="354" t="s">
        <v>241</v>
      </c>
      <c r="C326" s="355" t="s">
        <v>242</v>
      </c>
      <c r="D326" s="354" t="s">
        <v>243</v>
      </c>
      <c r="E326" s="359">
        <f>0.72*2573/20/(B317*A316)</f>
        <v>8.2336000000000006E-2</v>
      </c>
      <c r="F326" s="345" t="s">
        <v>244</v>
      </c>
      <c r="G326" s="345" t="s">
        <v>275</v>
      </c>
      <c r="H326" s="354" t="s">
        <v>6</v>
      </c>
      <c r="I326" s="354" t="s">
        <v>25</v>
      </c>
      <c r="J326" s="354"/>
      <c r="K326" s="354"/>
      <c r="L326" s="354"/>
      <c r="M326" s="354"/>
      <c r="N326" s="354"/>
      <c r="O326" s="354"/>
    </row>
    <row r="327" spans="1:15" x14ac:dyDescent="0.35">
      <c r="A327" s="354"/>
      <c r="B327" s="354"/>
      <c r="C327" s="355" t="s">
        <v>245</v>
      </c>
      <c r="D327" s="354" t="s">
        <v>246</v>
      </c>
      <c r="E327" s="360">
        <f>0.06*1700/(B317*A316)</f>
        <v>9.0666666666666673E-2</v>
      </c>
      <c r="F327" s="345" t="s">
        <v>21</v>
      </c>
      <c r="G327" s="345" t="s">
        <v>275</v>
      </c>
      <c r="H327" s="354" t="s">
        <v>6</v>
      </c>
      <c r="I327" s="354" t="s">
        <v>25</v>
      </c>
      <c r="J327" s="354"/>
      <c r="K327" s="354"/>
      <c r="L327" s="354"/>
      <c r="M327" s="354"/>
      <c r="N327" s="354"/>
      <c r="O327" s="354"/>
    </row>
    <row r="328" spans="1:15" x14ac:dyDescent="0.35">
      <c r="A328" s="354"/>
      <c r="B328" s="354"/>
      <c r="C328" s="355" t="s">
        <v>247</v>
      </c>
      <c r="D328" s="361" t="s">
        <v>248</v>
      </c>
      <c r="E328" s="359">
        <f>15013/(B317*A316)</f>
        <v>13.344888888888889</v>
      </c>
      <c r="F328" s="354" t="s">
        <v>27</v>
      </c>
      <c r="G328" s="345" t="s">
        <v>275</v>
      </c>
      <c r="H328" s="354" t="s">
        <v>30</v>
      </c>
      <c r="I328" s="354" t="s">
        <v>25</v>
      </c>
      <c r="J328" s="354"/>
      <c r="K328" s="354"/>
      <c r="L328" s="354"/>
      <c r="M328" s="354"/>
      <c r="N328" s="354"/>
      <c r="O328" s="354"/>
    </row>
    <row r="329" spans="1:15" x14ac:dyDescent="0.35">
      <c r="A329" s="354" t="s">
        <v>249</v>
      </c>
      <c r="B329" s="354" t="s">
        <v>250</v>
      </c>
      <c r="C329" s="355" t="s">
        <v>251</v>
      </c>
      <c r="D329" s="361" t="s">
        <v>252</v>
      </c>
      <c r="E329" s="359">
        <f>(0.4425*(B321*B317*A316*9.81/1000)-1.4133)/(B317*A316)</f>
        <v>0.50244722946133336</v>
      </c>
      <c r="F329" s="354" t="s">
        <v>21</v>
      </c>
      <c r="G329" s="345" t="s">
        <v>275</v>
      </c>
      <c r="H329" s="354" t="s">
        <v>6</v>
      </c>
      <c r="I329" s="354" t="s">
        <v>25</v>
      </c>
      <c r="J329" s="354"/>
      <c r="K329" s="354"/>
      <c r="L329" s="354"/>
      <c r="M329" s="354"/>
      <c r="N329" s="354"/>
      <c r="O329" s="354"/>
    </row>
    <row r="330" spans="1:15" x14ac:dyDescent="0.35">
      <c r="A330" s="354" t="s">
        <v>253</v>
      </c>
      <c r="B330" s="354"/>
      <c r="C330" s="355" t="s">
        <v>254</v>
      </c>
      <c r="D330" s="354" t="s">
        <v>255</v>
      </c>
      <c r="E330" s="359">
        <f>4.16666666666667</f>
        <v>4.1666666666666696</v>
      </c>
      <c r="F330" s="354" t="s">
        <v>256</v>
      </c>
      <c r="G330" s="345" t="s">
        <v>275</v>
      </c>
      <c r="H330" s="354" t="s">
        <v>6</v>
      </c>
      <c r="I330" s="354" t="s">
        <v>25</v>
      </c>
      <c r="J330" s="354"/>
      <c r="K330" s="354"/>
      <c r="L330" s="354"/>
      <c r="M330" s="354"/>
      <c r="N330" s="354"/>
      <c r="O330" s="354"/>
    </row>
    <row r="331" spans="1:15" x14ac:dyDescent="0.35">
      <c r="A331" s="354"/>
      <c r="B331" s="354"/>
      <c r="C331" s="355" t="s">
        <v>257</v>
      </c>
      <c r="D331" s="354" t="s">
        <v>258</v>
      </c>
      <c r="E331" s="358">
        <f>-SUM(E324,E319,E318,E317)</f>
        <v>-16.749973333333337</v>
      </c>
      <c r="F331" s="354" t="s">
        <v>21</v>
      </c>
      <c r="G331" s="345" t="s">
        <v>275</v>
      </c>
      <c r="H331" s="354" t="s">
        <v>30</v>
      </c>
      <c r="I331" s="354" t="s">
        <v>25</v>
      </c>
      <c r="J331" s="354"/>
      <c r="K331" s="354"/>
      <c r="L331" s="354"/>
      <c r="M331" s="354"/>
      <c r="N331" s="354"/>
      <c r="O331" s="354"/>
    </row>
    <row r="332" spans="1:15" x14ac:dyDescent="0.35">
      <c r="A332" s="354"/>
      <c r="B332" s="354"/>
      <c r="C332" s="355" t="s">
        <v>259</v>
      </c>
      <c r="D332" s="354" t="s">
        <v>260</v>
      </c>
      <c r="E332" s="358">
        <f>-E320</f>
        <v>-24.30488888888889</v>
      </c>
      <c r="F332" s="354" t="s">
        <v>21</v>
      </c>
      <c r="G332" s="345" t="s">
        <v>275</v>
      </c>
      <c r="H332" s="354" t="s">
        <v>30</v>
      </c>
      <c r="I332" s="354" t="s">
        <v>25</v>
      </c>
      <c r="J332" s="354"/>
      <c r="K332" s="354"/>
      <c r="L332" s="354"/>
      <c r="M332" s="354"/>
      <c r="N332" s="354"/>
      <c r="O332" s="354"/>
    </row>
    <row r="333" spans="1:15" x14ac:dyDescent="0.35">
      <c r="A333" s="354"/>
      <c r="B333" s="354"/>
      <c r="C333" s="355" t="s">
        <v>261</v>
      </c>
      <c r="D333" s="354" t="s">
        <v>262</v>
      </c>
      <c r="E333" s="359">
        <f>-E321</f>
        <v>-0.2</v>
      </c>
      <c r="F333" s="354" t="s">
        <v>21</v>
      </c>
      <c r="G333" s="345" t="s">
        <v>275</v>
      </c>
      <c r="H333" s="354" t="s">
        <v>30</v>
      </c>
      <c r="I333" s="354" t="s">
        <v>25</v>
      </c>
      <c r="J333" s="354"/>
      <c r="K333" s="354"/>
      <c r="L333" s="354"/>
      <c r="M333" s="354"/>
      <c r="N333" s="354"/>
      <c r="O333" s="354"/>
    </row>
    <row r="334" spans="1:15" x14ac:dyDescent="0.35">
      <c r="A334" s="354"/>
      <c r="B334" s="354"/>
      <c r="C334" s="355" t="s">
        <v>263</v>
      </c>
      <c r="D334" s="354" t="s">
        <v>264</v>
      </c>
      <c r="E334" s="358">
        <f>-(E322+E323)</f>
        <v>-8.9208888888888893E-2</v>
      </c>
      <c r="F334" s="354" t="s">
        <v>21</v>
      </c>
      <c r="G334" s="345" t="s">
        <v>275</v>
      </c>
      <c r="H334" s="354" t="s">
        <v>30</v>
      </c>
      <c r="I334" s="354" t="s">
        <v>25</v>
      </c>
      <c r="J334" s="354"/>
      <c r="K334" s="354"/>
      <c r="L334" s="354"/>
      <c r="M334" s="354"/>
      <c r="N334" s="354"/>
      <c r="O334" s="354"/>
    </row>
    <row r="335" spans="1:15" x14ac:dyDescent="0.35">
      <c r="A335" s="354"/>
      <c r="B335" s="354"/>
      <c r="C335" s="355" t="s">
        <v>265</v>
      </c>
      <c r="D335" s="354" t="s">
        <v>266</v>
      </c>
      <c r="E335" s="359">
        <f>-E326</f>
        <v>-8.2336000000000006E-2</v>
      </c>
      <c r="F335" s="345" t="s">
        <v>244</v>
      </c>
      <c r="G335" s="345" t="s">
        <v>275</v>
      </c>
      <c r="H335" s="354" t="s">
        <v>6</v>
      </c>
      <c r="I335" s="354" t="s">
        <v>25</v>
      </c>
      <c r="J335" s="354"/>
      <c r="K335" s="354"/>
      <c r="L335" s="354"/>
      <c r="M335" s="354"/>
      <c r="N335" s="354"/>
      <c r="O335" s="354"/>
    </row>
    <row r="336" spans="1:15" x14ac:dyDescent="0.35">
      <c r="A336" s="354"/>
      <c r="B336" s="354"/>
      <c r="C336" s="355" t="s">
        <v>267</v>
      </c>
      <c r="D336" s="354" t="s">
        <v>268</v>
      </c>
      <c r="E336" s="358">
        <f>-E325</f>
        <v>-0.63288888888888883</v>
      </c>
      <c r="F336" s="354" t="s">
        <v>21</v>
      </c>
      <c r="G336" s="345" t="s">
        <v>275</v>
      </c>
      <c r="H336" s="354" t="s">
        <v>6</v>
      </c>
      <c r="I336" s="354" t="s">
        <v>25</v>
      </c>
      <c r="J336" s="354"/>
      <c r="K336" s="354"/>
      <c r="L336" s="354"/>
      <c r="M336" s="354"/>
      <c r="N336" s="354"/>
      <c r="O336" s="354"/>
    </row>
    <row r="337" spans="1:15" x14ac:dyDescent="0.35">
      <c r="A337" s="354"/>
      <c r="B337" s="354"/>
      <c r="C337" s="355" t="s">
        <v>269</v>
      </c>
      <c r="D337" s="354" t="s">
        <v>270</v>
      </c>
      <c r="E337" s="359">
        <f>-E327</f>
        <v>-9.0666666666666673E-2</v>
      </c>
      <c r="F337" s="354" t="s">
        <v>21</v>
      </c>
      <c r="G337" s="345" t="s">
        <v>275</v>
      </c>
      <c r="H337" s="354" t="s">
        <v>30</v>
      </c>
      <c r="I337" s="354" t="s">
        <v>25</v>
      </c>
      <c r="J337" s="354"/>
      <c r="K337" s="354"/>
      <c r="L337" s="354"/>
      <c r="M337" s="354"/>
      <c r="N337" s="354"/>
      <c r="O337" s="354"/>
    </row>
    <row r="338" spans="1:15" x14ac:dyDescent="0.35">
      <c r="A338" s="354"/>
      <c r="B338" s="354"/>
      <c r="C338" s="355" t="s">
        <v>271</v>
      </c>
      <c r="D338" s="354" t="s">
        <v>272</v>
      </c>
      <c r="E338" s="359">
        <f>E329</f>
        <v>0.50244722946133336</v>
      </c>
      <c r="F338" s="354" t="s">
        <v>21</v>
      </c>
      <c r="G338" s="345" t="s">
        <v>275</v>
      </c>
      <c r="H338" s="345" t="s">
        <v>30</v>
      </c>
      <c r="I338" s="354" t="s">
        <v>25</v>
      </c>
      <c r="J338" s="354"/>
      <c r="K338" s="354"/>
      <c r="L338" s="354"/>
      <c r="M338" s="354"/>
      <c r="N338" s="354"/>
      <c r="O338" s="3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2023-06-28T15:31:15Z</dcterms:modified>
</cp:coreProperties>
</file>