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DLS_basket_databases\"/>
    </mc:Choice>
  </mc:AlternateContent>
  <bookViews>
    <workbookView xWindow="-100" yWindow="-100" windowWidth="21800" windowHeight="13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96" i="1" l="1"/>
  <c r="E295" i="1"/>
  <c r="E293" i="1"/>
  <c r="E292" i="1"/>
  <c r="E290" i="1"/>
  <c r="E289" i="1"/>
  <c r="E138" i="1" l="1"/>
  <c r="E185" i="1"/>
  <c r="E277" i="1" l="1"/>
  <c r="E276" i="1"/>
  <c r="E38" i="1" l="1"/>
  <c r="E288" i="1" s="1"/>
  <c r="E115" i="1" l="1"/>
  <c r="E200" i="1"/>
  <c r="E236" i="1"/>
  <c r="E237" i="1" s="1"/>
  <c r="E224" i="1"/>
  <c r="E225" i="1" s="1"/>
  <c r="E189" i="1"/>
  <c r="E263" i="1"/>
  <c r="E211" i="1" l="1"/>
  <c r="E213" i="1"/>
  <c r="E212" i="1"/>
  <c r="E187" i="1"/>
  <c r="E186" i="1"/>
  <c r="E174" i="1"/>
  <c r="E163" i="1"/>
  <c r="E151" i="1"/>
  <c r="E152" i="1" s="1"/>
  <c r="E137" i="1"/>
  <c r="E140" i="1" s="1"/>
  <c r="E126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188" i="1" l="1"/>
  <c r="E104" i="1"/>
  <c r="E139" i="1"/>
  <c r="E248" i="1"/>
  <c r="E250" i="1"/>
  <c r="E254" i="1"/>
</calcChain>
</file>

<file path=xl/sharedStrings.xml><?xml version="1.0" encoding="utf-8"?>
<sst xmlns="http://schemas.openxmlformats.org/spreadsheetml/2006/main" count="1257" uniqueCount="215">
  <si>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</si>
  <si>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</si>
  <si>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</si>
  <si>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</si>
  <si>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</si>
  <si>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</si>
  <si>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</si>
  <si>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</si>
  <si>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</si>
  <si>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</si>
  <si>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</si>
  <si>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</si>
  <si>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</si>
  <si>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</si>
  <si>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</si>
  <si>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</si>
  <si>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</si>
  <si>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</si>
  <si>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</si>
  <si>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</si>
  <si>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</si>
  <si>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</si>
  <si>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</si>
  <si>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</si>
  <si>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</si>
  <si>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</si>
  <si>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</si>
  <si>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</si>
  <si>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</si>
  <si>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</si>
  <si>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</si>
  <si>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</si>
  <si>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 car, electric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</si>
  <si>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</si>
  <si>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</si>
  <si>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</si>
  <si>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</si>
  <si>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</si>
  <si>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</si>
  <si>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</si>
  <si>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</si>
  <si>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</si>
  <si>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</si>
  <si>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</si>
  <si>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</si>
  <si>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</si>
  <si>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</si>
  <si>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</si>
  <si>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</si>
  <si>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</si>
  <si>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</si>
  <si>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</si>
  <si>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</si>
  <si>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</si>
  <si>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</si>
  <si>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</si>
  <si>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</si>
  <si>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</si>
  <si>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</si>
  <si>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</si>
  <si>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</si>
  <si>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</si>
  <si>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</si>
  <si>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</si>
  <si>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</si>
  <si>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</si>
  <si>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</si>
  <si>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</si>
  <si>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</si>
  <si>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</si>
  <si>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</si>
  <si>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</si>
  <si>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</si>
  <si>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</si>
  <si>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</si>
  <si>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</si>
  <si>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</si>
  <si>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</si>
  <si>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</si>
  <si>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</si>
  <si>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</si>
  <si>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</si>
  <si>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</si>
  <si>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</si>
  <si>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</si>
  <si>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</si>
  <si>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</si>
  <si>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</si>
  <si>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</si>
  <si>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</si>
  <si>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</si>
  <si>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</si>
  <si>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</si>
  <si>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</si>
  <si>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</si>
  <si>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</si>
  <si>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</si>
  <si>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</si>
  <si>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</si>
  <si>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</si>
  <si>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</si>
  <si>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</si>
  <si>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</si>
  <si>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</si>
  <si>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</si>
  <si>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</si>
  <si>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</si>
  <si>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</si>
  <si>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</si>
  <si>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</si>
  <si>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</si>
  <si>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treatment of waste plastic, mixture, open burning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</si>
  <si>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</si>
  <si>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</si>
  <si>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</si>
  <si>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</si>
  <si>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</si>
  <si>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</si>
  <si>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</si>
  <si>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</si>
  <si>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</si>
  <si>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</si>
  <si>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</si>
  <si>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</si>
  <si>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</si>
  <si>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</si>
  <si>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</si>
  <si>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</si>
  <si>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</si>
  <si>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</si>
  <si>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</si>
  <si>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</si>
  <si>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5% der nutrition als Biomüll (EoL)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</si>
  <si>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</si>
  <si>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</si>
  <si>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</si>
  <si>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</si>
  <si>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</si>
  <si>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</si>
  <si>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</si>
  <si>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</si>
  <si>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</si>
  <si>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</si>
  <si>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</si>
  <si>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</si>
  <si>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</si>
  <si>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</si>
  <si>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</si>
  <si>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</si>
  <si>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</si>
  <si>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</si>
  <si>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</si>
  <si>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</si>
  <si>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</si>
  <si>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</si>
  <si>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</si>
  <si>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</si>
  <si>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</si>
  <si>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</si>
  <si>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</si>
  <si>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</si>
  <si>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</si>
  <si>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</si>
  <si>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</si>
  <si>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</si>
  <si>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</si>
  <si>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</si>
  <si>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</si>
  <si>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</si>
  <si>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</si>
  <si>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</si>
  <si>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</si>
  <si>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</si>
  <si>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</si>
  <si>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</si>
  <si>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</si>
  <si>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</si>
  <si>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</si>
  <si>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</si>
  <si>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</si>
  <si>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</si>
  <si>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</si>
  <si>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</si>
  <si>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</si>
  <si>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</si>
  <si>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</si>
  <si>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</si>
  <si>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</si>
  <si>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</si>
  <si>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</si>
  <si>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</si>
  <si>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</si>
  <si>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</si>
  <si>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</si>
  <si>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</si>
  <si>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</si>
  <si>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</si>
  <si>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</si>
  <si>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</si>
  <si>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</si>
  <si>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</si>
  <si>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</si>
  <si>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</si>
  <si>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</si>
  <si>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</si>
  <si>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factor</t>
  </si>
  <si>
    <t>L/cap d</t>
  </si>
  <si>
    <t>kWh electricity</t>
  </si>
  <si>
    <t>kWh heat</t>
  </si>
  <si>
    <t>market for heat, central or small-scale, other than natural gas</t>
  </si>
  <si>
    <t>megajoule</t>
  </si>
  <si>
    <t>ecoinvent 3.8 cutoff</t>
  </si>
  <si>
    <t>1 unit = base scenario</t>
  </si>
  <si>
    <t>ecoinvent electric</t>
  </si>
  <si>
    <t>dls_basket_electric_HD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</si>
</sst>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35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/>
    <xf numFmtId="0" fontId="3" fillId="4" borderId="1" xfId="4" applyFont="1" applyBorder="1"/>
    <xf numFmtId="0" fontId="2" fillId="4" borderId="0" xfId="4"/>
    <xf numFmtId="0" fontId="2" fillId="4" borderId="1" xfId="4" applyBorder="1"/>
    <xf numFmtId="0" fontId="2" fillId="2" borderId="0" xfId="2"/>
    <xf numFmtId="0" fontId="2" fillId="2" borderId="1" xfId="2" applyBorder="1"/>
    <xf numFmtId="1" fontId="2" fillId="2" borderId="0" xfId="2" applyNumberFormat="1"/>
    <xf numFmtId="0" fontId="3" fillId="2" borderId="0" xfId="2" applyFont="1"/>
    <xf numFmtId="0" fontId="3" fillId="2" borderId="1" xfId="2" applyFont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/>
    <xf numFmtId="0" fontId="2" fillId="3" borderId="1" xfId="3" applyBorder="1"/>
    <xf numFmtId="0" fontId="3" fillId="3" borderId="0" xfId="3" applyFont="1"/>
    <xf numFmtId="0" fontId="3" fillId="3" borderId="1" xfId="3" applyFont="1" applyBorder="1"/>
    <xf numFmtId="0" fontId="2" fillId="3" borderId="0" xfId="3" applyAlignment="1">
      <alignment wrapText="1"/>
    </xf>
    <xf numFmtId="0" fontId="2" fillId="3" borderId="1" xfId="3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/>
    <xf numFmtId="0" fontId="0" fillId="8" borderId="0" xfId="1" applyFont="1" applyFill="1" applyAlignment="1">
      <alignment vertical="top"/>
    </xf>
    <xf numFmtId="0" fontId="2" fillId="0" borderId="0" xfId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>
      <alignment vertical="top"/>
    </xf>
    <xf numFmtId="0" fontId="0" fillId="3" borderId="0" xfId="3" applyFont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Alignment="1">
      <alignment vertical="top"/>
    </xf>
    <xf numFmtId="0" fontId="0" fillId="10" borderId="1" xfId="1" applyFont="1" applyFill="1" applyBorder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Border="1"/>
    <xf numFmtId="2" fontId="2" fillId="4" borderId="0" xfId="4" applyNumberFormat="1"/>
    <xf numFmtId="0" fontId="3" fillId="0" borderId="0" xfId="1" applyFont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2" fontId="2" fillId="5" borderId="0" xfId="1" applyNumberFormat="1" applyFill="1" applyAlignment="1">
      <alignment vertical="top"/>
    </xf>
    <xf numFmtId="2" fontId="2" fillId="3" borderId="0" xfId="3" applyNumberFormat="1"/>
    <xf numFmtId="2" fontId="2" fillId="7" borderId="0" xfId="1" applyNumberFormat="1" applyFill="1"/>
    <xf numFmtId="2" fontId="0" fillId="7" borderId="0" xfId="0" applyNumberForma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Alignment="1">
      <alignment horizontal="left"/>
    </xf>
    <xf numFmtId="1" fontId="2" fillId="2" borderId="0" xfId="2" applyNumberFormat="1" applyAlignment="1">
      <alignment horizontal="left"/>
    </xf>
    <xf numFmtId="0" fontId="11" fillId="4" borderId="0" xfId="4" applyFont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/>
    <xf numFmtId="1" fontId="2" fillId="4" borderId="0" xfId="4" applyNumberFormat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/>
    <xf numFmtId="0" fontId="0" fillId="2" borderId="1" xfId="2" applyFont="1" applyBorder="1"/>
    <xf numFmtId="2" fontId="0" fillId="3" borderId="0" xfId="3" applyNumberFormat="1" applyFont="1"/>
    <xf numFmtId="0" fontId="0" fillId="5" borderId="0" xfId="1" applyFont="1" applyFill="1" applyAlignment="1">
      <alignment vertical="top" wrapText="1"/>
    </xf>
    <xf numFmtId="0" fontId="0" fillId="0" borderId="0" xfId="1" applyFont="1" applyAlignment="1">
      <alignment vertical="top" wrapText="1"/>
    </xf>
    <xf numFmtId="0" fontId="12" fillId="0" borderId="1" xfId="1" applyFont="1" applyBorder="1" applyAlignment="1">
      <alignment vertical="top"/>
    </xf>
    <xf numFmtId="2" fontId="2" fillId="0" borderId="0" xfId="1" applyNumberFormat="1" applyAlignment="1">
      <alignment vertical="top"/>
    </xf>
    <xf numFmtId="0" fontId="13" fillId="0" borderId="1" xfId="1" applyFont="1" applyBorder="1" applyAlignment="1">
      <alignment vertical="top"/>
    </xf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Alignment="1">
      <alignment horizontal="center"/>
    </xf>
    <xf numFmtId="0" fontId="2" fillId="0" borderId="1" xfId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/>
    <xf numFmtId="0" fontId="11" fillId="0" borderId="1" xfId="1" applyFont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Border="1"/>
    <xf numFmtId="1" fontId="0" fillId="0" borderId="0" xfId="0" applyNumberFormat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/>
    <xf numFmtId="2" fontId="19" fillId="0" borderId="0" xfId="0" applyNumberFormat="1" applyFont="1"/>
    <xf numFmtId="0" fontId="19" fillId="0" borderId="0" xfId="1" applyFont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Border="1"/>
    <xf numFmtId="0" fontId="2" fillId="2" borderId="2" xfId="2" applyBorder="1"/>
    <xf numFmtId="0" fontId="0" fillId="4" borderId="2" xfId="4" applyFont="1" applyBorder="1"/>
    <xf numFmtId="3" fontId="0" fillId="4" borderId="2" xfId="4" applyNumberFormat="1" applyFont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1" fillId="17" borderId="0" xfId="1" applyFont="1" applyFill="1" applyAlignment="1">
      <alignment horizontal="right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topLeftCell="A104" zoomScale="70" zoomScaleNormal="70" workbookViewId="0">
      <selection activeCell="B115" sqref="B115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6" t="s">
        <v>0</v>
      </c>
      <c r="B1" s="7" t="s">
        <v>214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5">
      <c r="A4" s="12" t="s">
        <v>3</v>
      </c>
      <c r="B4" s="12" t="s">
        <v>130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35">
      <c r="A5" s="4" t="s">
        <v>4</v>
      </c>
      <c r="B5" s="14" t="s">
        <v>130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5">
      <c r="A7" s="4" t="s">
        <v>7</v>
      </c>
      <c r="B7" s="128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5" thickBot="1" x14ac:dyDescent="0.4">
      <c r="A11" s="15" t="s">
        <v>22</v>
      </c>
      <c r="B11" s="15" t="s">
        <v>23</v>
      </c>
      <c r="C11" s="5" t="s">
        <v>24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ht="15" thickBot="1" x14ac:dyDescent="0.4">
      <c r="A12" s="147" t="s">
        <v>162</v>
      </c>
      <c r="B12" s="322" t="s">
        <v>201</v>
      </c>
      <c r="C12" s="18"/>
      <c r="D12" s="19" t="s">
        <v>130</v>
      </c>
      <c r="E12" s="323">
        <v>1</v>
      </c>
      <c r="F12" s="17" t="s">
        <v>10</v>
      </c>
      <c r="G12" s="19" t="s">
        <v>214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35">
      <c r="A13" s="17"/>
      <c r="B13" s="17"/>
      <c r="C13" s="21"/>
      <c r="D13" s="69" t="s">
        <v>134</v>
      </c>
      <c r="E13" s="324">
        <v>1</v>
      </c>
      <c r="F13" s="74" t="s">
        <v>10</v>
      </c>
      <c r="G13" s="19" t="s">
        <v>214</v>
      </c>
      <c r="H13" s="19" t="s">
        <v>6</v>
      </c>
      <c r="I13" s="14" t="s">
        <v>25</v>
      </c>
      <c r="J13" s="17"/>
      <c r="K13" s="17"/>
      <c r="L13" s="17"/>
      <c r="M13" s="20"/>
      <c r="N13" s="17"/>
      <c r="O13" s="22"/>
    </row>
    <row r="14" spans="1:15" x14ac:dyDescent="0.35">
      <c r="A14" s="17"/>
      <c r="B14" s="17"/>
      <c r="C14" s="18"/>
      <c r="D14" s="138" t="s">
        <v>135</v>
      </c>
      <c r="E14" s="323">
        <v>1</v>
      </c>
      <c r="F14" s="17" t="s">
        <v>10</v>
      </c>
      <c r="G14" s="19" t="s">
        <v>214</v>
      </c>
      <c r="H14" s="19" t="s">
        <v>6</v>
      </c>
      <c r="I14" s="14" t="s">
        <v>25</v>
      </c>
      <c r="J14" s="17"/>
      <c r="K14" s="17"/>
      <c r="L14" s="17"/>
      <c r="M14" s="20"/>
      <c r="N14" s="17"/>
      <c r="O14" s="22"/>
    </row>
    <row r="15" spans="1:15" x14ac:dyDescent="0.35">
      <c r="A15" s="17"/>
      <c r="B15" s="17"/>
      <c r="C15" s="23"/>
      <c r="D15" s="69" t="s">
        <v>136</v>
      </c>
      <c r="E15" s="324">
        <v>1</v>
      </c>
      <c r="F15" s="4" t="s">
        <v>10</v>
      </c>
      <c r="G15" s="19" t="s">
        <v>214</v>
      </c>
      <c r="H15" s="19" t="s">
        <v>6</v>
      </c>
      <c r="I15" s="14" t="s">
        <v>25</v>
      </c>
      <c r="J15" s="17"/>
      <c r="K15" s="17"/>
      <c r="L15" s="17"/>
      <c r="M15" s="20"/>
      <c r="N15" s="17"/>
      <c r="O15" s="22"/>
    </row>
    <row r="16" spans="1:15" x14ac:dyDescent="0.35">
      <c r="A16" s="17"/>
      <c r="B16" s="17"/>
      <c r="C16" s="21"/>
      <c r="D16" s="69" t="s">
        <v>137</v>
      </c>
      <c r="E16" s="323">
        <v>1</v>
      </c>
      <c r="F16" s="17" t="s">
        <v>10</v>
      </c>
      <c r="G16" s="19" t="s">
        <v>214</v>
      </c>
      <c r="H16" s="19" t="s">
        <v>6</v>
      </c>
      <c r="I16" s="14" t="s">
        <v>25</v>
      </c>
      <c r="J16" s="17"/>
      <c r="K16" s="17"/>
      <c r="L16" s="17"/>
      <c r="M16" s="20"/>
      <c r="N16" s="17"/>
      <c r="O16" s="22"/>
    </row>
    <row r="17" spans="1:15" x14ac:dyDescent="0.35">
      <c r="A17" s="16"/>
      <c r="B17" s="17"/>
      <c r="C17" s="21"/>
      <c r="D17" s="69" t="s">
        <v>138</v>
      </c>
      <c r="E17" s="324">
        <v>1</v>
      </c>
      <c r="F17" s="4" t="s">
        <v>10</v>
      </c>
      <c r="G17" s="19" t="s">
        <v>214</v>
      </c>
      <c r="H17" s="19" t="s">
        <v>6</v>
      </c>
      <c r="I17" s="14" t="s">
        <v>25</v>
      </c>
      <c r="J17" s="17"/>
      <c r="K17" s="17"/>
      <c r="L17" s="17"/>
      <c r="M17" s="20"/>
      <c r="N17" s="17"/>
      <c r="O17" s="22"/>
    </row>
    <row r="18" spans="1:15" x14ac:dyDescent="0.35">
      <c r="A18" s="16"/>
      <c r="B18" s="79"/>
      <c r="C18" s="18"/>
      <c r="D18" s="70" t="s">
        <v>139</v>
      </c>
      <c r="E18" s="324">
        <v>1</v>
      </c>
      <c r="F18" s="74" t="s">
        <v>10</v>
      </c>
      <c r="G18" s="19" t="s">
        <v>214</v>
      </c>
      <c r="H18" s="19" t="s">
        <v>6</v>
      </c>
      <c r="I18" s="14" t="s">
        <v>25</v>
      </c>
      <c r="J18" s="17"/>
      <c r="K18" s="17"/>
      <c r="L18" s="17"/>
      <c r="M18" s="20"/>
      <c r="N18" s="17"/>
      <c r="O18" s="22"/>
    </row>
    <row r="19" spans="1:15" x14ac:dyDescent="0.35">
      <c r="A19" s="16"/>
      <c r="B19" s="79"/>
      <c r="C19" s="18"/>
      <c r="D19" s="69" t="s">
        <v>140</v>
      </c>
      <c r="E19" s="325">
        <v>1</v>
      </c>
      <c r="F19" s="55" t="s">
        <v>10</v>
      </c>
      <c r="G19" s="55" t="s">
        <v>214</v>
      </c>
      <c r="H19" s="55" t="s">
        <v>6</v>
      </c>
      <c r="I19" s="55" t="s">
        <v>25</v>
      </c>
      <c r="J19" s="55"/>
      <c r="K19" s="17"/>
      <c r="L19" s="17"/>
      <c r="M19" s="20"/>
      <c r="N19" s="17"/>
      <c r="O19" s="22"/>
    </row>
    <row r="20" spans="1:15" x14ac:dyDescent="0.35">
      <c r="A20" s="16"/>
      <c r="B20" s="79"/>
      <c r="C20" s="18"/>
      <c r="D20" s="70" t="s">
        <v>141</v>
      </c>
      <c r="E20" s="324">
        <v>1</v>
      </c>
      <c r="F20" s="4" t="s">
        <v>10</v>
      </c>
      <c r="G20" s="19" t="s">
        <v>214</v>
      </c>
      <c r="H20" s="19" t="s">
        <v>6</v>
      </c>
      <c r="I20" s="14" t="s">
        <v>25</v>
      </c>
      <c r="J20" s="17"/>
      <c r="K20" s="17"/>
      <c r="L20" s="17"/>
      <c r="M20" s="20"/>
      <c r="N20" s="17"/>
      <c r="O20" s="22"/>
    </row>
    <row r="21" spans="1:15" ht="15" thickBot="1" x14ac:dyDescent="0.4">
      <c r="A21" s="16"/>
      <c r="B21" s="79"/>
      <c r="C21" s="18"/>
      <c r="D21" s="70" t="s">
        <v>142</v>
      </c>
      <c r="E21" s="324">
        <v>1</v>
      </c>
      <c r="F21" s="74" t="s">
        <v>10</v>
      </c>
      <c r="G21" s="19" t="s">
        <v>214</v>
      </c>
      <c r="H21" s="19" t="s">
        <v>6</v>
      </c>
      <c r="I21" s="14" t="s">
        <v>25</v>
      </c>
      <c r="J21" s="17"/>
      <c r="K21" s="17"/>
      <c r="L21" s="17"/>
      <c r="M21" s="20"/>
      <c r="N21" s="17"/>
      <c r="O21" s="22"/>
    </row>
    <row r="22" spans="1:15" ht="15" thickBot="1" x14ac:dyDescent="0.4">
      <c r="A22" s="147" t="s">
        <v>212</v>
      </c>
      <c r="B22" s="327">
        <v>4.8000000000000001E-2</v>
      </c>
      <c r="C22" s="326" t="s">
        <v>204</v>
      </c>
      <c r="D22" s="70" t="s">
        <v>143</v>
      </c>
      <c r="E22" s="328">
        <f>B22/0.035</f>
        <v>1.3714285714285712</v>
      </c>
      <c r="F22" s="55" t="s">
        <v>10</v>
      </c>
      <c r="G22" s="55" t="s">
        <v>214</v>
      </c>
      <c r="H22" s="55" t="s">
        <v>6</v>
      </c>
      <c r="I22" s="55" t="s">
        <v>25</v>
      </c>
      <c r="J22" s="55"/>
      <c r="K22" s="17"/>
      <c r="L22" s="17"/>
      <c r="M22" s="20"/>
      <c r="N22" s="17"/>
      <c r="O22" s="22"/>
    </row>
    <row r="23" spans="1:15" x14ac:dyDescent="0.35">
      <c r="A23" s="16"/>
      <c r="B23" s="17"/>
      <c r="C23" s="21"/>
      <c r="D23" s="70" t="s">
        <v>144</v>
      </c>
      <c r="E23" s="324">
        <v>1</v>
      </c>
      <c r="F23" s="4" t="s">
        <v>10</v>
      </c>
      <c r="G23" s="19" t="s">
        <v>214</v>
      </c>
      <c r="H23" s="19" t="s">
        <v>6</v>
      </c>
      <c r="I23" s="14" t="s">
        <v>25</v>
      </c>
      <c r="J23" s="55"/>
      <c r="K23" s="17"/>
      <c r="L23" s="17"/>
      <c r="M23" s="20"/>
      <c r="N23" s="17"/>
      <c r="O23" s="22"/>
    </row>
    <row r="24" spans="1:15" x14ac:dyDescent="0.35">
      <c r="A24" s="16"/>
      <c r="B24" s="17"/>
      <c r="C24" s="21"/>
      <c r="D24" s="70" t="s">
        <v>145</v>
      </c>
      <c r="E24" s="324">
        <v>1</v>
      </c>
      <c r="F24" s="74" t="s">
        <v>10</v>
      </c>
      <c r="G24" s="19" t="s">
        <v>214</v>
      </c>
      <c r="H24" s="19" t="s">
        <v>6</v>
      </c>
      <c r="I24" s="14" t="s">
        <v>25</v>
      </c>
      <c r="J24" s="55"/>
      <c r="K24" s="17"/>
      <c r="L24" s="17"/>
      <c r="M24" s="20"/>
      <c r="N24" s="17"/>
      <c r="O24" s="22"/>
    </row>
    <row r="25" spans="1:15" x14ac:dyDescent="0.35">
      <c r="A25" s="16"/>
      <c r="B25" s="17"/>
      <c r="C25" s="21"/>
      <c r="D25" s="70" t="s">
        <v>146</v>
      </c>
      <c r="E25" s="325">
        <v>1</v>
      </c>
      <c r="F25" s="55" t="s">
        <v>10</v>
      </c>
      <c r="G25" s="55" t="s">
        <v>214</v>
      </c>
      <c r="H25" s="55" t="s">
        <v>6</v>
      </c>
      <c r="I25" s="55" t="s">
        <v>25</v>
      </c>
      <c r="J25" s="55"/>
      <c r="K25" s="17"/>
      <c r="L25" s="17"/>
      <c r="M25" s="20"/>
      <c r="N25" s="17"/>
      <c r="O25" s="22"/>
    </row>
    <row r="26" spans="1:15" x14ac:dyDescent="0.35">
      <c r="A26" s="16"/>
      <c r="B26" s="17"/>
      <c r="C26" s="21"/>
      <c r="D26" s="70" t="s">
        <v>147</v>
      </c>
      <c r="E26" s="324">
        <v>1</v>
      </c>
      <c r="F26" s="4" t="s">
        <v>10</v>
      </c>
      <c r="G26" s="19" t="s">
        <v>214</v>
      </c>
      <c r="H26" s="19" t="s">
        <v>6</v>
      </c>
      <c r="I26" s="14" t="s">
        <v>25</v>
      </c>
      <c r="J26" s="55"/>
      <c r="K26" s="17"/>
      <c r="L26" s="17"/>
      <c r="M26" s="20"/>
      <c r="N26" s="17"/>
      <c r="O26" s="22"/>
    </row>
    <row r="27" spans="1:15" x14ac:dyDescent="0.35">
      <c r="A27" s="16"/>
      <c r="B27" s="17"/>
      <c r="C27" s="21"/>
      <c r="D27" s="70" t="s">
        <v>131</v>
      </c>
      <c r="E27" s="324">
        <v>1</v>
      </c>
      <c r="F27" s="74" t="s">
        <v>10</v>
      </c>
      <c r="G27" s="19" t="s">
        <v>214</v>
      </c>
      <c r="H27" s="19" t="s">
        <v>6</v>
      </c>
      <c r="I27" s="14" t="s">
        <v>25</v>
      </c>
      <c r="J27" s="55"/>
      <c r="K27" s="17"/>
      <c r="L27" s="17"/>
      <c r="M27" s="20"/>
      <c r="N27" s="17"/>
      <c r="O27" s="22"/>
    </row>
    <row r="28" spans="1:15" x14ac:dyDescent="0.35">
      <c r="A28" s="3"/>
      <c r="B28" s="3"/>
      <c r="C28" s="11"/>
      <c r="D28" s="24"/>
      <c r="E28" s="3"/>
      <c r="F28" s="3"/>
      <c r="G28" s="3"/>
      <c r="H28" s="3"/>
      <c r="I28" s="3"/>
      <c r="J28" s="3"/>
      <c r="K28" s="3"/>
      <c r="L28" s="25"/>
      <c r="M28" s="26"/>
      <c r="N28" s="3"/>
      <c r="O28" s="3"/>
    </row>
    <row r="29" spans="1:15" x14ac:dyDescent="0.35">
      <c r="A29" s="27" t="s">
        <v>3</v>
      </c>
      <c r="B29" s="139" t="s">
        <v>139</v>
      </c>
      <c r="C29" s="2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35">
      <c r="A30" s="29" t="s">
        <v>4</v>
      </c>
      <c r="B30" s="80" t="s">
        <v>139</v>
      </c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1:15" x14ac:dyDescent="0.35">
      <c r="A31" s="29" t="s">
        <v>5</v>
      </c>
      <c r="B31" s="29" t="s">
        <v>6</v>
      </c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1:15" x14ac:dyDescent="0.35">
      <c r="A32" s="29" t="s">
        <v>7</v>
      </c>
      <c r="B32" s="132">
        <v>1</v>
      </c>
      <c r="C32" s="30"/>
      <c r="D32" s="101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x14ac:dyDescent="0.35">
      <c r="A33" s="29" t="s">
        <v>8</v>
      </c>
      <c r="B33" s="29" t="s">
        <v>9</v>
      </c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x14ac:dyDescent="0.35">
      <c r="A34" s="29" t="s">
        <v>10</v>
      </c>
      <c r="B34" s="29" t="s">
        <v>10</v>
      </c>
      <c r="C34" s="30"/>
      <c r="D34" s="29"/>
      <c r="E34" s="101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1:15" x14ac:dyDescent="0.35">
      <c r="A35" s="27" t="s">
        <v>11</v>
      </c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35">
      <c r="A36" s="27" t="s">
        <v>22</v>
      </c>
      <c r="B36" s="27" t="s">
        <v>23</v>
      </c>
      <c r="C36" s="28" t="s">
        <v>24</v>
      </c>
      <c r="D36" s="27" t="s">
        <v>12</v>
      </c>
      <c r="E36" s="27" t="s">
        <v>13</v>
      </c>
      <c r="F36" s="27" t="s">
        <v>10</v>
      </c>
      <c r="G36" s="27" t="s">
        <v>14</v>
      </c>
      <c r="H36" s="27" t="s">
        <v>5</v>
      </c>
      <c r="I36" s="27" t="s">
        <v>8</v>
      </c>
      <c r="J36" s="27" t="s">
        <v>15</v>
      </c>
      <c r="K36" s="27" t="s">
        <v>16</v>
      </c>
      <c r="L36" s="27" t="s">
        <v>17</v>
      </c>
      <c r="M36" s="27" t="s">
        <v>18</v>
      </c>
      <c r="N36" s="27" t="s">
        <v>19</v>
      </c>
      <c r="O36" s="27" t="s">
        <v>4</v>
      </c>
    </row>
    <row r="37" spans="1:15" ht="15" thickBot="1" x14ac:dyDescent="0.4">
      <c r="A37" s="80" t="s">
        <v>202</v>
      </c>
      <c r="B37" s="80" t="s">
        <v>158</v>
      </c>
      <c r="C37" s="100" t="s">
        <v>159</v>
      </c>
      <c r="D37" s="80" t="s">
        <v>139</v>
      </c>
      <c r="E37" s="140">
        <v>1</v>
      </c>
      <c r="F37" s="80" t="s">
        <v>10</v>
      </c>
      <c r="G37" s="29" t="s">
        <v>214</v>
      </c>
      <c r="H37" s="29" t="s">
        <v>6</v>
      </c>
      <c r="I37" s="29" t="s">
        <v>20</v>
      </c>
      <c r="J37" s="29"/>
      <c r="K37" s="29"/>
      <c r="L37" s="29"/>
      <c r="M37" s="29"/>
      <c r="N37" s="29"/>
      <c r="O37" s="29"/>
    </row>
    <row r="38" spans="1:15" ht="15" thickBot="1" x14ac:dyDescent="0.4">
      <c r="A38" s="320">
        <v>1512</v>
      </c>
      <c r="B38" s="320">
        <v>24</v>
      </c>
      <c r="C38" s="321">
        <v>76</v>
      </c>
      <c r="D38" s="80" t="s">
        <v>148</v>
      </c>
      <c r="E38" s="140">
        <f>A38*(B38/100+C38/2.5/100)</f>
        <v>822.52800000000002</v>
      </c>
      <c r="F38" s="29" t="s">
        <v>28</v>
      </c>
      <c r="G38" s="80" t="s">
        <v>213</v>
      </c>
      <c r="H38" s="80" t="s">
        <v>6</v>
      </c>
      <c r="I38" s="29" t="s">
        <v>25</v>
      </c>
      <c r="J38" s="29"/>
      <c r="K38" s="29"/>
      <c r="L38" s="29"/>
      <c r="M38" s="29"/>
      <c r="N38" s="29"/>
      <c r="O38" s="29"/>
    </row>
    <row r="39" spans="1:15" x14ac:dyDescent="0.35">
      <c r="A39" s="3"/>
      <c r="B39" s="3"/>
      <c r="C39" s="102"/>
      <c r="D39" s="24"/>
      <c r="E39" s="24"/>
      <c r="F39" s="24"/>
      <c r="G39" s="24"/>
      <c r="H39" s="24"/>
      <c r="I39" s="24"/>
      <c r="J39" s="3"/>
      <c r="K39" s="3"/>
      <c r="L39" s="25"/>
      <c r="M39" s="26"/>
      <c r="N39" s="3"/>
      <c r="O39" s="3"/>
    </row>
    <row r="40" spans="1:15" x14ac:dyDescent="0.35">
      <c r="A40" s="31" t="s">
        <v>3</v>
      </c>
      <c r="B40" s="68" t="s">
        <v>131</v>
      </c>
      <c r="C40" s="32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35">
      <c r="A41" s="31" t="s">
        <v>4</v>
      </c>
      <c r="B41" s="31" t="s">
        <v>131</v>
      </c>
      <c r="C41" s="32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35">
      <c r="A42" s="31" t="s">
        <v>5</v>
      </c>
      <c r="B42" s="31" t="s">
        <v>6</v>
      </c>
      <c r="C42" s="32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35">
      <c r="A43" s="31" t="s">
        <v>7</v>
      </c>
      <c r="B43" s="131">
        <v>1</v>
      </c>
      <c r="C43" s="32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35">
      <c r="A44" s="31" t="s">
        <v>8</v>
      </c>
      <c r="B44" s="31" t="s">
        <v>9</v>
      </c>
      <c r="C44" s="32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35">
      <c r="A45" s="31" t="s">
        <v>10</v>
      </c>
      <c r="B45" s="31" t="s">
        <v>10</v>
      </c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35">
      <c r="A46" s="34" t="s">
        <v>11</v>
      </c>
      <c r="B46" s="34"/>
      <c r="C46" s="35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5" thickBot="1" x14ac:dyDescent="0.4">
      <c r="A47" s="34" t="s">
        <v>22</v>
      </c>
      <c r="B47" s="34" t="s">
        <v>23</v>
      </c>
      <c r="C47" s="35" t="s">
        <v>24</v>
      </c>
      <c r="D47" s="34" t="s">
        <v>12</v>
      </c>
      <c r="E47" s="34" t="s">
        <v>13</v>
      </c>
      <c r="F47" s="34" t="s">
        <v>10</v>
      </c>
      <c r="G47" s="34" t="s">
        <v>14</v>
      </c>
      <c r="H47" s="34" t="s">
        <v>5</v>
      </c>
      <c r="I47" s="34" t="s">
        <v>8</v>
      </c>
      <c r="J47" s="34" t="s">
        <v>15</v>
      </c>
      <c r="K47" s="34" t="s">
        <v>16</v>
      </c>
      <c r="L47" s="34" t="s">
        <v>17</v>
      </c>
      <c r="M47" s="34" t="s">
        <v>18</v>
      </c>
      <c r="N47" s="34" t="s">
        <v>19</v>
      </c>
      <c r="O47" s="34" t="s">
        <v>4</v>
      </c>
    </row>
    <row r="48" spans="1:15" ht="15" thickBot="1" x14ac:dyDescent="0.4">
      <c r="A48" s="31"/>
      <c r="B48" s="319">
        <v>15000</v>
      </c>
      <c r="C48" s="145" t="s">
        <v>160</v>
      </c>
      <c r="D48" s="31" t="s">
        <v>131</v>
      </c>
      <c r="E48" s="33">
        <v>1</v>
      </c>
      <c r="F48" s="31" t="s">
        <v>10</v>
      </c>
      <c r="G48" s="31" t="s">
        <v>214</v>
      </c>
      <c r="H48" s="31" t="s">
        <v>6</v>
      </c>
      <c r="I48" s="31" t="s">
        <v>20</v>
      </c>
      <c r="J48" s="31"/>
      <c r="K48" s="31"/>
      <c r="L48" s="31"/>
      <c r="M48" s="31"/>
      <c r="N48" s="31"/>
      <c r="O48" s="31"/>
    </row>
    <row r="49" spans="1:15" x14ac:dyDescent="0.35">
      <c r="A49" s="31"/>
      <c r="B49" s="144">
        <v>40</v>
      </c>
      <c r="C49" s="145" t="s">
        <v>157</v>
      </c>
      <c r="D49" s="31" t="s">
        <v>31</v>
      </c>
      <c r="E49" s="33">
        <f>$B$48*B49/100</f>
        <v>6000</v>
      </c>
      <c r="F49" s="31" t="s">
        <v>34</v>
      </c>
      <c r="G49" s="31" t="s">
        <v>213</v>
      </c>
      <c r="H49" s="31" t="s">
        <v>6</v>
      </c>
      <c r="I49" s="31" t="s">
        <v>25</v>
      </c>
      <c r="J49" s="31"/>
      <c r="K49" s="31"/>
      <c r="L49" s="31"/>
      <c r="M49" s="31"/>
      <c r="N49" s="31"/>
      <c r="O49" s="31"/>
    </row>
    <row r="50" spans="1:15" x14ac:dyDescent="0.35">
      <c r="A50" s="31"/>
      <c r="B50" s="144">
        <v>40</v>
      </c>
      <c r="C50" s="145" t="s">
        <v>157</v>
      </c>
      <c r="D50" s="31" t="s">
        <v>128</v>
      </c>
      <c r="E50" s="33">
        <f t="shared" ref="E50:E52" si="0">$B$48*B50/100</f>
        <v>6000</v>
      </c>
      <c r="F50" s="31" t="s">
        <v>34</v>
      </c>
      <c r="G50" s="31" t="s">
        <v>213</v>
      </c>
      <c r="H50" s="31" t="s">
        <v>6</v>
      </c>
      <c r="I50" s="31" t="s">
        <v>25</v>
      </c>
      <c r="J50" s="31"/>
      <c r="K50" s="31"/>
      <c r="L50" s="31"/>
      <c r="M50" s="31"/>
      <c r="N50" s="31"/>
      <c r="O50" s="31"/>
    </row>
    <row r="51" spans="1:15" x14ac:dyDescent="0.35">
      <c r="A51" s="31"/>
      <c r="B51" s="31">
        <v>15</v>
      </c>
      <c r="C51" s="145" t="s">
        <v>157</v>
      </c>
      <c r="D51" s="31" t="s">
        <v>32</v>
      </c>
      <c r="E51" s="33">
        <f t="shared" si="0"/>
        <v>2250</v>
      </c>
      <c r="F51" s="31" t="s">
        <v>35</v>
      </c>
      <c r="G51" s="31" t="s">
        <v>213</v>
      </c>
      <c r="H51" s="31" t="s">
        <v>6</v>
      </c>
      <c r="I51" s="31" t="s">
        <v>25</v>
      </c>
      <c r="J51" s="31"/>
      <c r="K51" s="31"/>
      <c r="L51" s="33"/>
      <c r="M51" s="31"/>
      <c r="N51" s="31"/>
      <c r="O51" s="31"/>
    </row>
    <row r="52" spans="1:15" x14ac:dyDescent="0.35">
      <c r="A52" s="31"/>
      <c r="B52" s="31">
        <v>5</v>
      </c>
      <c r="C52" s="145" t="s">
        <v>157</v>
      </c>
      <c r="D52" s="31" t="s">
        <v>33</v>
      </c>
      <c r="E52" s="33">
        <f t="shared" si="0"/>
        <v>750</v>
      </c>
      <c r="F52" s="31" t="s">
        <v>35</v>
      </c>
      <c r="G52" s="31" t="s">
        <v>213</v>
      </c>
      <c r="H52" s="31" t="s">
        <v>6</v>
      </c>
      <c r="I52" s="31" t="s">
        <v>25</v>
      </c>
      <c r="J52" s="31"/>
      <c r="K52" s="31"/>
      <c r="L52" s="33"/>
      <c r="M52" s="31"/>
      <c r="N52" s="31"/>
      <c r="O52" s="31"/>
    </row>
    <row r="53" spans="1:15" x14ac:dyDescent="0.35">
      <c r="A53" s="3"/>
      <c r="B53" s="3"/>
      <c r="C53" s="11"/>
      <c r="D53" s="3"/>
      <c r="E53" s="24"/>
      <c r="F53" s="24"/>
      <c r="G53" s="24"/>
      <c r="H53" s="24"/>
      <c r="I53" s="24"/>
      <c r="J53" s="26"/>
      <c r="K53" s="26"/>
      <c r="L53" s="26"/>
      <c r="M53" s="26"/>
      <c r="N53" s="3"/>
      <c r="O53" s="3"/>
    </row>
    <row r="54" spans="1:15" x14ac:dyDescent="0.35">
      <c r="A54" s="36" t="s">
        <v>3</v>
      </c>
      <c r="B54" s="36" t="s">
        <v>134</v>
      </c>
      <c r="C54" s="37"/>
      <c r="D54" s="38"/>
      <c r="E54" s="38"/>
      <c r="F54" s="39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35">
      <c r="A55" s="40" t="s">
        <v>4</v>
      </c>
      <c r="B55" s="85" t="s">
        <v>134</v>
      </c>
      <c r="C55" s="4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 spans="1:15" x14ac:dyDescent="0.35">
      <c r="A56" s="40" t="s">
        <v>5</v>
      </c>
      <c r="B56" s="40" t="s">
        <v>6</v>
      </c>
      <c r="C56" s="41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1:15" x14ac:dyDescent="0.35">
      <c r="A57" s="40" t="s">
        <v>7</v>
      </c>
      <c r="B57" s="130">
        <v>1</v>
      </c>
      <c r="C57" s="41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1:15" x14ac:dyDescent="0.35">
      <c r="A58" s="40" t="s">
        <v>8</v>
      </c>
      <c r="B58" s="40" t="s">
        <v>9</v>
      </c>
      <c r="C58" s="41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5" x14ac:dyDescent="0.35">
      <c r="A59" s="40" t="s">
        <v>10</v>
      </c>
      <c r="B59" s="40" t="s">
        <v>10</v>
      </c>
      <c r="C59" s="4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5" x14ac:dyDescent="0.35">
      <c r="A60" s="42" t="s">
        <v>11</v>
      </c>
      <c r="B60" s="42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5" ht="15" thickBot="1" x14ac:dyDescent="0.4">
      <c r="A61" s="42" t="s">
        <v>22</v>
      </c>
      <c r="B61" s="42" t="s">
        <v>23</v>
      </c>
      <c r="C61" s="43" t="s">
        <v>24</v>
      </c>
      <c r="D61" s="42" t="s">
        <v>12</v>
      </c>
      <c r="E61" s="42" t="s">
        <v>13</v>
      </c>
      <c r="F61" s="42" t="s">
        <v>10</v>
      </c>
      <c r="G61" s="42" t="s">
        <v>14</v>
      </c>
      <c r="H61" s="42" t="s">
        <v>5</v>
      </c>
      <c r="I61" s="42" t="s">
        <v>8</v>
      </c>
      <c r="J61" s="42" t="s">
        <v>15</v>
      </c>
      <c r="K61" s="42" t="s">
        <v>16</v>
      </c>
      <c r="L61" s="42" t="s">
        <v>17</v>
      </c>
      <c r="M61" s="42" t="s">
        <v>18</v>
      </c>
      <c r="N61" s="42" t="s">
        <v>19</v>
      </c>
      <c r="O61" s="42" t="s">
        <v>4</v>
      </c>
    </row>
    <row r="62" spans="1:15" ht="15" thickBot="1" x14ac:dyDescent="0.4">
      <c r="A62" s="85" t="s">
        <v>106</v>
      </c>
      <c r="B62" s="76" t="s">
        <v>161</v>
      </c>
      <c r="C62" s="318">
        <v>2500</v>
      </c>
      <c r="D62" s="85" t="s">
        <v>134</v>
      </c>
      <c r="E62" s="118">
        <v>1</v>
      </c>
      <c r="F62" s="40" t="s">
        <v>10</v>
      </c>
      <c r="G62" s="40" t="s">
        <v>214</v>
      </c>
      <c r="H62" s="40" t="s">
        <v>6</v>
      </c>
      <c r="I62" s="40" t="s">
        <v>20</v>
      </c>
      <c r="J62" s="40"/>
      <c r="K62" s="40"/>
      <c r="L62" s="40"/>
      <c r="M62" s="40"/>
      <c r="N62" s="40"/>
      <c r="O62" s="40"/>
    </row>
    <row r="63" spans="1:15" x14ac:dyDescent="0.35">
      <c r="A63" s="40"/>
      <c r="B63" s="44"/>
      <c r="C63" s="137"/>
      <c r="D63" s="40" t="s">
        <v>36</v>
      </c>
      <c r="E63" s="146">
        <f>24.691101999686*(C62/2500)</f>
        <v>24.691101999686001</v>
      </c>
      <c r="F63" s="40" t="s">
        <v>21</v>
      </c>
      <c r="G63" s="40" t="s">
        <v>213</v>
      </c>
      <c r="H63" s="40" t="s">
        <v>6</v>
      </c>
      <c r="I63" s="40" t="s">
        <v>25</v>
      </c>
      <c r="J63" s="40"/>
      <c r="K63" s="40"/>
      <c r="L63" s="40"/>
      <c r="M63" s="40"/>
      <c r="N63" s="40"/>
      <c r="O63" s="40"/>
    </row>
    <row r="64" spans="1:15" x14ac:dyDescent="0.35">
      <c r="A64" s="40"/>
      <c r="B64" s="44"/>
      <c r="C64" s="41"/>
      <c r="D64" s="40" t="s">
        <v>37</v>
      </c>
      <c r="E64" s="118">
        <f>16.1707528122296*(C62/2500)</f>
        <v>16.170752812229601</v>
      </c>
      <c r="F64" s="40" t="s">
        <v>21</v>
      </c>
      <c r="G64" s="40" t="s">
        <v>213</v>
      </c>
      <c r="H64" s="40" t="s">
        <v>6</v>
      </c>
      <c r="I64" s="40" t="s">
        <v>25</v>
      </c>
      <c r="J64" s="40"/>
      <c r="K64" s="40"/>
      <c r="L64" s="40"/>
      <c r="M64" s="40"/>
      <c r="N64" s="40"/>
      <c r="O64" s="40"/>
    </row>
    <row r="65" spans="1:15" x14ac:dyDescent="0.35">
      <c r="A65" s="40"/>
      <c r="B65" s="44"/>
      <c r="C65" s="41"/>
      <c r="D65" s="40" t="s">
        <v>38</v>
      </c>
      <c r="E65" s="118">
        <f>36.7935799746616*(C62/2500)</f>
        <v>36.793579974661597</v>
      </c>
      <c r="F65" s="40" t="s">
        <v>21</v>
      </c>
      <c r="G65" s="40" t="s">
        <v>213</v>
      </c>
      <c r="H65" s="40" t="s">
        <v>6</v>
      </c>
      <c r="I65" s="40" t="s">
        <v>25</v>
      </c>
      <c r="J65" s="40"/>
      <c r="K65" s="40"/>
      <c r="L65" s="40"/>
      <c r="M65" s="40"/>
      <c r="N65" s="40"/>
      <c r="O65" s="40"/>
    </row>
    <row r="66" spans="1:15" x14ac:dyDescent="0.35">
      <c r="A66" s="40"/>
      <c r="B66" s="44"/>
      <c r="C66" s="41"/>
      <c r="D66" s="40" t="s">
        <v>39</v>
      </c>
      <c r="E66" s="118">
        <f>0.0801714538159062*(C62/2500)</f>
        <v>8.0171453815906193E-2</v>
      </c>
      <c r="F66" s="40" t="s">
        <v>21</v>
      </c>
      <c r="G66" s="40" t="s">
        <v>213</v>
      </c>
      <c r="H66" s="40" t="s">
        <v>6</v>
      </c>
      <c r="I66" s="40" t="s">
        <v>25</v>
      </c>
      <c r="J66" s="40"/>
      <c r="K66" s="40"/>
      <c r="L66" s="40"/>
      <c r="M66" s="40"/>
      <c r="N66" s="40"/>
      <c r="O66" s="40"/>
    </row>
    <row r="67" spans="1:15" x14ac:dyDescent="0.35">
      <c r="A67" s="40"/>
      <c r="B67" s="44"/>
      <c r="C67" s="41"/>
      <c r="D67" s="40" t="s">
        <v>40</v>
      </c>
      <c r="E67" s="118">
        <f>1.98995783024758*(C62/2500)</f>
        <v>1.98995783024758</v>
      </c>
      <c r="F67" s="40" t="s">
        <v>21</v>
      </c>
      <c r="G67" s="40" t="s">
        <v>213</v>
      </c>
      <c r="H67" s="40" t="s">
        <v>6</v>
      </c>
      <c r="I67" s="40" t="s">
        <v>25</v>
      </c>
      <c r="J67" s="40"/>
      <c r="K67" s="40"/>
      <c r="L67" s="40"/>
      <c r="M67" s="40"/>
      <c r="N67" s="40"/>
      <c r="O67" s="40"/>
    </row>
    <row r="68" spans="1:15" x14ac:dyDescent="0.35">
      <c r="A68" s="40"/>
      <c r="B68" s="44"/>
      <c r="C68" s="41"/>
      <c r="D68" s="40" t="s">
        <v>41</v>
      </c>
      <c r="E68" s="118">
        <f>0.0134009996604513*(C62/2500)</f>
        <v>1.34009996604513E-2</v>
      </c>
      <c r="F68" s="40" t="s">
        <v>21</v>
      </c>
      <c r="G68" s="40" t="s">
        <v>213</v>
      </c>
      <c r="H68" s="40" t="s">
        <v>6</v>
      </c>
      <c r="I68" s="40" t="s">
        <v>25</v>
      </c>
      <c r="J68" s="40"/>
      <c r="K68" s="40"/>
      <c r="L68" s="40"/>
      <c r="M68" s="40"/>
      <c r="N68" s="40"/>
      <c r="O68" s="40"/>
    </row>
    <row r="69" spans="1:15" x14ac:dyDescent="0.35">
      <c r="A69" s="40"/>
      <c r="B69" s="44"/>
      <c r="C69" s="41"/>
      <c r="D69" s="40" t="s">
        <v>42</v>
      </c>
      <c r="E69" s="118">
        <f>4.94103492969882*(C62/2500)</f>
        <v>4.9410349296988203</v>
      </c>
      <c r="F69" s="40" t="s">
        <v>21</v>
      </c>
      <c r="G69" s="40" t="s">
        <v>213</v>
      </c>
      <c r="H69" s="40" t="s">
        <v>6</v>
      </c>
      <c r="I69" s="40" t="s">
        <v>25</v>
      </c>
      <c r="J69" s="40"/>
      <c r="K69" s="40"/>
      <c r="L69" s="40"/>
      <c r="M69" s="40"/>
      <c r="N69" s="40"/>
      <c r="O69" s="40"/>
    </row>
    <row r="70" spans="1:15" x14ac:dyDescent="0.35">
      <c r="A70" s="40"/>
      <c r="B70" s="44"/>
      <c r="C70" s="41"/>
      <c r="D70" s="40" t="s">
        <v>43</v>
      </c>
      <c r="E70" s="118">
        <f>18.25*(C62/2500)</f>
        <v>18.25</v>
      </c>
      <c r="F70" s="40" t="s">
        <v>21</v>
      </c>
      <c r="G70" s="40" t="s">
        <v>213</v>
      </c>
      <c r="H70" s="40" t="s">
        <v>6</v>
      </c>
      <c r="I70" s="40" t="s">
        <v>25</v>
      </c>
      <c r="J70" s="40"/>
      <c r="K70" s="40"/>
      <c r="L70" s="40"/>
      <c r="M70" s="40"/>
      <c r="N70" s="40"/>
      <c r="O70" s="40"/>
    </row>
    <row r="71" spans="1:15" x14ac:dyDescent="0.35">
      <c r="A71" s="40"/>
      <c r="B71" s="44"/>
      <c r="C71" s="41"/>
      <c r="D71" s="40" t="s">
        <v>44</v>
      </c>
      <c r="E71" s="118">
        <f>10.585*(C62/2500)</f>
        <v>10.585000000000001</v>
      </c>
      <c r="F71" s="40" t="s">
        <v>21</v>
      </c>
      <c r="G71" s="40" t="s">
        <v>213</v>
      </c>
      <c r="H71" s="40" t="s">
        <v>6</v>
      </c>
      <c r="I71" s="40" t="s">
        <v>25</v>
      </c>
      <c r="J71" s="40"/>
      <c r="K71" s="40"/>
      <c r="L71" s="40"/>
      <c r="M71" s="40"/>
      <c r="N71" s="40"/>
      <c r="O71" s="40"/>
    </row>
    <row r="72" spans="1:15" x14ac:dyDescent="0.35">
      <c r="A72" s="40"/>
      <c r="B72" s="44"/>
      <c r="C72" s="41"/>
      <c r="D72" s="40" t="s">
        <v>45</v>
      </c>
      <c r="E72" s="118">
        <f>9.052*(C62/2500)</f>
        <v>9.0519999999999996</v>
      </c>
      <c r="F72" s="40" t="s">
        <v>21</v>
      </c>
      <c r="G72" s="40" t="s">
        <v>213</v>
      </c>
      <c r="H72" s="40" t="s">
        <v>6</v>
      </c>
      <c r="I72" s="40" t="s">
        <v>25</v>
      </c>
      <c r="J72" s="40"/>
      <c r="K72" s="40"/>
      <c r="L72" s="40"/>
      <c r="M72" s="40"/>
      <c r="N72" s="40"/>
      <c r="O72" s="40"/>
    </row>
    <row r="73" spans="1:15" x14ac:dyDescent="0.35">
      <c r="A73" s="40"/>
      <c r="B73" s="44"/>
      <c r="C73" s="41"/>
      <c r="D73" s="40" t="s">
        <v>46</v>
      </c>
      <c r="E73" s="146">
        <f>2.263*(C62/2500)</f>
        <v>2.2629999999999999</v>
      </c>
      <c r="F73" s="40" t="s">
        <v>21</v>
      </c>
      <c r="G73" s="40" t="s">
        <v>213</v>
      </c>
      <c r="H73" s="40" t="s">
        <v>6</v>
      </c>
      <c r="I73" s="40" t="s">
        <v>25</v>
      </c>
      <c r="J73" s="40"/>
      <c r="K73" s="40"/>
      <c r="L73" s="40"/>
      <c r="M73" s="40"/>
      <c r="N73" s="40"/>
      <c r="O73" s="40"/>
    </row>
    <row r="74" spans="1:15" x14ac:dyDescent="0.35">
      <c r="A74" s="40"/>
      <c r="B74" s="44"/>
      <c r="C74" s="41"/>
      <c r="D74" s="40" t="s">
        <v>47</v>
      </c>
      <c r="E74" s="118">
        <f>14.6*(C62/2500)</f>
        <v>14.6</v>
      </c>
      <c r="F74" s="40" t="s">
        <v>21</v>
      </c>
      <c r="G74" s="40" t="s">
        <v>213</v>
      </c>
      <c r="H74" s="40" t="s">
        <v>6</v>
      </c>
      <c r="I74" s="40" t="s">
        <v>25</v>
      </c>
      <c r="J74" s="40"/>
      <c r="K74" s="40"/>
      <c r="L74" s="40"/>
      <c r="M74" s="40"/>
      <c r="N74" s="40"/>
      <c r="O74" s="40"/>
    </row>
    <row r="75" spans="1:15" x14ac:dyDescent="0.35">
      <c r="A75" s="40"/>
      <c r="B75" s="44"/>
      <c r="C75" s="41"/>
      <c r="D75" s="40" t="s">
        <v>48</v>
      </c>
      <c r="E75" s="118">
        <f>5.11*(C62/2500)</f>
        <v>5.1100000000000003</v>
      </c>
      <c r="F75" s="40" t="s">
        <v>21</v>
      </c>
      <c r="G75" s="40" t="s">
        <v>213</v>
      </c>
      <c r="H75" s="40" t="s">
        <v>6</v>
      </c>
      <c r="I75" s="40" t="s">
        <v>25</v>
      </c>
      <c r="J75" s="40"/>
      <c r="K75" s="40"/>
      <c r="L75" s="40"/>
      <c r="M75" s="40"/>
      <c r="N75" s="40"/>
      <c r="O75" s="40"/>
    </row>
    <row r="76" spans="1:15" x14ac:dyDescent="0.35">
      <c r="A76" s="40"/>
      <c r="B76" s="44"/>
      <c r="C76" s="41"/>
      <c r="D76" s="40" t="s">
        <v>49</v>
      </c>
      <c r="E76" s="118">
        <f>9.125*(C62/2500)</f>
        <v>9.125</v>
      </c>
      <c r="F76" s="40" t="s">
        <v>21</v>
      </c>
      <c r="G76" s="40" t="s">
        <v>213</v>
      </c>
      <c r="H76" s="40" t="s">
        <v>6</v>
      </c>
      <c r="I76" s="40" t="s">
        <v>25</v>
      </c>
      <c r="J76" s="40"/>
      <c r="K76" s="40"/>
      <c r="L76" s="40"/>
      <c r="M76" s="40"/>
      <c r="N76" s="40"/>
      <c r="O76" s="40"/>
    </row>
    <row r="77" spans="1:15" x14ac:dyDescent="0.35">
      <c r="A77" s="40"/>
      <c r="B77" s="44"/>
      <c r="C77" s="41"/>
      <c r="D77" s="40" t="s">
        <v>50</v>
      </c>
      <c r="E77" s="118">
        <f>10.22*(C62/2500)</f>
        <v>10.220000000000001</v>
      </c>
      <c r="F77" s="40" t="s">
        <v>21</v>
      </c>
      <c r="G77" s="40" t="s">
        <v>213</v>
      </c>
      <c r="H77" s="40" t="s">
        <v>6</v>
      </c>
      <c r="I77" s="40" t="s">
        <v>25</v>
      </c>
      <c r="J77" s="40"/>
      <c r="K77" s="40"/>
      <c r="L77" s="40"/>
      <c r="M77" s="40"/>
      <c r="N77" s="40"/>
      <c r="O77" s="40"/>
    </row>
    <row r="78" spans="1:15" x14ac:dyDescent="0.35">
      <c r="A78" s="40"/>
      <c r="B78" s="44"/>
      <c r="C78" s="41"/>
      <c r="D78" s="40" t="s">
        <v>51</v>
      </c>
      <c r="E78" s="118">
        <f>22.103153426319*(C62/2500)</f>
        <v>22.103153426319</v>
      </c>
      <c r="F78" s="40" t="s">
        <v>21</v>
      </c>
      <c r="G78" s="40" t="s">
        <v>213</v>
      </c>
      <c r="H78" s="40" t="s">
        <v>6</v>
      </c>
      <c r="I78" s="40" t="s">
        <v>25</v>
      </c>
      <c r="J78" s="40"/>
      <c r="K78" s="40"/>
      <c r="L78" s="40"/>
      <c r="M78" s="40"/>
      <c r="N78" s="40"/>
      <c r="O78" s="40"/>
    </row>
    <row r="79" spans="1:15" x14ac:dyDescent="0.35">
      <c r="A79" s="40"/>
      <c r="B79" s="44"/>
      <c r="C79" s="41"/>
      <c r="D79" s="40" t="s">
        <v>52</v>
      </c>
      <c r="E79" s="118">
        <f>17.6080958156458*(C62/2500)</f>
        <v>17.6080958156458</v>
      </c>
      <c r="F79" s="40" t="s">
        <v>21</v>
      </c>
      <c r="G79" s="40" t="s">
        <v>213</v>
      </c>
      <c r="H79" s="40" t="s">
        <v>6</v>
      </c>
      <c r="I79" s="40" t="s">
        <v>25</v>
      </c>
      <c r="J79" s="40"/>
      <c r="K79" s="40"/>
      <c r="L79" s="40"/>
      <c r="M79" s="40"/>
      <c r="N79" s="40"/>
      <c r="O79" s="40"/>
    </row>
    <row r="80" spans="1:15" x14ac:dyDescent="0.35">
      <c r="A80" s="40"/>
      <c r="B80" s="44"/>
      <c r="C80" s="41"/>
      <c r="D80" s="40" t="s">
        <v>53</v>
      </c>
      <c r="E80" s="118">
        <f>18.25*(C62/2500)</f>
        <v>18.25</v>
      </c>
      <c r="F80" s="40" t="s">
        <v>21</v>
      </c>
      <c r="G80" s="40" t="s">
        <v>213</v>
      </c>
      <c r="H80" s="40" t="s">
        <v>6</v>
      </c>
      <c r="I80" s="40" t="s">
        <v>25</v>
      </c>
      <c r="J80" s="40"/>
      <c r="K80" s="40"/>
      <c r="L80" s="40"/>
      <c r="M80" s="40"/>
      <c r="N80" s="40"/>
      <c r="O80" s="40"/>
    </row>
    <row r="81" spans="1:15" x14ac:dyDescent="0.35">
      <c r="A81" s="40"/>
      <c r="B81" s="44"/>
      <c r="C81" s="41"/>
      <c r="D81" s="40" t="s">
        <v>54</v>
      </c>
      <c r="E81" s="118">
        <f>14.3543056397817*(C62/2500)</f>
        <v>14.3543056397817</v>
      </c>
      <c r="F81" s="40" t="s">
        <v>21</v>
      </c>
      <c r="G81" s="40" t="s">
        <v>213</v>
      </c>
      <c r="H81" s="40" t="s">
        <v>6</v>
      </c>
      <c r="I81" s="40" t="s">
        <v>25</v>
      </c>
      <c r="J81" s="40"/>
      <c r="K81" s="40"/>
      <c r="L81" s="40"/>
      <c r="M81" s="40"/>
      <c r="N81" s="40"/>
      <c r="O81" s="40"/>
    </row>
    <row r="82" spans="1:15" x14ac:dyDescent="0.35">
      <c r="A82" s="40"/>
      <c r="B82" s="44"/>
      <c r="C82" s="41"/>
      <c r="D82" s="40" t="s">
        <v>55</v>
      </c>
      <c r="E82" s="118">
        <f>4.21664645239539*(C62/2500)</f>
        <v>4.2166464523953904</v>
      </c>
      <c r="F82" s="40" t="s">
        <v>21</v>
      </c>
      <c r="G82" s="40" t="s">
        <v>213</v>
      </c>
      <c r="H82" s="40" t="s">
        <v>6</v>
      </c>
      <c r="I82" s="40" t="s">
        <v>25</v>
      </c>
      <c r="J82" s="40"/>
      <c r="K82" s="40"/>
      <c r="L82" s="40"/>
      <c r="M82" s="40"/>
      <c r="N82" s="40"/>
      <c r="O82" s="40"/>
    </row>
    <row r="83" spans="1:15" x14ac:dyDescent="0.35">
      <c r="A83" s="40"/>
      <c r="B83" s="44"/>
      <c r="C83" s="41"/>
      <c r="D83" s="40" t="s">
        <v>56</v>
      </c>
      <c r="E83" s="118">
        <f>6.51864766525167*(C62/2500)</f>
        <v>6.5186476652516703</v>
      </c>
      <c r="F83" s="40" t="s">
        <v>21</v>
      </c>
      <c r="G83" s="40" t="s">
        <v>213</v>
      </c>
      <c r="H83" s="40" t="s">
        <v>6</v>
      </c>
      <c r="I83" s="40" t="s">
        <v>25</v>
      </c>
      <c r="J83" s="40"/>
      <c r="K83" s="40"/>
      <c r="L83" s="40"/>
      <c r="M83" s="40"/>
      <c r="N83" s="40"/>
      <c r="O83" s="40"/>
    </row>
    <row r="84" spans="1:15" x14ac:dyDescent="0.35">
      <c r="A84" s="40"/>
      <c r="B84" s="44"/>
      <c r="C84" s="41"/>
      <c r="D84" s="40" t="s">
        <v>57</v>
      </c>
      <c r="E84" s="118">
        <f>6.86856882959369*(C62/2500)</f>
        <v>6.8685688295936904</v>
      </c>
      <c r="F84" s="40" t="s">
        <v>21</v>
      </c>
      <c r="G84" s="40" t="s">
        <v>213</v>
      </c>
      <c r="H84" s="40" t="s">
        <v>6</v>
      </c>
      <c r="I84" s="40" t="s">
        <v>25</v>
      </c>
      <c r="J84" s="40"/>
      <c r="K84" s="40"/>
      <c r="L84" s="40"/>
      <c r="M84" s="40"/>
      <c r="N84" s="40"/>
      <c r="O84" s="40"/>
    </row>
    <row r="85" spans="1:15" x14ac:dyDescent="0.35">
      <c r="A85" s="40"/>
      <c r="B85" s="44"/>
      <c r="C85" s="41"/>
      <c r="D85" s="40" t="s">
        <v>58</v>
      </c>
      <c r="E85" s="118">
        <f>1.31701030927835*(C62/2500)</f>
        <v>1.3170103092783501</v>
      </c>
      <c r="F85" s="40" t="s">
        <v>21</v>
      </c>
      <c r="G85" s="40" t="s">
        <v>213</v>
      </c>
      <c r="H85" s="40" t="s">
        <v>6</v>
      </c>
      <c r="I85" s="40" t="s">
        <v>25</v>
      </c>
      <c r="J85" s="40"/>
      <c r="K85" s="40"/>
      <c r="L85" s="40"/>
      <c r="M85" s="40"/>
      <c r="N85" s="40"/>
      <c r="O85" s="40"/>
    </row>
    <row r="86" spans="1:15" x14ac:dyDescent="0.35">
      <c r="A86" s="40"/>
      <c r="B86" s="44"/>
      <c r="C86" s="41"/>
      <c r="D86" s="40" t="s">
        <v>59</v>
      </c>
      <c r="E86" s="118">
        <f>8.7355966662923*(C62/2500)</f>
        <v>8.7355966662923006</v>
      </c>
      <c r="F86" s="40" t="s">
        <v>21</v>
      </c>
      <c r="G86" s="40" t="s">
        <v>213</v>
      </c>
      <c r="H86" s="40" t="s">
        <v>6</v>
      </c>
      <c r="I86" s="40" t="s">
        <v>25</v>
      </c>
      <c r="J86" s="40"/>
      <c r="K86" s="40"/>
      <c r="L86" s="40"/>
      <c r="M86" s="40"/>
      <c r="N86" s="40"/>
      <c r="O86" s="40"/>
    </row>
    <row r="87" spans="1:15" x14ac:dyDescent="0.35">
      <c r="A87" s="40"/>
      <c r="B87" s="44"/>
      <c r="C87" s="41"/>
      <c r="D87" s="40" t="s">
        <v>60</v>
      </c>
      <c r="E87" s="118">
        <f>7.17049260279694*(C62/2500)</f>
        <v>7.1704926027969398</v>
      </c>
      <c r="F87" s="40" t="s">
        <v>21</v>
      </c>
      <c r="G87" s="40" t="s">
        <v>213</v>
      </c>
      <c r="H87" s="40" t="s">
        <v>6</v>
      </c>
      <c r="I87" s="40" t="s">
        <v>25</v>
      </c>
      <c r="J87" s="40"/>
      <c r="K87" s="40"/>
      <c r="L87" s="40"/>
      <c r="M87" s="40"/>
      <c r="N87" s="40"/>
      <c r="O87" s="40"/>
    </row>
    <row r="88" spans="1:15" x14ac:dyDescent="0.35">
      <c r="A88" s="40"/>
      <c r="B88" s="44"/>
      <c r="C88" s="41"/>
      <c r="D88" s="40" t="s">
        <v>61</v>
      </c>
      <c r="E88" s="118">
        <f>2.34391073091076*(C62/2500)</f>
        <v>2.3439107309107601</v>
      </c>
      <c r="F88" s="40" t="s">
        <v>21</v>
      </c>
      <c r="G88" s="40" t="s">
        <v>213</v>
      </c>
      <c r="H88" s="40" t="s">
        <v>6</v>
      </c>
      <c r="I88" s="40" t="s">
        <v>25</v>
      </c>
      <c r="J88" s="40"/>
      <c r="K88" s="40"/>
      <c r="L88" s="40"/>
      <c r="M88" s="40"/>
      <c r="N88" s="40"/>
      <c r="O88" s="40"/>
    </row>
    <row r="89" spans="1:15" x14ac:dyDescent="0.35">
      <c r="A89" s="40"/>
      <c r="B89" s="44"/>
      <c r="C89" s="41"/>
      <c r="D89" s="40" t="s">
        <v>62</v>
      </c>
      <c r="E89" s="118">
        <f>1.3447779251572*(C62/2500)</f>
        <v>1.3447779251572001</v>
      </c>
      <c r="F89" s="40" t="s">
        <v>21</v>
      </c>
      <c r="G89" s="40" t="s">
        <v>213</v>
      </c>
      <c r="H89" s="40" t="s">
        <v>6</v>
      </c>
      <c r="I89" s="40" t="s">
        <v>25</v>
      </c>
      <c r="J89" s="40"/>
      <c r="K89" s="40"/>
      <c r="L89" s="40"/>
      <c r="M89" s="40"/>
      <c r="N89" s="40"/>
      <c r="O89" s="40"/>
    </row>
    <row r="90" spans="1:15" x14ac:dyDescent="0.35">
      <c r="A90" s="40"/>
      <c r="B90" s="44"/>
      <c r="C90" s="41"/>
      <c r="D90" s="40" t="s">
        <v>63</v>
      </c>
      <c r="E90" s="118">
        <f>11.1694711530351*(C62/2500)</f>
        <v>11.169471153035101</v>
      </c>
      <c r="F90" s="40" t="s">
        <v>21</v>
      </c>
      <c r="G90" s="40" t="s">
        <v>213</v>
      </c>
      <c r="H90" s="40" t="s">
        <v>6</v>
      </c>
      <c r="I90" s="40" t="s">
        <v>25</v>
      </c>
      <c r="J90" s="40"/>
      <c r="K90" s="40"/>
      <c r="L90" s="40"/>
      <c r="M90" s="40"/>
      <c r="N90" s="40"/>
      <c r="O90" s="40"/>
    </row>
    <row r="91" spans="1:15" x14ac:dyDescent="0.35">
      <c r="A91" s="40"/>
      <c r="B91" s="44"/>
      <c r="C91" s="41"/>
      <c r="D91" s="40" t="s">
        <v>64</v>
      </c>
      <c r="E91" s="118">
        <f>6.46663199234141*(C62/2500)</f>
        <v>6.4666319923414104</v>
      </c>
      <c r="F91" s="40" t="s">
        <v>21</v>
      </c>
      <c r="G91" s="40" t="s">
        <v>213</v>
      </c>
      <c r="H91" s="40" t="s">
        <v>6</v>
      </c>
      <c r="I91" s="40" t="s">
        <v>25</v>
      </c>
      <c r="J91" s="40"/>
      <c r="K91" s="40"/>
      <c r="L91" s="40"/>
      <c r="M91" s="40"/>
      <c r="N91" s="40"/>
      <c r="O91" s="40"/>
    </row>
    <row r="92" spans="1:15" x14ac:dyDescent="0.35">
      <c r="A92" s="40"/>
      <c r="B92" s="44"/>
      <c r="C92" s="41"/>
      <c r="D92" s="40" t="s">
        <v>65</v>
      </c>
      <c r="E92" s="118">
        <f>4.06242286823153*(C62/2500)</f>
        <v>4.06242286823153</v>
      </c>
      <c r="F92" s="40" t="s">
        <v>21</v>
      </c>
      <c r="G92" s="40" t="s">
        <v>213</v>
      </c>
      <c r="H92" s="40" t="s">
        <v>6</v>
      </c>
      <c r="I92" s="40" t="s">
        <v>25</v>
      </c>
      <c r="J92" s="40"/>
      <c r="K92" s="40"/>
      <c r="L92" s="40"/>
      <c r="M92" s="40"/>
      <c r="N92" s="40"/>
      <c r="O92" s="40"/>
    </row>
    <row r="93" spans="1:15" x14ac:dyDescent="0.35">
      <c r="A93" s="44"/>
      <c r="B93" s="44"/>
      <c r="C93" s="45"/>
      <c r="D93" s="40" t="s">
        <v>66</v>
      </c>
      <c r="E93" s="118">
        <f>5.71852397892416*(C62/2500)</f>
        <v>5.7185239789241598</v>
      </c>
      <c r="F93" s="40" t="s">
        <v>21</v>
      </c>
      <c r="G93" s="40" t="s">
        <v>213</v>
      </c>
      <c r="H93" s="40" t="s">
        <v>6</v>
      </c>
      <c r="I93" s="40" t="s">
        <v>25</v>
      </c>
      <c r="J93" s="40"/>
      <c r="K93" s="40"/>
      <c r="L93" s="40"/>
      <c r="M93" s="40"/>
      <c r="N93" s="40"/>
      <c r="O93" s="40"/>
    </row>
    <row r="94" spans="1:15" x14ac:dyDescent="0.35">
      <c r="A94" s="44"/>
      <c r="B94" s="44"/>
      <c r="C94" s="45"/>
      <c r="D94" s="40" t="s">
        <v>67</v>
      </c>
      <c r="E94" s="118">
        <f>13.9993202282027*(C62/2500)</f>
        <v>13.9993202282027</v>
      </c>
      <c r="F94" s="40" t="s">
        <v>21</v>
      </c>
      <c r="G94" s="40" t="s">
        <v>213</v>
      </c>
      <c r="H94" s="40" t="s">
        <v>6</v>
      </c>
      <c r="I94" s="40" t="s">
        <v>25</v>
      </c>
      <c r="J94" s="40"/>
      <c r="K94" s="40"/>
      <c r="L94" s="40"/>
      <c r="M94" s="40"/>
      <c r="N94" s="40"/>
      <c r="O94" s="40"/>
    </row>
    <row r="95" spans="1:15" x14ac:dyDescent="0.35">
      <c r="A95" s="44"/>
      <c r="B95" s="44"/>
      <c r="C95" s="45"/>
      <c r="D95" s="40" t="s">
        <v>68</v>
      </c>
      <c r="E95" s="118">
        <f>8.80556018691014*(C62/2500)</f>
        <v>8.8055601869101405</v>
      </c>
      <c r="F95" s="40" t="s">
        <v>21</v>
      </c>
      <c r="G95" s="40" t="s">
        <v>213</v>
      </c>
      <c r="H95" s="40" t="s">
        <v>6</v>
      </c>
      <c r="I95" s="40" t="s">
        <v>25</v>
      </c>
      <c r="J95" s="40"/>
      <c r="K95" s="40"/>
      <c r="L95" s="40"/>
      <c r="M95" s="40"/>
      <c r="N95" s="40"/>
      <c r="O95" s="40"/>
    </row>
    <row r="96" spans="1:15" x14ac:dyDescent="0.35">
      <c r="A96" s="44"/>
      <c r="B96" s="44"/>
      <c r="C96" s="45"/>
      <c r="D96" s="40" t="s">
        <v>69</v>
      </c>
      <c r="E96" s="118">
        <f>4.3471483938049*(C62/2500)</f>
        <v>4.3471483938048996</v>
      </c>
      <c r="F96" s="40" t="s">
        <v>21</v>
      </c>
      <c r="G96" s="40" t="s">
        <v>213</v>
      </c>
      <c r="H96" s="40" t="s">
        <v>6</v>
      </c>
      <c r="I96" s="40" t="s">
        <v>25</v>
      </c>
      <c r="J96" s="40"/>
      <c r="K96" s="40"/>
      <c r="L96" s="40"/>
      <c r="M96" s="40"/>
      <c r="N96" s="40"/>
      <c r="O96" s="40"/>
    </row>
    <row r="97" spans="1:15" x14ac:dyDescent="0.35">
      <c r="A97" s="44"/>
      <c r="B97" s="44"/>
      <c r="C97" s="45"/>
      <c r="D97" s="40" t="s">
        <v>58</v>
      </c>
      <c r="E97" s="118">
        <f>3.69975375852425*(C62/2500)</f>
        <v>3.6997537585242499</v>
      </c>
      <c r="F97" s="40" t="s">
        <v>21</v>
      </c>
      <c r="G97" s="40" t="s">
        <v>213</v>
      </c>
      <c r="H97" s="40" t="s">
        <v>6</v>
      </c>
      <c r="I97" s="40" t="s">
        <v>25</v>
      </c>
      <c r="J97" s="40"/>
      <c r="K97" s="40"/>
      <c r="L97" s="40"/>
      <c r="M97" s="40"/>
      <c r="N97" s="40"/>
      <c r="O97" s="40"/>
    </row>
    <row r="98" spans="1:15" x14ac:dyDescent="0.35">
      <c r="A98" s="44"/>
      <c r="B98" s="44"/>
      <c r="C98" s="45"/>
      <c r="D98" s="40" t="s">
        <v>70</v>
      </c>
      <c r="E98" s="118">
        <f>15.9530009839203*(C62/2500)</f>
        <v>15.953000983920299</v>
      </c>
      <c r="F98" s="40" t="s">
        <v>21</v>
      </c>
      <c r="G98" s="40" t="s">
        <v>213</v>
      </c>
      <c r="H98" s="40" t="s">
        <v>6</v>
      </c>
      <c r="I98" s="40" t="s">
        <v>25</v>
      </c>
      <c r="J98" s="40"/>
      <c r="K98" s="40"/>
      <c r="L98" s="40"/>
      <c r="M98" s="40"/>
      <c r="N98" s="40"/>
      <c r="O98" s="40"/>
    </row>
    <row r="99" spans="1:15" x14ac:dyDescent="0.35">
      <c r="A99" s="44"/>
      <c r="B99" s="44"/>
      <c r="C99" s="45"/>
      <c r="D99" s="40" t="s">
        <v>71</v>
      </c>
      <c r="E99" s="118">
        <f>4.77542162276646*(C62/2500)</f>
        <v>4.7754216227664603</v>
      </c>
      <c r="F99" s="40" t="s">
        <v>21</v>
      </c>
      <c r="G99" s="40" t="s">
        <v>213</v>
      </c>
      <c r="H99" s="40" t="s">
        <v>6</v>
      </c>
      <c r="I99" s="40" t="s">
        <v>25</v>
      </c>
      <c r="J99" s="40"/>
      <c r="K99" s="40"/>
      <c r="L99" s="40"/>
      <c r="M99" s="40"/>
      <c r="N99" s="40"/>
      <c r="O99" s="40"/>
    </row>
    <row r="100" spans="1:15" x14ac:dyDescent="0.35">
      <c r="A100" s="44"/>
      <c r="B100" s="44"/>
      <c r="C100" s="45"/>
      <c r="D100" s="40" t="s">
        <v>72</v>
      </c>
      <c r="E100" s="118">
        <f>29.1579669081819*(C62/2500)</f>
        <v>29.157966908181901</v>
      </c>
      <c r="F100" s="40" t="s">
        <v>21</v>
      </c>
      <c r="G100" s="40" t="s">
        <v>213</v>
      </c>
      <c r="H100" s="40" t="s">
        <v>6</v>
      </c>
      <c r="I100" s="40" t="s">
        <v>25</v>
      </c>
      <c r="J100" s="40"/>
      <c r="K100" s="40"/>
      <c r="L100" s="40"/>
      <c r="M100" s="40"/>
      <c r="N100" s="40"/>
      <c r="O100" s="40"/>
    </row>
    <row r="101" spans="1:15" x14ac:dyDescent="0.35">
      <c r="A101" s="44"/>
      <c r="B101" s="44"/>
      <c r="C101" s="45"/>
      <c r="D101" s="40" t="s">
        <v>73</v>
      </c>
      <c r="E101" s="118">
        <f>4.72923483486591*(C62/2500)</f>
        <v>4.7292348348659097</v>
      </c>
      <c r="F101" s="40" t="s">
        <v>21</v>
      </c>
      <c r="G101" s="40" t="s">
        <v>213</v>
      </c>
      <c r="H101" s="40" t="s">
        <v>6</v>
      </c>
      <c r="I101" s="40" t="s">
        <v>25</v>
      </c>
      <c r="J101" s="40"/>
      <c r="K101" s="40"/>
      <c r="L101" s="40"/>
      <c r="M101" s="40"/>
      <c r="N101" s="40"/>
      <c r="O101" s="40"/>
    </row>
    <row r="102" spans="1:15" x14ac:dyDescent="0.35">
      <c r="A102" s="44"/>
      <c r="B102" s="44"/>
      <c r="C102" s="45"/>
      <c r="D102" s="40" t="s">
        <v>75</v>
      </c>
      <c r="E102" s="118">
        <f>2.28790798532525*(C62/2500)</f>
        <v>2.28790798532525</v>
      </c>
      <c r="F102" s="40" t="s">
        <v>21</v>
      </c>
      <c r="G102" s="40" t="s">
        <v>213</v>
      </c>
      <c r="H102" s="40" t="s">
        <v>6</v>
      </c>
      <c r="I102" s="40" t="s">
        <v>25</v>
      </c>
      <c r="J102" s="40"/>
      <c r="K102" s="40"/>
      <c r="L102" s="40"/>
      <c r="M102" s="40"/>
      <c r="N102" s="40"/>
      <c r="O102" s="40"/>
    </row>
    <row r="103" spans="1:15" x14ac:dyDescent="0.35">
      <c r="A103" s="44"/>
      <c r="B103" s="44"/>
      <c r="C103" s="45"/>
      <c r="D103" s="38" t="s">
        <v>74</v>
      </c>
      <c r="E103" s="119">
        <f>84.2328571798088*(C62/2500)</f>
        <v>84.232857179808803</v>
      </c>
      <c r="F103" s="40" t="s">
        <v>21</v>
      </c>
      <c r="G103" s="40" t="s">
        <v>213</v>
      </c>
      <c r="H103" s="40" t="s">
        <v>6</v>
      </c>
      <c r="I103" s="40" t="s">
        <v>25</v>
      </c>
      <c r="J103" s="40"/>
      <c r="K103" s="40"/>
      <c r="L103" s="40"/>
      <c r="M103" s="40"/>
      <c r="N103" s="40"/>
      <c r="O103" s="40"/>
    </row>
    <row r="104" spans="1:15" x14ac:dyDescent="0.35">
      <c r="A104" s="76" t="s">
        <v>132</v>
      </c>
      <c r="B104" s="44"/>
      <c r="C104" s="45"/>
      <c r="D104" s="75" t="s">
        <v>99</v>
      </c>
      <c r="E104" s="120">
        <f>-0.05*SUM(E63:E103)</f>
        <v>-23.706071406913281</v>
      </c>
      <c r="F104" s="40" t="s">
        <v>21</v>
      </c>
      <c r="G104" s="40" t="s">
        <v>213</v>
      </c>
      <c r="H104" s="40" t="s">
        <v>6</v>
      </c>
      <c r="I104" s="40" t="s">
        <v>25</v>
      </c>
      <c r="J104" s="40"/>
      <c r="K104" s="40"/>
      <c r="L104" s="40"/>
      <c r="M104" s="40"/>
      <c r="N104" s="40"/>
      <c r="O104" s="40"/>
    </row>
    <row r="105" spans="1:15" x14ac:dyDescent="0.35">
      <c r="A105" s="3"/>
      <c r="B105" s="3"/>
      <c r="C105" s="3"/>
      <c r="K105" s="3"/>
      <c r="L105" s="3"/>
      <c r="M105" s="3"/>
      <c r="N105" s="3"/>
      <c r="O105" s="3"/>
    </row>
    <row r="106" spans="1:15" x14ac:dyDescent="0.35">
      <c r="A106" s="46" t="s">
        <v>3</v>
      </c>
      <c r="B106" s="46" t="s">
        <v>138</v>
      </c>
      <c r="C106" s="47"/>
      <c r="D106" s="48"/>
      <c r="E106" s="48"/>
      <c r="F106" s="49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1:15" x14ac:dyDescent="0.35">
      <c r="A107" s="48" t="s">
        <v>4</v>
      </c>
      <c r="B107" s="50" t="s">
        <v>138</v>
      </c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1:15" x14ac:dyDescent="0.35">
      <c r="A108" s="48" t="s">
        <v>5</v>
      </c>
      <c r="B108" s="48" t="s">
        <v>6</v>
      </c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1:15" x14ac:dyDescent="0.35">
      <c r="A109" s="48" t="s">
        <v>7</v>
      </c>
      <c r="B109" s="129">
        <v>1</v>
      </c>
      <c r="C109" s="47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1:15" x14ac:dyDescent="0.35">
      <c r="A110" s="48" t="s">
        <v>8</v>
      </c>
      <c r="B110" s="48" t="s">
        <v>9</v>
      </c>
      <c r="C110" s="47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 x14ac:dyDescent="0.35">
      <c r="A111" s="48" t="s">
        <v>10</v>
      </c>
      <c r="B111" s="51" t="s">
        <v>10</v>
      </c>
      <c r="C111" s="47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5" x14ac:dyDescent="0.35">
      <c r="A112" s="46" t="s">
        <v>11</v>
      </c>
      <c r="B112" s="48"/>
      <c r="C112" s="47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1:15" ht="15" thickBot="1" x14ac:dyDescent="0.4">
      <c r="A113" s="52" t="s">
        <v>22</v>
      </c>
      <c r="B113" s="52" t="s">
        <v>23</v>
      </c>
      <c r="C113" s="47" t="s">
        <v>24</v>
      </c>
      <c r="D113" s="46" t="s">
        <v>12</v>
      </c>
      <c r="E113" s="46" t="s">
        <v>13</v>
      </c>
      <c r="F113" s="46" t="s">
        <v>10</v>
      </c>
      <c r="G113" s="46" t="s">
        <v>14</v>
      </c>
      <c r="H113" s="46" t="s">
        <v>5</v>
      </c>
      <c r="I113" s="46" t="s">
        <v>8</v>
      </c>
      <c r="J113" s="46" t="s">
        <v>15</v>
      </c>
      <c r="K113" s="46" t="s">
        <v>16</v>
      </c>
      <c r="L113" s="46" t="s">
        <v>17</v>
      </c>
      <c r="M113" s="46" t="s">
        <v>18</v>
      </c>
      <c r="N113" s="46" t="s">
        <v>19</v>
      </c>
      <c r="O113" s="46" t="s">
        <v>4</v>
      </c>
    </row>
    <row r="114" spans="1:15" ht="15" thickBot="1" x14ac:dyDescent="0.4">
      <c r="A114" s="77" t="s">
        <v>165</v>
      </c>
      <c r="B114" s="317">
        <v>30</v>
      </c>
      <c r="C114" s="152" t="s">
        <v>163</v>
      </c>
      <c r="D114" s="81" t="s">
        <v>138</v>
      </c>
      <c r="E114" s="121">
        <v>1</v>
      </c>
      <c r="F114" s="53" t="s">
        <v>10</v>
      </c>
      <c r="G114" s="53" t="s">
        <v>214</v>
      </c>
      <c r="H114" s="53" t="s">
        <v>6</v>
      </c>
      <c r="I114" s="53" t="s">
        <v>20</v>
      </c>
      <c r="J114" s="54"/>
      <c r="K114" s="54"/>
      <c r="L114" s="54"/>
      <c r="M114" s="54"/>
      <c r="N114" s="53"/>
      <c r="O114" s="48"/>
    </row>
    <row r="115" spans="1:15" x14ac:dyDescent="0.35">
      <c r="A115" s="77">
        <v>2.5</v>
      </c>
      <c r="B115" s="78" t="s">
        <v>164</v>
      </c>
      <c r="C115" s="152">
        <v>40</v>
      </c>
      <c r="D115" s="53" t="s">
        <v>76</v>
      </c>
      <c r="E115" s="121">
        <f>B114*A115/C115</f>
        <v>1.875</v>
      </c>
      <c r="F115" s="53" t="s">
        <v>29</v>
      </c>
      <c r="G115" s="53" t="s">
        <v>213</v>
      </c>
      <c r="H115" s="53" t="s">
        <v>6</v>
      </c>
      <c r="I115" s="53" t="s">
        <v>25</v>
      </c>
      <c r="J115" s="46"/>
      <c r="K115" s="46"/>
      <c r="L115" s="46"/>
      <c r="M115" s="46"/>
      <c r="N115" s="48"/>
      <c r="O115" s="48"/>
    </row>
    <row r="116" spans="1:15" x14ac:dyDescent="0.35">
      <c r="A116" s="3"/>
      <c r="B116" s="148"/>
      <c r="C116" s="149"/>
      <c r="D116" s="82"/>
      <c r="E116" s="150"/>
      <c r="F116" s="82"/>
      <c r="G116" s="82"/>
      <c r="H116" s="82"/>
      <c r="I116" s="82"/>
      <c r="J116" s="26"/>
      <c r="K116" s="26"/>
      <c r="L116" s="26"/>
      <c r="M116" s="26"/>
      <c r="N116" s="3"/>
      <c r="O116" s="3"/>
    </row>
    <row r="117" spans="1:15" x14ac:dyDescent="0.35">
      <c r="A117" s="155" t="s">
        <v>3</v>
      </c>
      <c r="B117" s="155" t="s">
        <v>135</v>
      </c>
      <c r="C117" s="156"/>
      <c r="D117" s="157"/>
      <c r="E117" s="157"/>
      <c r="F117" s="158"/>
      <c r="G117" s="157"/>
      <c r="H117" s="157"/>
      <c r="I117" s="157"/>
      <c r="J117" s="157"/>
      <c r="K117" s="157"/>
      <c r="L117" s="157"/>
      <c r="M117" s="157"/>
      <c r="N117" s="157"/>
      <c r="O117" s="157"/>
    </row>
    <row r="118" spans="1:15" x14ac:dyDescent="0.35">
      <c r="A118" s="157" t="s">
        <v>4</v>
      </c>
      <c r="B118" s="159" t="s">
        <v>135</v>
      </c>
      <c r="C118" s="156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</row>
    <row r="119" spans="1:15" x14ac:dyDescent="0.35">
      <c r="A119" s="157" t="s">
        <v>5</v>
      </c>
      <c r="B119" s="157" t="s">
        <v>6</v>
      </c>
      <c r="C119" s="156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</row>
    <row r="120" spans="1:15" x14ac:dyDescent="0.35">
      <c r="A120" s="157" t="s">
        <v>7</v>
      </c>
      <c r="B120" s="160">
        <v>1</v>
      </c>
      <c r="C120" s="156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</row>
    <row r="121" spans="1:15" x14ac:dyDescent="0.35">
      <c r="A121" s="157" t="s">
        <v>8</v>
      </c>
      <c r="B121" s="157" t="s">
        <v>9</v>
      </c>
      <c r="C121" s="156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</row>
    <row r="122" spans="1:15" x14ac:dyDescent="0.35">
      <c r="A122" s="157" t="s">
        <v>10</v>
      </c>
      <c r="B122" s="157" t="s">
        <v>10</v>
      </c>
      <c r="C122" s="156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</row>
    <row r="123" spans="1:15" x14ac:dyDescent="0.35">
      <c r="A123" s="155" t="s">
        <v>11</v>
      </c>
      <c r="B123" s="157"/>
      <c r="C123" s="156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</row>
    <row r="124" spans="1:15" x14ac:dyDescent="0.35">
      <c r="A124" s="161" t="s">
        <v>22</v>
      </c>
      <c r="B124" s="161" t="s">
        <v>23</v>
      </c>
      <c r="C124" s="156" t="s">
        <v>24</v>
      </c>
      <c r="D124" s="155" t="s">
        <v>12</v>
      </c>
      <c r="E124" s="155" t="s">
        <v>13</v>
      </c>
      <c r="F124" s="155" t="s">
        <v>10</v>
      </c>
      <c r="G124" s="155" t="s">
        <v>14</v>
      </c>
      <c r="H124" s="155" t="s">
        <v>5</v>
      </c>
      <c r="I124" s="155" t="s">
        <v>8</v>
      </c>
      <c r="J124" s="155" t="s">
        <v>15</v>
      </c>
      <c r="K124" s="155" t="s">
        <v>16</v>
      </c>
      <c r="L124" s="155" t="s">
        <v>17</v>
      </c>
      <c r="M124" s="155" t="s">
        <v>18</v>
      </c>
      <c r="N124" s="155" t="s">
        <v>19</v>
      </c>
      <c r="O124" s="155" t="s">
        <v>4</v>
      </c>
    </row>
    <row r="125" spans="1:15" ht="15" thickBot="1" x14ac:dyDescent="0.4">
      <c r="A125" s="157" t="s">
        <v>166</v>
      </c>
      <c r="B125" s="157"/>
      <c r="C125" s="162"/>
      <c r="D125" s="163" t="s">
        <v>135</v>
      </c>
      <c r="E125" s="164">
        <v>1</v>
      </c>
      <c r="F125" s="163" t="s">
        <v>10</v>
      </c>
      <c r="G125" s="163" t="s">
        <v>214</v>
      </c>
      <c r="H125" s="163" t="s">
        <v>6</v>
      </c>
      <c r="I125" s="163" t="s">
        <v>20</v>
      </c>
      <c r="J125" s="165"/>
      <c r="K125" s="165"/>
      <c r="L125" s="165"/>
      <c r="M125" s="165"/>
      <c r="N125" s="163"/>
      <c r="O125" s="157"/>
    </row>
    <row r="126" spans="1:15" ht="15" thickBot="1" x14ac:dyDescent="0.4">
      <c r="A126" s="316">
        <v>3</v>
      </c>
      <c r="B126" s="163" t="s">
        <v>164</v>
      </c>
      <c r="C126" s="162">
        <v>10</v>
      </c>
      <c r="D126" s="157" t="s">
        <v>77</v>
      </c>
      <c r="E126" s="164">
        <f>1/A126/C126</f>
        <v>3.3333333333333333E-2</v>
      </c>
      <c r="F126" s="157" t="s">
        <v>10</v>
      </c>
      <c r="G126" s="163" t="s">
        <v>213</v>
      </c>
      <c r="H126" s="157" t="s">
        <v>6</v>
      </c>
      <c r="I126" s="157" t="s">
        <v>25</v>
      </c>
      <c r="J126" s="159"/>
      <c r="K126" s="159"/>
      <c r="L126" s="159"/>
      <c r="M126" s="159"/>
      <c r="N126" s="157"/>
      <c r="O126" s="157"/>
    </row>
    <row r="127" spans="1:15" x14ac:dyDescent="0.35">
      <c r="A127" s="3"/>
      <c r="B127" s="82"/>
      <c r="C127" s="151"/>
      <c r="D127" s="3"/>
      <c r="E127" s="150"/>
      <c r="F127" s="3"/>
      <c r="G127" s="82"/>
      <c r="H127" s="3"/>
      <c r="I127" s="3"/>
      <c r="J127" s="24"/>
      <c r="K127" s="24"/>
      <c r="L127" s="24"/>
      <c r="M127" s="24"/>
      <c r="N127" s="3"/>
      <c r="O127" s="3"/>
    </row>
    <row r="128" spans="1:15" x14ac:dyDescent="0.35">
      <c r="A128" s="167" t="s">
        <v>3</v>
      </c>
      <c r="B128" s="167" t="s">
        <v>137</v>
      </c>
      <c r="C128" s="168"/>
      <c r="D128" s="169"/>
      <c r="E128" s="169"/>
      <c r="F128" s="170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15" x14ac:dyDescent="0.35">
      <c r="A129" s="169" t="s">
        <v>4</v>
      </c>
      <c r="B129" s="171" t="s">
        <v>137</v>
      </c>
      <c r="C129" s="168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15" x14ac:dyDescent="0.35">
      <c r="A130" s="169" t="s">
        <v>5</v>
      </c>
      <c r="B130" s="169" t="s">
        <v>6</v>
      </c>
      <c r="C130" s="168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15" x14ac:dyDescent="0.35">
      <c r="A131" s="169" t="s">
        <v>7</v>
      </c>
      <c r="B131" s="172">
        <v>1</v>
      </c>
      <c r="C131" s="168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</row>
    <row r="132" spans="1:15" x14ac:dyDescent="0.35">
      <c r="A132" s="169" t="s">
        <v>8</v>
      </c>
      <c r="B132" s="169" t="s">
        <v>9</v>
      </c>
      <c r="C132" s="168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</row>
    <row r="133" spans="1:15" x14ac:dyDescent="0.35">
      <c r="A133" s="169" t="s">
        <v>10</v>
      </c>
      <c r="B133" s="169" t="s">
        <v>10</v>
      </c>
      <c r="C133" s="168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</row>
    <row r="134" spans="1:15" x14ac:dyDescent="0.35">
      <c r="A134" s="167" t="s">
        <v>11</v>
      </c>
      <c r="B134" s="169"/>
      <c r="C134" s="168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</row>
    <row r="135" spans="1:15" x14ac:dyDescent="0.35">
      <c r="A135" s="173" t="s">
        <v>22</v>
      </c>
      <c r="B135" s="173" t="s">
        <v>23</v>
      </c>
      <c r="C135" s="168" t="s">
        <v>24</v>
      </c>
      <c r="D135" s="167" t="s">
        <v>12</v>
      </c>
      <c r="E135" s="167" t="s">
        <v>13</v>
      </c>
      <c r="F135" s="167" t="s">
        <v>10</v>
      </c>
      <c r="G135" s="167" t="s">
        <v>14</v>
      </c>
      <c r="H135" s="167" t="s">
        <v>5</v>
      </c>
      <c r="I135" s="167" t="s">
        <v>8</v>
      </c>
      <c r="J135" s="167" t="s">
        <v>15</v>
      </c>
      <c r="K135" s="167" t="s">
        <v>16</v>
      </c>
      <c r="L135" s="167" t="s">
        <v>17</v>
      </c>
      <c r="M135" s="167" t="s">
        <v>18</v>
      </c>
      <c r="N135" s="167" t="s">
        <v>19</v>
      </c>
      <c r="O135" s="167" t="s">
        <v>4</v>
      </c>
    </row>
    <row r="136" spans="1:15" x14ac:dyDescent="0.35">
      <c r="A136" s="174"/>
      <c r="B136" s="169"/>
      <c r="C136" s="175"/>
      <c r="D136" s="176" t="s">
        <v>137</v>
      </c>
      <c r="E136" s="177">
        <v>1</v>
      </c>
      <c r="F136" s="176" t="s">
        <v>10</v>
      </c>
      <c r="G136" s="176" t="s">
        <v>214</v>
      </c>
      <c r="H136" s="176" t="s">
        <v>6</v>
      </c>
      <c r="I136" s="176" t="s">
        <v>20</v>
      </c>
      <c r="J136" s="178"/>
      <c r="K136" s="178"/>
      <c r="L136" s="178"/>
      <c r="M136" s="178"/>
      <c r="N136" s="176"/>
      <c r="O136" s="169"/>
    </row>
    <row r="137" spans="1:15" ht="15" thickBot="1" x14ac:dyDescent="0.4">
      <c r="A137" s="169" t="s">
        <v>169</v>
      </c>
      <c r="B137" s="176" t="s">
        <v>167</v>
      </c>
      <c r="C137" s="175">
        <v>25</v>
      </c>
      <c r="D137" s="169" t="s">
        <v>78</v>
      </c>
      <c r="E137" s="177">
        <f>7.5/C137/A138</f>
        <v>9.9999999999999992E-2</v>
      </c>
      <c r="F137" s="169" t="s">
        <v>21</v>
      </c>
      <c r="G137" s="176" t="s">
        <v>213</v>
      </c>
      <c r="H137" s="169" t="s">
        <v>6</v>
      </c>
      <c r="I137" s="169" t="s">
        <v>25</v>
      </c>
      <c r="J137" s="171"/>
      <c r="K137" s="171"/>
      <c r="L137" s="171"/>
      <c r="M137" s="171"/>
      <c r="N137" s="169"/>
      <c r="O137" s="169"/>
    </row>
    <row r="138" spans="1:15" ht="15" thickBot="1" x14ac:dyDescent="0.4">
      <c r="A138" s="315">
        <v>3</v>
      </c>
      <c r="B138" s="330">
        <v>65</v>
      </c>
      <c r="C138" s="175" t="s">
        <v>206</v>
      </c>
      <c r="D138" s="169" t="s">
        <v>79</v>
      </c>
      <c r="E138" s="179">
        <f>21.17*1000*(B138/58)</f>
        <v>23724.999999999996</v>
      </c>
      <c r="F138" s="169" t="s">
        <v>21</v>
      </c>
      <c r="G138" s="176" t="s">
        <v>213</v>
      </c>
      <c r="H138" s="169" t="s">
        <v>6</v>
      </c>
      <c r="I138" s="169" t="s">
        <v>25</v>
      </c>
      <c r="J138" s="171"/>
      <c r="K138" s="171"/>
      <c r="L138" s="171"/>
      <c r="M138" s="171"/>
      <c r="N138" s="169"/>
      <c r="O138" s="169"/>
    </row>
    <row r="139" spans="1:15" x14ac:dyDescent="0.35">
      <c r="A139" s="169"/>
      <c r="B139" s="176"/>
      <c r="C139" s="175" t="s">
        <v>168</v>
      </c>
      <c r="D139" s="169" t="s">
        <v>80</v>
      </c>
      <c r="E139" s="177">
        <f>-E138/1000</f>
        <v>-23.724999999999998</v>
      </c>
      <c r="F139" s="169" t="s">
        <v>29</v>
      </c>
      <c r="G139" s="176" t="s">
        <v>213</v>
      </c>
      <c r="H139" s="169" t="s">
        <v>30</v>
      </c>
      <c r="I139" s="169" t="s">
        <v>25</v>
      </c>
      <c r="J139" s="171"/>
      <c r="K139" s="171"/>
      <c r="L139" s="171"/>
      <c r="M139" s="171"/>
      <c r="N139" s="169"/>
      <c r="O139" s="169"/>
    </row>
    <row r="140" spans="1:15" x14ac:dyDescent="0.35">
      <c r="A140" s="169"/>
      <c r="B140" s="176"/>
      <c r="C140" s="175" t="s">
        <v>172</v>
      </c>
      <c r="D140" s="169" t="s">
        <v>105</v>
      </c>
      <c r="E140" s="177">
        <f>-E137</f>
        <v>-9.9999999999999992E-2</v>
      </c>
      <c r="F140" s="169" t="s">
        <v>21</v>
      </c>
      <c r="G140" s="176" t="s">
        <v>213</v>
      </c>
      <c r="H140" s="169" t="s">
        <v>30</v>
      </c>
      <c r="I140" s="169" t="s">
        <v>25</v>
      </c>
      <c r="J140" s="171"/>
      <c r="K140" s="171"/>
      <c r="L140" s="171"/>
      <c r="M140" s="171"/>
      <c r="N140" s="169"/>
      <c r="O140" s="169"/>
    </row>
    <row r="141" spans="1:15" x14ac:dyDescent="0.35">
      <c r="A141" s="3"/>
      <c r="B141" s="82"/>
      <c r="C141" s="166"/>
      <c r="D141" s="3"/>
      <c r="E141" s="150"/>
      <c r="F141" s="3"/>
      <c r="G141" s="82"/>
      <c r="H141" s="3"/>
      <c r="I141" s="3"/>
      <c r="J141" s="24"/>
      <c r="K141" s="24"/>
      <c r="L141" s="24"/>
      <c r="M141" s="24"/>
      <c r="N141" s="3"/>
      <c r="O141" s="3"/>
    </row>
    <row r="142" spans="1:15" x14ac:dyDescent="0.35">
      <c r="A142" s="182" t="s">
        <v>3</v>
      </c>
      <c r="B142" s="182" t="s">
        <v>140</v>
      </c>
      <c r="C142" s="183"/>
      <c r="D142" s="184"/>
      <c r="E142" s="184"/>
      <c r="F142" s="185"/>
      <c r="G142" s="184"/>
      <c r="H142" s="184"/>
      <c r="I142" s="184"/>
      <c r="J142" s="184"/>
      <c r="K142" s="184"/>
      <c r="L142" s="184"/>
      <c r="M142" s="184"/>
      <c r="N142" s="184"/>
      <c r="O142" s="184"/>
    </row>
    <row r="143" spans="1:15" x14ac:dyDescent="0.35">
      <c r="A143" s="184" t="s">
        <v>4</v>
      </c>
      <c r="B143" s="186" t="s">
        <v>140</v>
      </c>
      <c r="C143" s="183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</row>
    <row r="144" spans="1:15" x14ac:dyDescent="0.35">
      <c r="A144" s="184" t="s">
        <v>5</v>
      </c>
      <c r="B144" s="184" t="s">
        <v>6</v>
      </c>
      <c r="C144" s="183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</row>
    <row r="145" spans="1:15" x14ac:dyDescent="0.35">
      <c r="A145" s="184" t="s">
        <v>7</v>
      </c>
      <c r="B145" s="187">
        <v>1</v>
      </c>
      <c r="C145" s="183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</row>
    <row r="146" spans="1:15" x14ac:dyDescent="0.35">
      <c r="A146" s="184" t="s">
        <v>8</v>
      </c>
      <c r="B146" s="184" t="s">
        <v>9</v>
      </c>
      <c r="C146" s="183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</row>
    <row r="147" spans="1:15" x14ac:dyDescent="0.35">
      <c r="A147" s="184" t="s">
        <v>10</v>
      </c>
      <c r="B147" s="184" t="s">
        <v>10</v>
      </c>
      <c r="C147" s="183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</row>
    <row r="148" spans="1:15" x14ac:dyDescent="0.35">
      <c r="A148" s="182" t="s">
        <v>11</v>
      </c>
      <c r="B148" s="184"/>
      <c r="C148" s="183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</row>
    <row r="149" spans="1:15" x14ac:dyDescent="0.35">
      <c r="A149" s="188" t="s">
        <v>22</v>
      </c>
      <c r="B149" s="188" t="s">
        <v>23</v>
      </c>
      <c r="C149" s="183" t="s">
        <v>24</v>
      </c>
      <c r="D149" s="182" t="s">
        <v>12</v>
      </c>
      <c r="E149" s="182" t="s">
        <v>13</v>
      </c>
      <c r="F149" s="182" t="s">
        <v>10</v>
      </c>
      <c r="G149" s="182" t="s">
        <v>14</v>
      </c>
      <c r="H149" s="182" t="s">
        <v>5</v>
      </c>
      <c r="I149" s="182" t="s">
        <v>8</v>
      </c>
      <c r="J149" s="182" t="s">
        <v>15</v>
      </c>
      <c r="K149" s="182" t="s">
        <v>16</v>
      </c>
      <c r="L149" s="182" t="s">
        <v>17</v>
      </c>
      <c r="M149" s="182" t="s">
        <v>18</v>
      </c>
      <c r="N149" s="182" t="s">
        <v>19</v>
      </c>
      <c r="O149" s="182" t="s">
        <v>4</v>
      </c>
    </row>
    <row r="150" spans="1:15" ht="15" thickBot="1" x14ac:dyDescent="0.4">
      <c r="A150" s="189" t="s">
        <v>171</v>
      </c>
      <c r="B150" s="184"/>
      <c r="C150" s="190"/>
      <c r="D150" s="191" t="s">
        <v>140</v>
      </c>
      <c r="E150" s="192">
        <v>1</v>
      </c>
      <c r="F150" s="191" t="s">
        <v>10</v>
      </c>
      <c r="G150" s="191" t="s">
        <v>214</v>
      </c>
      <c r="H150" s="191" t="s">
        <v>6</v>
      </c>
      <c r="I150" s="191" t="s">
        <v>20</v>
      </c>
      <c r="J150" s="193"/>
      <c r="K150" s="193"/>
      <c r="L150" s="193"/>
      <c r="M150" s="193"/>
      <c r="N150" s="191"/>
      <c r="O150" s="184"/>
    </row>
    <row r="151" spans="1:15" ht="15" thickBot="1" x14ac:dyDescent="0.4">
      <c r="A151" s="313">
        <v>3</v>
      </c>
      <c r="B151" s="191" t="s">
        <v>170</v>
      </c>
      <c r="C151" s="314">
        <v>8</v>
      </c>
      <c r="D151" s="184" t="s">
        <v>81</v>
      </c>
      <c r="E151" s="192">
        <f>0.35*(C151/6)*(4/A151)</f>
        <v>0.62222222222222212</v>
      </c>
      <c r="F151" s="184" t="s">
        <v>21</v>
      </c>
      <c r="G151" s="191" t="s">
        <v>213</v>
      </c>
      <c r="H151" s="184" t="s">
        <v>6</v>
      </c>
      <c r="I151" s="184" t="s">
        <v>25</v>
      </c>
      <c r="J151" s="186"/>
      <c r="K151" s="186"/>
      <c r="L151" s="186"/>
      <c r="M151" s="186"/>
      <c r="N151" s="184"/>
      <c r="O151" s="184"/>
    </row>
    <row r="152" spans="1:15" x14ac:dyDescent="0.35">
      <c r="A152" s="194"/>
      <c r="B152" s="191"/>
      <c r="C152" s="190"/>
      <c r="D152" s="184" t="s">
        <v>101</v>
      </c>
      <c r="E152" s="192">
        <f>-E151</f>
        <v>-0.62222222222222212</v>
      </c>
      <c r="F152" s="184" t="s">
        <v>21</v>
      </c>
      <c r="G152" s="191" t="s">
        <v>213</v>
      </c>
      <c r="H152" s="184" t="s">
        <v>6</v>
      </c>
      <c r="I152" s="184" t="s">
        <v>25</v>
      </c>
      <c r="J152" s="186"/>
      <c r="K152" s="186"/>
      <c r="L152" s="186"/>
      <c r="M152" s="186"/>
      <c r="N152" s="184"/>
      <c r="O152" s="184"/>
    </row>
    <row r="153" spans="1:15" x14ac:dyDescent="0.35">
      <c r="A153" s="180"/>
      <c r="B153" s="84"/>
      <c r="C153" s="181"/>
      <c r="D153" s="3"/>
      <c r="E153" s="150"/>
      <c r="F153" s="3"/>
      <c r="G153" s="82"/>
      <c r="H153" s="3"/>
      <c r="I153" s="3"/>
      <c r="J153" s="24"/>
      <c r="K153" s="24"/>
      <c r="L153" s="24"/>
      <c r="M153" s="24"/>
      <c r="N153" s="3"/>
      <c r="O153" s="3"/>
    </row>
    <row r="154" spans="1:15" x14ac:dyDescent="0.35">
      <c r="A154" s="195" t="s">
        <v>3</v>
      </c>
      <c r="B154" s="195" t="s">
        <v>136</v>
      </c>
      <c r="C154" s="196"/>
      <c r="D154" s="197"/>
      <c r="E154" s="197"/>
      <c r="F154" s="198"/>
      <c r="G154" s="197"/>
      <c r="H154" s="197"/>
      <c r="I154" s="197"/>
      <c r="J154" s="197"/>
      <c r="K154" s="197"/>
      <c r="L154" s="197"/>
      <c r="M154" s="197"/>
      <c r="N154" s="197"/>
      <c r="O154" s="197"/>
    </row>
    <row r="155" spans="1:15" x14ac:dyDescent="0.35">
      <c r="A155" s="197" t="s">
        <v>4</v>
      </c>
      <c r="B155" s="199" t="s">
        <v>136</v>
      </c>
      <c r="C155" s="196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</row>
    <row r="156" spans="1:15" x14ac:dyDescent="0.35">
      <c r="A156" s="197" t="s">
        <v>5</v>
      </c>
      <c r="B156" s="197" t="s">
        <v>6</v>
      </c>
      <c r="C156" s="196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</row>
    <row r="157" spans="1:15" x14ac:dyDescent="0.35">
      <c r="A157" s="197" t="s">
        <v>7</v>
      </c>
      <c r="B157" s="200">
        <v>1</v>
      </c>
      <c r="C157" s="196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</row>
    <row r="158" spans="1:15" x14ac:dyDescent="0.35">
      <c r="A158" s="197" t="s">
        <v>8</v>
      </c>
      <c r="B158" s="197" t="s">
        <v>9</v>
      </c>
      <c r="C158" s="196"/>
      <c r="D158" s="19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</row>
    <row r="159" spans="1:15" x14ac:dyDescent="0.35">
      <c r="A159" s="197" t="s">
        <v>10</v>
      </c>
      <c r="B159" s="197" t="s">
        <v>10</v>
      </c>
      <c r="C159" s="196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</row>
    <row r="160" spans="1:15" x14ac:dyDescent="0.35">
      <c r="A160" s="195" t="s">
        <v>11</v>
      </c>
      <c r="B160" s="197"/>
      <c r="C160" s="196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</row>
    <row r="161" spans="1:15" x14ac:dyDescent="0.35">
      <c r="A161" s="201" t="s">
        <v>22</v>
      </c>
      <c r="B161" s="201" t="s">
        <v>23</v>
      </c>
      <c r="C161" s="196" t="s">
        <v>24</v>
      </c>
      <c r="D161" s="195" t="s">
        <v>12</v>
      </c>
      <c r="E161" s="195" t="s">
        <v>13</v>
      </c>
      <c r="F161" s="195" t="s">
        <v>10</v>
      </c>
      <c r="G161" s="195" t="s">
        <v>14</v>
      </c>
      <c r="H161" s="195" t="s">
        <v>5</v>
      </c>
      <c r="I161" s="195" t="s">
        <v>8</v>
      </c>
      <c r="J161" s="195" t="s">
        <v>15</v>
      </c>
      <c r="K161" s="195" t="s">
        <v>16</v>
      </c>
      <c r="L161" s="195" t="s">
        <v>17</v>
      </c>
      <c r="M161" s="195" t="s">
        <v>18</v>
      </c>
      <c r="N161" s="195" t="s">
        <v>19</v>
      </c>
      <c r="O161" s="195" t="s">
        <v>4</v>
      </c>
    </row>
    <row r="162" spans="1:15" ht="15" thickBot="1" x14ac:dyDescent="0.4">
      <c r="A162" s="202" t="s">
        <v>171</v>
      </c>
      <c r="B162" s="197" t="s">
        <v>173</v>
      </c>
      <c r="C162" s="203"/>
      <c r="D162" s="204" t="s">
        <v>136</v>
      </c>
      <c r="E162" s="205">
        <v>1</v>
      </c>
      <c r="F162" s="204" t="s">
        <v>10</v>
      </c>
      <c r="G162" s="204" t="s">
        <v>214</v>
      </c>
      <c r="H162" s="204" t="s">
        <v>6</v>
      </c>
      <c r="I162" s="204" t="s">
        <v>20</v>
      </c>
      <c r="J162" s="206"/>
      <c r="K162" s="206"/>
      <c r="L162" s="206"/>
      <c r="M162" s="206"/>
      <c r="N162" s="204"/>
      <c r="O162" s="197"/>
    </row>
    <row r="163" spans="1:15" ht="15" thickBot="1" x14ac:dyDescent="0.4">
      <c r="A163" s="312">
        <v>3</v>
      </c>
      <c r="B163" s="207">
        <v>15</v>
      </c>
      <c r="C163" s="203" t="s">
        <v>163</v>
      </c>
      <c r="D163" s="197" t="s">
        <v>82</v>
      </c>
      <c r="E163" s="205">
        <f>1/A163/B163</f>
        <v>2.222222222222222E-2</v>
      </c>
      <c r="F163" s="197" t="s">
        <v>10</v>
      </c>
      <c r="G163" s="204" t="s">
        <v>213</v>
      </c>
      <c r="H163" s="197" t="s">
        <v>6</v>
      </c>
      <c r="I163" s="197" t="s">
        <v>25</v>
      </c>
      <c r="J163" s="199"/>
      <c r="K163" s="199"/>
      <c r="L163" s="199"/>
      <c r="M163" s="199"/>
      <c r="N163" s="197"/>
      <c r="O163" s="197"/>
    </row>
    <row r="164" spans="1:15" s="213" customFormat="1" x14ac:dyDescent="0.35">
      <c r="A164" s="208"/>
      <c r="B164" s="209"/>
      <c r="C164" s="210"/>
      <c r="D164" s="208"/>
      <c r="E164" s="211"/>
      <c r="F164" s="208"/>
      <c r="G164" s="209"/>
      <c r="H164" s="208"/>
      <c r="I164" s="208"/>
      <c r="J164" s="212"/>
      <c r="K164" s="212"/>
      <c r="L164" s="212"/>
      <c r="M164" s="212"/>
      <c r="N164" s="208"/>
      <c r="O164" s="208"/>
    </row>
    <row r="165" spans="1:15" x14ac:dyDescent="0.35">
      <c r="A165" s="235" t="s">
        <v>3</v>
      </c>
      <c r="B165" s="235" t="s">
        <v>141</v>
      </c>
      <c r="C165" s="236"/>
      <c r="D165" s="237"/>
      <c r="E165" s="237"/>
      <c r="F165" s="238"/>
      <c r="G165" s="237"/>
      <c r="H165" s="237"/>
      <c r="I165" s="237"/>
      <c r="J165" s="237"/>
      <c r="K165" s="237"/>
      <c r="L165" s="237"/>
      <c r="M165" s="237"/>
      <c r="N165" s="237"/>
      <c r="O165" s="237"/>
    </row>
    <row r="166" spans="1:15" x14ac:dyDescent="0.35">
      <c r="A166" s="237" t="s">
        <v>4</v>
      </c>
      <c r="B166" s="239" t="s">
        <v>141</v>
      </c>
      <c r="C166" s="236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</row>
    <row r="167" spans="1:15" x14ac:dyDescent="0.35">
      <c r="A167" s="237" t="s">
        <v>5</v>
      </c>
      <c r="B167" s="237" t="s">
        <v>6</v>
      </c>
      <c r="C167" s="236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</row>
    <row r="168" spans="1:15" x14ac:dyDescent="0.35">
      <c r="A168" s="237" t="s">
        <v>7</v>
      </c>
      <c r="B168" s="240">
        <v>1</v>
      </c>
      <c r="C168" s="236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</row>
    <row r="169" spans="1:15" x14ac:dyDescent="0.35">
      <c r="A169" s="237" t="s">
        <v>8</v>
      </c>
      <c r="B169" s="237" t="s">
        <v>9</v>
      </c>
      <c r="C169" s="236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</row>
    <row r="170" spans="1:15" x14ac:dyDescent="0.35">
      <c r="A170" s="237" t="s">
        <v>10</v>
      </c>
      <c r="B170" s="237" t="s">
        <v>10</v>
      </c>
      <c r="C170" s="236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</row>
    <row r="171" spans="1:15" x14ac:dyDescent="0.35">
      <c r="A171" s="235" t="s">
        <v>11</v>
      </c>
      <c r="B171" s="237"/>
      <c r="C171" s="236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</row>
    <row r="172" spans="1:15" x14ac:dyDescent="0.35">
      <c r="A172" s="241" t="s">
        <v>22</v>
      </c>
      <c r="B172" s="241" t="s">
        <v>23</v>
      </c>
      <c r="C172" s="236" t="s">
        <v>24</v>
      </c>
      <c r="D172" s="235" t="s">
        <v>12</v>
      </c>
      <c r="E172" s="235" t="s">
        <v>13</v>
      </c>
      <c r="F172" s="235" t="s">
        <v>10</v>
      </c>
      <c r="G172" s="235" t="s">
        <v>14</v>
      </c>
      <c r="H172" s="235" t="s">
        <v>5</v>
      </c>
      <c r="I172" s="235" t="s">
        <v>8</v>
      </c>
      <c r="J172" s="235" t="s">
        <v>15</v>
      </c>
      <c r="K172" s="235" t="s">
        <v>16</v>
      </c>
      <c r="L172" s="235" t="s">
        <v>17</v>
      </c>
      <c r="M172" s="235" t="s">
        <v>18</v>
      </c>
      <c r="N172" s="235" t="s">
        <v>19</v>
      </c>
      <c r="O172" s="235" t="s">
        <v>4</v>
      </c>
    </row>
    <row r="173" spans="1:15" ht="15" thickBot="1" x14ac:dyDescent="0.4">
      <c r="A173" s="242" t="s">
        <v>171</v>
      </c>
      <c r="B173" s="237"/>
      <c r="C173" s="242" t="s">
        <v>174</v>
      </c>
      <c r="D173" s="243" t="s">
        <v>141</v>
      </c>
      <c r="E173" s="244">
        <v>1</v>
      </c>
      <c r="F173" s="243" t="s">
        <v>10</v>
      </c>
      <c r="G173" s="243" t="s">
        <v>214</v>
      </c>
      <c r="H173" s="243" t="s">
        <v>6</v>
      </c>
      <c r="I173" s="243" t="s">
        <v>20</v>
      </c>
      <c r="J173" s="245"/>
      <c r="K173" s="245"/>
      <c r="L173" s="245"/>
      <c r="M173" s="245"/>
      <c r="N173" s="243"/>
      <c r="O173" s="237"/>
    </row>
    <row r="174" spans="1:15" ht="15" thickBot="1" x14ac:dyDescent="0.4">
      <c r="A174" s="311">
        <v>3</v>
      </c>
      <c r="B174" s="237"/>
      <c r="C174" s="246"/>
      <c r="D174" s="243" t="s">
        <v>149</v>
      </c>
      <c r="E174" s="244">
        <f>1/A174</f>
        <v>0.33333333333333331</v>
      </c>
      <c r="F174" s="243" t="s">
        <v>10</v>
      </c>
      <c r="G174" s="243" t="s">
        <v>214</v>
      </c>
      <c r="H174" s="243" t="s">
        <v>6</v>
      </c>
      <c r="I174" s="243" t="s">
        <v>25</v>
      </c>
      <c r="J174" s="245"/>
      <c r="K174" s="245"/>
      <c r="L174" s="245"/>
      <c r="M174" s="245"/>
      <c r="N174" s="243"/>
      <c r="O174" s="237"/>
    </row>
    <row r="175" spans="1:15" s="213" customFormat="1" x14ac:dyDescent="0.35">
      <c r="A175" s="214"/>
      <c r="B175" s="215"/>
      <c r="C175" s="216"/>
      <c r="D175" s="217"/>
      <c r="E175" s="218"/>
      <c r="F175" s="217"/>
      <c r="G175" s="217"/>
      <c r="H175" s="217"/>
      <c r="I175" s="217"/>
      <c r="J175" s="219"/>
      <c r="K175" s="219"/>
      <c r="L175" s="219"/>
      <c r="M175" s="219"/>
      <c r="N175" s="217"/>
      <c r="O175" s="215"/>
    </row>
    <row r="176" spans="1:15" x14ac:dyDescent="0.35">
      <c r="A176" s="221" t="s">
        <v>3</v>
      </c>
      <c r="B176" s="221" t="s">
        <v>142</v>
      </c>
      <c r="C176" s="222"/>
      <c r="D176" s="220"/>
      <c r="E176" s="220"/>
      <c r="F176" s="223"/>
      <c r="G176" s="220"/>
      <c r="H176" s="220"/>
      <c r="I176" s="220"/>
      <c r="J176" s="220"/>
      <c r="K176" s="220"/>
      <c r="L176" s="220"/>
      <c r="M176" s="220"/>
      <c r="N176" s="220"/>
      <c r="O176" s="220"/>
    </row>
    <row r="177" spans="1:15" x14ac:dyDescent="0.35">
      <c r="A177" s="220" t="s">
        <v>4</v>
      </c>
      <c r="B177" s="224" t="s">
        <v>142</v>
      </c>
      <c r="C177" s="222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0"/>
      <c r="O177" s="220"/>
    </row>
    <row r="178" spans="1:15" x14ac:dyDescent="0.35">
      <c r="A178" s="220" t="s">
        <v>5</v>
      </c>
      <c r="B178" s="220" t="s">
        <v>6</v>
      </c>
      <c r="C178" s="222"/>
      <c r="D178" s="220"/>
      <c r="E178" s="220"/>
      <c r="F178" s="220"/>
      <c r="G178" s="220"/>
      <c r="H178" s="220"/>
      <c r="I178" s="220"/>
      <c r="J178" s="220"/>
      <c r="K178" s="220"/>
      <c r="L178" s="220"/>
      <c r="M178" s="220"/>
      <c r="N178" s="220"/>
      <c r="O178" s="220"/>
    </row>
    <row r="179" spans="1:15" x14ac:dyDescent="0.35">
      <c r="A179" s="220" t="s">
        <v>7</v>
      </c>
      <c r="B179" s="225">
        <v>1</v>
      </c>
      <c r="C179" s="222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</row>
    <row r="180" spans="1:15" x14ac:dyDescent="0.35">
      <c r="A180" s="220" t="s">
        <v>8</v>
      </c>
      <c r="B180" s="220" t="s">
        <v>9</v>
      </c>
      <c r="C180" s="222"/>
      <c r="D180" s="220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</row>
    <row r="181" spans="1:15" x14ac:dyDescent="0.35">
      <c r="A181" s="220" t="s">
        <v>10</v>
      </c>
      <c r="B181" s="220" t="s">
        <v>10</v>
      </c>
      <c r="C181" s="222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</row>
    <row r="182" spans="1:15" x14ac:dyDescent="0.35">
      <c r="A182" s="221" t="s">
        <v>11</v>
      </c>
      <c r="B182" s="220"/>
      <c r="C182" s="222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</row>
    <row r="183" spans="1:15" x14ac:dyDescent="0.35">
      <c r="A183" s="226" t="s">
        <v>22</v>
      </c>
      <c r="B183" s="226" t="s">
        <v>23</v>
      </c>
      <c r="C183" s="222" t="s">
        <v>24</v>
      </c>
      <c r="D183" s="221" t="s">
        <v>12</v>
      </c>
      <c r="E183" s="221" t="s">
        <v>13</v>
      </c>
      <c r="F183" s="221" t="s">
        <v>10</v>
      </c>
      <c r="G183" s="221" t="s">
        <v>14</v>
      </c>
      <c r="H183" s="221" t="s">
        <v>5</v>
      </c>
      <c r="I183" s="221" t="s">
        <v>8</v>
      </c>
      <c r="J183" s="221" t="s">
        <v>15</v>
      </c>
      <c r="K183" s="221" t="s">
        <v>16</v>
      </c>
      <c r="L183" s="221" t="s">
        <v>17</v>
      </c>
      <c r="M183" s="221" t="s">
        <v>18</v>
      </c>
      <c r="N183" s="221" t="s">
        <v>19</v>
      </c>
      <c r="O183" s="221" t="s">
        <v>4</v>
      </c>
    </row>
    <row r="184" spans="1:15" ht="15" thickBot="1" x14ac:dyDescent="0.4">
      <c r="A184" s="227" t="s">
        <v>171</v>
      </c>
      <c r="B184" s="220"/>
      <c r="C184" s="227"/>
      <c r="D184" s="228" t="s">
        <v>142</v>
      </c>
      <c r="E184" s="229">
        <v>1</v>
      </c>
      <c r="F184" s="228" t="s">
        <v>10</v>
      </c>
      <c r="G184" s="228" t="s">
        <v>214</v>
      </c>
      <c r="H184" s="228" t="s">
        <v>6</v>
      </c>
      <c r="I184" s="228" t="s">
        <v>20</v>
      </c>
      <c r="J184" s="230"/>
      <c r="K184" s="230"/>
      <c r="L184" s="230"/>
      <c r="M184" s="230"/>
      <c r="N184" s="228"/>
      <c r="O184" s="220"/>
    </row>
    <row r="185" spans="1:15" ht="15" thickBot="1" x14ac:dyDescent="0.4">
      <c r="A185" s="329" t="s">
        <v>205</v>
      </c>
      <c r="B185" s="310">
        <v>1.25</v>
      </c>
      <c r="C185" s="231"/>
      <c r="D185" s="220" t="s">
        <v>83</v>
      </c>
      <c r="E185" s="232">
        <f>78*B185</f>
        <v>97.5</v>
      </c>
      <c r="F185" s="220" t="s">
        <v>21</v>
      </c>
      <c r="G185" s="228" t="s">
        <v>213</v>
      </c>
      <c r="H185" s="220" t="s">
        <v>6</v>
      </c>
      <c r="I185" s="220" t="s">
        <v>25</v>
      </c>
      <c r="J185" s="220"/>
      <c r="K185" s="220"/>
      <c r="L185" s="220"/>
      <c r="M185" s="220"/>
      <c r="N185" s="220"/>
      <c r="O185" s="220"/>
    </row>
    <row r="186" spans="1:15" ht="15" thickBot="1" x14ac:dyDescent="0.4">
      <c r="A186" s="220" t="s">
        <v>142</v>
      </c>
      <c r="B186" s="310">
        <v>4</v>
      </c>
      <c r="C186" s="231" t="s">
        <v>175</v>
      </c>
      <c r="D186" s="220" t="s">
        <v>84</v>
      </c>
      <c r="E186" s="232">
        <f>0.75*B186</f>
        <v>3</v>
      </c>
      <c r="F186" s="220" t="s">
        <v>21</v>
      </c>
      <c r="G186" s="228" t="s">
        <v>213</v>
      </c>
      <c r="H186" s="220" t="s">
        <v>6</v>
      </c>
      <c r="I186" s="220" t="s">
        <v>25</v>
      </c>
      <c r="J186" s="220"/>
      <c r="K186" s="220"/>
      <c r="L186" s="220"/>
      <c r="M186" s="220"/>
      <c r="N186" s="220"/>
      <c r="O186" s="220"/>
    </row>
    <row r="187" spans="1:15" x14ac:dyDescent="0.35">
      <c r="A187" s="227"/>
      <c r="B187" s="220"/>
      <c r="C187" s="231"/>
      <c r="D187" s="220" t="s">
        <v>127</v>
      </c>
      <c r="E187" s="232">
        <f>0.25*B186</f>
        <v>1</v>
      </c>
      <c r="F187" s="220" t="s">
        <v>21</v>
      </c>
      <c r="G187" s="228" t="s">
        <v>213</v>
      </c>
      <c r="H187" s="220" t="s">
        <v>6</v>
      </c>
      <c r="I187" s="220" t="s">
        <v>25</v>
      </c>
      <c r="J187" s="220"/>
      <c r="K187" s="220"/>
      <c r="L187" s="220"/>
      <c r="M187" s="220"/>
      <c r="N187" s="220"/>
      <c r="O187" s="220"/>
    </row>
    <row r="188" spans="1:15" ht="15" thickBot="1" x14ac:dyDescent="0.4">
      <c r="A188" s="220"/>
      <c r="B188" s="220"/>
      <c r="C188" s="233"/>
      <c r="D188" s="234" t="s">
        <v>100</v>
      </c>
      <c r="E188" s="232">
        <f>-(E187+E186)</f>
        <v>-4</v>
      </c>
      <c r="F188" s="220" t="s">
        <v>21</v>
      </c>
      <c r="G188" s="228" t="s">
        <v>213</v>
      </c>
      <c r="H188" s="220" t="s">
        <v>6</v>
      </c>
      <c r="I188" s="220" t="s">
        <v>25</v>
      </c>
      <c r="J188" s="220"/>
      <c r="K188" s="220"/>
      <c r="L188" s="220"/>
      <c r="M188" s="220"/>
      <c r="N188" s="220"/>
      <c r="O188" s="220"/>
    </row>
    <row r="189" spans="1:15" ht="15" thickBot="1" x14ac:dyDescent="0.4">
      <c r="A189" s="220"/>
      <c r="B189" s="310">
        <v>1.35</v>
      </c>
      <c r="C189" s="220" t="s">
        <v>175</v>
      </c>
      <c r="D189" s="234" t="s">
        <v>133</v>
      </c>
      <c r="E189" s="269">
        <f>1*(B189/0.9)</f>
        <v>1.5</v>
      </c>
      <c r="F189" s="220" t="s">
        <v>10</v>
      </c>
      <c r="G189" s="228" t="s">
        <v>214</v>
      </c>
      <c r="H189" s="220" t="s">
        <v>6</v>
      </c>
      <c r="I189" s="220" t="s">
        <v>25</v>
      </c>
      <c r="J189" s="220"/>
      <c r="K189" s="220"/>
      <c r="L189" s="220"/>
      <c r="M189" s="220"/>
      <c r="N189" s="220"/>
      <c r="O189" s="220"/>
    </row>
    <row r="191" spans="1:15" x14ac:dyDescent="0.35">
      <c r="A191" s="12" t="s">
        <v>3</v>
      </c>
      <c r="B191" s="12" t="s">
        <v>144</v>
      </c>
      <c r="C191" s="5"/>
      <c r="D191" s="4"/>
      <c r="E191" s="4"/>
      <c r="F191" s="13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35">
      <c r="A192" s="4" t="s">
        <v>4</v>
      </c>
      <c r="B192" s="14" t="s">
        <v>144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35">
      <c r="A193" s="4" t="s">
        <v>5</v>
      </c>
      <c r="B193" s="4" t="s">
        <v>6</v>
      </c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35">
      <c r="A194" s="4" t="s">
        <v>7</v>
      </c>
      <c r="B194" s="128">
        <v>1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35">
      <c r="A195" s="4" t="s">
        <v>8</v>
      </c>
      <c r="B195" s="4" t="s">
        <v>9</v>
      </c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35">
      <c r="A196" s="4" t="s">
        <v>10</v>
      </c>
      <c r="B196" s="1" t="s">
        <v>10</v>
      </c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35">
      <c r="A197" s="12" t="s">
        <v>11</v>
      </c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5" thickBot="1" x14ac:dyDescent="0.4">
      <c r="A198" s="15" t="s">
        <v>22</v>
      </c>
      <c r="B198" s="15" t="s">
        <v>23</v>
      </c>
      <c r="C198" s="5" t="s">
        <v>24</v>
      </c>
      <c r="D198" s="12" t="s">
        <v>12</v>
      </c>
      <c r="E198" s="12" t="s">
        <v>13</v>
      </c>
      <c r="F198" s="12" t="s">
        <v>10</v>
      </c>
      <c r="G198" s="12" t="s">
        <v>14</v>
      </c>
      <c r="H198" s="12" t="s">
        <v>5</v>
      </c>
      <c r="I198" s="12" t="s">
        <v>8</v>
      </c>
      <c r="J198" s="12" t="s">
        <v>15</v>
      </c>
      <c r="K198" s="12" t="s">
        <v>16</v>
      </c>
      <c r="L198" s="12" t="s">
        <v>17</v>
      </c>
      <c r="M198" s="12" t="s">
        <v>18</v>
      </c>
      <c r="N198" s="12" t="s">
        <v>19</v>
      </c>
      <c r="O198" s="12" t="s">
        <v>4</v>
      </c>
    </row>
    <row r="199" spans="1:15" ht="15" thickBot="1" x14ac:dyDescent="0.4">
      <c r="A199" s="2"/>
      <c r="B199" s="74" t="s">
        <v>200</v>
      </c>
      <c r="C199" s="309">
        <v>3</v>
      </c>
      <c r="D199" s="70" t="s">
        <v>144</v>
      </c>
      <c r="E199" s="117">
        <v>1</v>
      </c>
      <c r="F199" s="17" t="s">
        <v>10</v>
      </c>
      <c r="G199" s="17" t="s">
        <v>214</v>
      </c>
      <c r="H199" s="17" t="s">
        <v>6</v>
      </c>
      <c r="I199" s="17" t="s">
        <v>20</v>
      </c>
      <c r="J199" s="20"/>
      <c r="K199" s="20"/>
      <c r="L199" s="20"/>
      <c r="M199" s="20"/>
      <c r="N199" s="17"/>
      <c r="O199" s="4"/>
    </row>
    <row r="200" spans="1:15" x14ac:dyDescent="0.35">
      <c r="A200" s="74" t="s">
        <v>185</v>
      </c>
      <c r="B200" s="247" t="s">
        <v>179</v>
      </c>
      <c r="C200" s="248" t="s">
        <v>163</v>
      </c>
      <c r="D200" s="17" t="s">
        <v>76</v>
      </c>
      <c r="E200" s="117">
        <f>C199*3/50</f>
        <v>0.18</v>
      </c>
      <c r="F200" s="17" t="s">
        <v>29</v>
      </c>
      <c r="G200" s="17" t="s">
        <v>213</v>
      </c>
      <c r="H200" s="17" t="s">
        <v>6</v>
      </c>
      <c r="I200" s="17" t="s">
        <v>25</v>
      </c>
      <c r="J200" s="12"/>
      <c r="K200" s="12"/>
      <c r="L200" s="12"/>
      <c r="M200" s="12"/>
      <c r="N200" s="4"/>
      <c r="O200" s="4"/>
    </row>
    <row r="201" spans="1:15" x14ac:dyDescent="0.35">
      <c r="A201" s="249"/>
      <c r="B201" s="83"/>
      <c r="C201" s="250"/>
      <c r="D201" s="82"/>
      <c r="E201" s="150"/>
      <c r="F201" s="82"/>
      <c r="G201" s="82"/>
      <c r="H201" s="82"/>
      <c r="I201" s="82"/>
      <c r="J201" s="26"/>
      <c r="K201" s="26"/>
      <c r="L201" s="26"/>
      <c r="M201" s="26"/>
      <c r="N201" s="3"/>
      <c r="O201" s="3"/>
    </row>
    <row r="202" spans="1:15" x14ac:dyDescent="0.35">
      <c r="A202" s="251" t="s">
        <v>3</v>
      </c>
      <c r="B202" s="251" t="s">
        <v>145</v>
      </c>
      <c r="C202" s="252"/>
      <c r="D202" s="253"/>
      <c r="E202" s="253"/>
      <c r="F202" s="254"/>
      <c r="G202" s="253"/>
      <c r="H202" s="253"/>
      <c r="I202" s="253"/>
      <c r="J202" s="253"/>
      <c r="K202" s="253"/>
      <c r="L202" s="253"/>
      <c r="M202" s="253"/>
      <c r="N202" s="253"/>
      <c r="O202" s="253"/>
    </row>
    <row r="203" spans="1:15" x14ac:dyDescent="0.35">
      <c r="A203" s="253" t="s">
        <v>4</v>
      </c>
      <c r="B203" s="255" t="s">
        <v>145</v>
      </c>
      <c r="C203" s="252"/>
      <c r="D203" s="253"/>
      <c r="E203" s="253"/>
      <c r="F203" s="253"/>
      <c r="G203" s="253"/>
      <c r="H203" s="253"/>
      <c r="I203" s="253"/>
      <c r="J203" s="253"/>
      <c r="K203" s="253"/>
      <c r="L203" s="253"/>
      <c r="M203" s="253"/>
      <c r="N203" s="253"/>
      <c r="O203" s="253"/>
    </row>
    <row r="204" spans="1:15" x14ac:dyDescent="0.35">
      <c r="A204" s="253" t="s">
        <v>5</v>
      </c>
      <c r="B204" s="253" t="s">
        <v>6</v>
      </c>
      <c r="C204" s="252"/>
      <c r="D204" s="253"/>
      <c r="E204" s="253"/>
      <c r="F204" s="253"/>
      <c r="G204" s="253"/>
      <c r="H204" s="253"/>
      <c r="I204" s="253"/>
      <c r="J204" s="253"/>
      <c r="K204" s="253"/>
      <c r="L204" s="253"/>
      <c r="M204" s="253"/>
      <c r="N204" s="253"/>
      <c r="O204" s="253"/>
    </row>
    <row r="205" spans="1:15" x14ac:dyDescent="0.35">
      <c r="A205" s="253" t="s">
        <v>7</v>
      </c>
      <c r="B205" s="256">
        <v>1</v>
      </c>
      <c r="C205" s="252"/>
      <c r="D205" s="253"/>
      <c r="E205" s="253"/>
      <c r="F205" s="253"/>
      <c r="G205" s="253"/>
      <c r="H205" s="253"/>
      <c r="I205" s="253"/>
      <c r="J205" s="253"/>
      <c r="K205" s="253"/>
      <c r="L205" s="253"/>
      <c r="M205" s="253"/>
      <c r="N205" s="253"/>
      <c r="O205" s="253"/>
    </row>
    <row r="206" spans="1:15" x14ac:dyDescent="0.35">
      <c r="A206" s="253" t="s">
        <v>8</v>
      </c>
      <c r="B206" s="253" t="s">
        <v>9</v>
      </c>
      <c r="C206" s="252"/>
      <c r="D206" s="253"/>
      <c r="E206" s="253"/>
      <c r="F206" s="253"/>
      <c r="G206" s="253"/>
      <c r="H206" s="253"/>
      <c r="I206" s="253"/>
      <c r="J206" s="253"/>
      <c r="K206" s="253"/>
      <c r="L206" s="253"/>
      <c r="M206" s="253"/>
      <c r="N206" s="253"/>
      <c r="O206" s="253"/>
    </row>
    <row r="207" spans="1:15" x14ac:dyDescent="0.35">
      <c r="A207" s="253" t="s">
        <v>10</v>
      </c>
      <c r="B207" s="257" t="s">
        <v>10</v>
      </c>
      <c r="C207" s="252"/>
      <c r="D207" s="253"/>
      <c r="E207" s="253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</row>
    <row r="208" spans="1:15" x14ac:dyDescent="0.35">
      <c r="A208" s="251" t="s">
        <v>11</v>
      </c>
      <c r="B208" s="253"/>
      <c r="C208" s="252"/>
      <c r="D208" s="253"/>
      <c r="E208" s="253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</row>
    <row r="209" spans="1:15" x14ac:dyDescent="0.35">
      <c r="A209" s="258" t="s">
        <v>22</v>
      </c>
      <c r="B209" s="258" t="s">
        <v>23</v>
      </c>
      <c r="C209" s="252" t="s">
        <v>24</v>
      </c>
      <c r="D209" s="251" t="s">
        <v>12</v>
      </c>
      <c r="E209" s="251" t="s">
        <v>13</v>
      </c>
      <c r="F209" s="251" t="s">
        <v>10</v>
      </c>
      <c r="G209" s="251" t="s">
        <v>14</v>
      </c>
      <c r="H209" s="251" t="s">
        <v>5</v>
      </c>
      <c r="I209" s="251" t="s">
        <v>8</v>
      </c>
      <c r="J209" s="251" t="s">
        <v>15</v>
      </c>
      <c r="K209" s="251" t="s">
        <v>16</v>
      </c>
      <c r="L209" s="251" t="s">
        <v>17</v>
      </c>
      <c r="M209" s="251" t="s">
        <v>18</v>
      </c>
      <c r="N209" s="251" t="s">
        <v>19</v>
      </c>
      <c r="O209" s="251" t="s">
        <v>4</v>
      </c>
    </row>
    <row r="210" spans="1:15" ht="15" thickBot="1" x14ac:dyDescent="0.4">
      <c r="A210" s="267" t="s">
        <v>186</v>
      </c>
      <c r="B210" s="253"/>
      <c r="C210" s="259"/>
      <c r="D210" s="260" t="s">
        <v>145</v>
      </c>
      <c r="E210" s="261">
        <v>1</v>
      </c>
      <c r="F210" s="262" t="s">
        <v>10</v>
      </c>
      <c r="G210" s="262" t="s">
        <v>214</v>
      </c>
      <c r="H210" s="262" t="s">
        <v>6</v>
      </c>
      <c r="I210" s="262" t="s">
        <v>20</v>
      </c>
      <c r="J210" s="263"/>
      <c r="K210" s="263"/>
      <c r="L210" s="263"/>
      <c r="M210" s="263"/>
      <c r="N210" s="262"/>
      <c r="O210" s="253"/>
    </row>
    <row r="211" spans="1:15" ht="15" thickBot="1" x14ac:dyDescent="0.4">
      <c r="A211" s="308">
        <v>3</v>
      </c>
      <c r="B211" s="264" t="s">
        <v>187</v>
      </c>
      <c r="C211" s="265"/>
      <c r="D211" s="264" t="s">
        <v>85</v>
      </c>
      <c r="E211" s="266">
        <f>1/8/A211</f>
        <v>4.1666666666666664E-2</v>
      </c>
      <c r="F211" s="264" t="s">
        <v>10</v>
      </c>
      <c r="G211" s="262" t="s">
        <v>213</v>
      </c>
      <c r="H211" s="264" t="s">
        <v>6</v>
      </c>
      <c r="I211" s="264" t="s">
        <v>25</v>
      </c>
      <c r="J211" s="264"/>
      <c r="K211" s="264"/>
      <c r="L211" s="264"/>
      <c r="M211" s="264"/>
      <c r="N211" s="264"/>
      <c r="O211" s="264"/>
    </row>
    <row r="212" spans="1:15" x14ac:dyDescent="0.35">
      <c r="A212" s="264" t="s">
        <v>122</v>
      </c>
      <c r="B212" s="264"/>
      <c r="C212" s="265" t="s">
        <v>188</v>
      </c>
      <c r="D212" s="264" t="s">
        <v>101</v>
      </c>
      <c r="E212" s="266">
        <f>-1.5/8</f>
        <v>-0.1875</v>
      </c>
      <c r="F212" s="264" t="s">
        <v>21</v>
      </c>
      <c r="G212" s="262" t="s">
        <v>213</v>
      </c>
      <c r="H212" s="264" t="s">
        <v>6</v>
      </c>
      <c r="I212" s="264" t="s">
        <v>25</v>
      </c>
      <c r="J212" s="264"/>
      <c r="K212" s="264"/>
      <c r="L212" s="264"/>
      <c r="M212" s="264"/>
      <c r="N212" s="264"/>
      <c r="O212" s="264"/>
    </row>
    <row r="213" spans="1:15" x14ac:dyDescent="0.35">
      <c r="A213" s="264" t="s">
        <v>190</v>
      </c>
      <c r="B213" s="264" t="s">
        <v>189</v>
      </c>
      <c r="C213" s="265"/>
      <c r="D213" s="264" t="s">
        <v>124</v>
      </c>
      <c r="E213" s="268">
        <f>365</f>
        <v>365</v>
      </c>
      <c r="F213" s="264" t="s">
        <v>125</v>
      </c>
      <c r="G213" s="262" t="s">
        <v>213</v>
      </c>
      <c r="H213" s="264" t="s">
        <v>6</v>
      </c>
      <c r="I213" s="264" t="s">
        <v>25</v>
      </c>
      <c r="J213" s="264"/>
      <c r="K213" s="264"/>
      <c r="L213" s="264"/>
      <c r="M213" s="264"/>
      <c r="N213" s="264"/>
      <c r="O213" s="264"/>
    </row>
    <row r="214" spans="1:15" x14ac:dyDescent="0.35">
      <c r="C214" s="271"/>
      <c r="E214" s="272"/>
      <c r="G214" s="82"/>
    </row>
    <row r="215" spans="1:15" x14ac:dyDescent="0.35">
      <c r="A215" s="273" t="s">
        <v>3</v>
      </c>
      <c r="B215" s="273" t="s">
        <v>146</v>
      </c>
      <c r="C215" s="274"/>
      <c r="D215" s="275"/>
      <c r="E215" s="275"/>
      <c r="F215" s="276"/>
      <c r="G215" s="275"/>
      <c r="H215" s="275"/>
      <c r="I215" s="275"/>
      <c r="J215" s="275"/>
      <c r="K215" s="275"/>
      <c r="L215" s="275"/>
      <c r="M215" s="275"/>
      <c r="N215" s="275"/>
      <c r="O215" s="275"/>
    </row>
    <row r="216" spans="1:15" x14ac:dyDescent="0.35">
      <c r="A216" s="275" t="s">
        <v>4</v>
      </c>
      <c r="B216" s="277" t="s">
        <v>146</v>
      </c>
      <c r="C216" s="274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5"/>
    </row>
    <row r="217" spans="1:15" x14ac:dyDescent="0.35">
      <c r="A217" s="275" t="s">
        <v>5</v>
      </c>
      <c r="B217" s="275" t="s">
        <v>6</v>
      </c>
      <c r="C217" s="274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</row>
    <row r="218" spans="1:15" x14ac:dyDescent="0.35">
      <c r="A218" s="275" t="s">
        <v>7</v>
      </c>
      <c r="B218" s="278">
        <v>1</v>
      </c>
      <c r="C218" s="274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</row>
    <row r="219" spans="1:15" x14ac:dyDescent="0.35">
      <c r="A219" s="275" t="s">
        <v>8</v>
      </c>
      <c r="B219" s="275" t="s">
        <v>9</v>
      </c>
      <c r="C219" s="274"/>
      <c r="D219" s="275"/>
      <c r="E219" s="275"/>
      <c r="F219" s="275"/>
      <c r="G219" s="275"/>
      <c r="H219" s="275"/>
      <c r="I219" s="275"/>
      <c r="J219" s="275"/>
      <c r="K219" s="275"/>
      <c r="L219" s="275"/>
      <c r="M219" s="275"/>
      <c r="N219" s="275"/>
      <c r="O219" s="275"/>
    </row>
    <row r="220" spans="1:15" x14ac:dyDescent="0.35">
      <c r="A220" s="275" t="s">
        <v>10</v>
      </c>
      <c r="B220" s="275" t="s">
        <v>10</v>
      </c>
      <c r="C220" s="274"/>
      <c r="D220" s="275"/>
      <c r="E220" s="275"/>
      <c r="F220" s="275"/>
      <c r="G220" s="275"/>
      <c r="H220" s="275"/>
      <c r="I220" s="275"/>
      <c r="J220" s="275"/>
      <c r="K220" s="275"/>
      <c r="L220" s="275"/>
      <c r="M220" s="275"/>
      <c r="N220" s="275"/>
      <c r="O220" s="275"/>
    </row>
    <row r="221" spans="1:15" x14ac:dyDescent="0.35">
      <c r="A221" s="273" t="s">
        <v>11</v>
      </c>
      <c r="B221" s="275"/>
      <c r="C221" s="274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5"/>
    </row>
    <row r="222" spans="1:15" x14ac:dyDescent="0.35">
      <c r="A222" s="279" t="s">
        <v>22</v>
      </c>
      <c r="B222" s="279" t="s">
        <v>23</v>
      </c>
      <c r="C222" s="274" t="s">
        <v>24</v>
      </c>
      <c r="D222" s="273" t="s">
        <v>12</v>
      </c>
      <c r="E222" s="273" t="s">
        <v>13</v>
      </c>
      <c r="F222" s="273" t="s">
        <v>10</v>
      </c>
      <c r="G222" s="273" t="s">
        <v>14</v>
      </c>
      <c r="H222" s="273" t="s">
        <v>5</v>
      </c>
      <c r="I222" s="273" t="s">
        <v>8</v>
      </c>
      <c r="J222" s="273" t="s">
        <v>15</v>
      </c>
      <c r="K222" s="273" t="s">
        <v>16</v>
      </c>
      <c r="L222" s="273" t="s">
        <v>17</v>
      </c>
      <c r="M222" s="273" t="s">
        <v>18</v>
      </c>
      <c r="N222" s="273" t="s">
        <v>19</v>
      </c>
      <c r="O222" s="273" t="s">
        <v>4</v>
      </c>
    </row>
    <row r="223" spans="1:15" ht="15" thickBot="1" x14ac:dyDescent="0.4">
      <c r="A223" s="280"/>
      <c r="B223" s="275" t="s">
        <v>197</v>
      </c>
      <c r="C223" s="281"/>
      <c r="D223" s="282" t="s">
        <v>146</v>
      </c>
      <c r="E223" s="283">
        <v>1</v>
      </c>
      <c r="F223" s="282" t="s">
        <v>10</v>
      </c>
      <c r="G223" s="282" t="s">
        <v>214</v>
      </c>
      <c r="H223" s="282" t="s">
        <v>6</v>
      </c>
      <c r="I223" s="282" t="s">
        <v>20</v>
      </c>
      <c r="J223" s="284"/>
      <c r="K223" s="284"/>
      <c r="L223" s="284"/>
      <c r="M223" s="284"/>
      <c r="N223" s="282"/>
      <c r="O223" s="275"/>
    </row>
    <row r="224" spans="1:15" ht="15" thickBot="1" x14ac:dyDescent="0.4">
      <c r="A224" s="285"/>
      <c r="B224" s="307">
        <v>1</v>
      </c>
      <c r="C224" s="286" t="s">
        <v>196</v>
      </c>
      <c r="D224" s="285" t="s">
        <v>102</v>
      </c>
      <c r="E224" s="287">
        <f>0.6*(B224/0.6)</f>
        <v>1</v>
      </c>
      <c r="F224" s="285" t="s">
        <v>10</v>
      </c>
      <c r="G224" s="282" t="s">
        <v>213</v>
      </c>
      <c r="H224" s="285" t="s">
        <v>6</v>
      </c>
      <c r="I224" s="285" t="s">
        <v>25</v>
      </c>
      <c r="J224" s="285"/>
      <c r="K224" s="285"/>
      <c r="L224" s="285"/>
      <c r="M224" s="285"/>
      <c r="N224" s="285"/>
      <c r="O224" s="285"/>
    </row>
    <row r="225" spans="1:15" x14ac:dyDescent="0.35">
      <c r="A225" s="285"/>
      <c r="B225" s="285"/>
      <c r="C225" s="286" t="s">
        <v>104</v>
      </c>
      <c r="D225" s="285" t="s">
        <v>103</v>
      </c>
      <c r="E225" s="287">
        <f>-0.16345*E224</f>
        <v>-0.16345000000000001</v>
      </c>
      <c r="F225" s="285" t="s">
        <v>21</v>
      </c>
      <c r="G225" s="282" t="s">
        <v>213</v>
      </c>
      <c r="H225" s="285" t="s">
        <v>6</v>
      </c>
      <c r="I225" s="285" t="s">
        <v>25</v>
      </c>
      <c r="J225" s="285"/>
      <c r="K225" s="285"/>
      <c r="L225" s="285"/>
      <c r="M225" s="285"/>
      <c r="N225" s="285"/>
      <c r="O225" s="285"/>
    </row>
    <row r="226" spans="1:15" x14ac:dyDescent="0.35">
      <c r="A226" s="288"/>
      <c r="B226" s="288"/>
      <c r="C226" s="288"/>
      <c r="D226" s="288"/>
      <c r="E226" s="289"/>
      <c r="F226" s="288"/>
      <c r="G226" s="290"/>
      <c r="H226" s="288"/>
      <c r="I226" s="288"/>
      <c r="J226" s="288"/>
      <c r="K226" s="288"/>
      <c r="L226" s="288"/>
      <c r="M226" s="288"/>
      <c r="N226" s="288"/>
      <c r="O226" s="288"/>
    </row>
    <row r="227" spans="1:15" x14ac:dyDescent="0.35">
      <c r="A227" s="291" t="s">
        <v>3</v>
      </c>
      <c r="B227" s="291" t="s">
        <v>147</v>
      </c>
      <c r="C227" s="292"/>
      <c r="D227" s="293"/>
      <c r="E227" s="293"/>
      <c r="F227" s="294"/>
      <c r="G227" s="293"/>
      <c r="H227" s="293"/>
      <c r="I227" s="293"/>
      <c r="J227" s="293"/>
      <c r="K227" s="293"/>
      <c r="L227" s="293"/>
      <c r="M227" s="293"/>
      <c r="N227" s="293"/>
      <c r="O227" s="293"/>
    </row>
    <row r="228" spans="1:15" x14ac:dyDescent="0.35">
      <c r="A228" s="293" t="s">
        <v>4</v>
      </c>
      <c r="B228" s="295" t="s">
        <v>147</v>
      </c>
      <c r="C228" s="292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3"/>
    </row>
    <row r="229" spans="1:15" x14ac:dyDescent="0.35">
      <c r="A229" s="293" t="s">
        <v>5</v>
      </c>
      <c r="B229" s="293" t="s">
        <v>6</v>
      </c>
      <c r="C229" s="292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293"/>
    </row>
    <row r="230" spans="1:15" x14ac:dyDescent="0.35">
      <c r="A230" s="293" t="s">
        <v>7</v>
      </c>
      <c r="B230" s="296">
        <v>1</v>
      </c>
      <c r="C230" s="292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</row>
    <row r="231" spans="1:15" x14ac:dyDescent="0.35">
      <c r="A231" s="293" t="s">
        <v>8</v>
      </c>
      <c r="B231" s="293" t="s">
        <v>9</v>
      </c>
      <c r="C231" s="292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</row>
    <row r="232" spans="1:15" x14ac:dyDescent="0.35">
      <c r="A232" s="293" t="s">
        <v>10</v>
      </c>
      <c r="B232" s="293" t="s">
        <v>10</v>
      </c>
      <c r="C232" s="292"/>
      <c r="D232" s="293"/>
      <c r="E232" s="293"/>
      <c r="F232" s="293"/>
      <c r="G232" s="293"/>
      <c r="H232" s="293"/>
      <c r="I232" s="293"/>
      <c r="J232" s="293"/>
      <c r="K232" s="293"/>
      <c r="L232" s="293"/>
      <c r="M232" s="293"/>
      <c r="N232" s="293"/>
      <c r="O232" s="293"/>
    </row>
    <row r="233" spans="1:15" x14ac:dyDescent="0.35">
      <c r="A233" s="291" t="s">
        <v>11</v>
      </c>
      <c r="B233" s="293"/>
      <c r="C233" s="292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</row>
    <row r="234" spans="1:15" x14ac:dyDescent="0.35">
      <c r="A234" s="297" t="s">
        <v>22</v>
      </c>
      <c r="B234" s="297" t="s">
        <v>23</v>
      </c>
      <c r="C234" s="292" t="s">
        <v>24</v>
      </c>
      <c r="D234" s="291" t="s">
        <v>12</v>
      </c>
      <c r="E234" s="291" t="s">
        <v>13</v>
      </c>
      <c r="F234" s="291" t="s">
        <v>10</v>
      </c>
      <c r="G234" s="291" t="s">
        <v>14</v>
      </c>
      <c r="H234" s="291" t="s">
        <v>5</v>
      </c>
      <c r="I234" s="291" t="s">
        <v>8</v>
      </c>
      <c r="J234" s="291" t="s">
        <v>15</v>
      </c>
      <c r="K234" s="291" t="s">
        <v>16</v>
      </c>
      <c r="L234" s="291" t="s">
        <v>17</v>
      </c>
      <c r="M234" s="291" t="s">
        <v>18</v>
      </c>
      <c r="N234" s="291" t="s">
        <v>19</v>
      </c>
      <c r="O234" s="291" t="s">
        <v>4</v>
      </c>
    </row>
    <row r="235" spans="1:15" x14ac:dyDescent="0.35">
      <c r="A235" s="298" t="s">
        <v>186</v>
      </c>
      <c r="B235" s="293"/>
      <c r="C235" s="299"/>
      <c r="D235" s="300" t="s">
        <v>147</v>
      </c>
      <c r="E235" s="301">
        <v>1</v>
      </c>
      <c r="F235" s="300" t="s">
        <v>10</v>
      </c>
      <c r="G235" s="300" t="s">
        <v>214</v>
      </c>
      <c r="H235" s="300" t="s">
        <v>6</v>
      </c>
      <c r="I235" s="300" t="s">
        <v>20</v>
      </c>
      <c r="J235" s="302"/>
      <c r="K235" s="302"/>
      <c r="L235" s="302"/>
      <c r="M235" s="302"/>
      <c r="N235" s="300"/>
      <c r="O235" s="293"/>
    </row>
    <row r="236" spans="1:15" ht="15" thickBot="1" x14ac:dyDescent="0.4">
      <c r="A236" s="303" t="s">
        <v>199</v>
      </c>
      <c r="B236" s="303" t="s">
        <v>179</v>
      </c>
      <c r="C236" s="303" t="s">
        <v>198</v>
      </c>
      <c r="D236" s="303" t="s">
        <v>119</v>
      </c>
      <c r="E236" s="304">
        <f>0.84/10/(3/A237)</f>
        <v>0.13999999999999999</v>
      </c>
      <c r="F236" s="303" t="s">
        <v>29</v>
      </c>
      <c r="G236" s="300" t="s">
        <v>213</v>
      </c>
      <c r="H236" s="303" t="s">
        <v>30</v>
      </c>
      <c r="I236" s="303" t="s">
        <v>25</v>
      </c>
      <c r="J236" s="303"/>
      <c r="K236" s="303"/>
      <c r="L236" s="303"/>
      <c r="M236" s="303"/>
      <c r="N236" s="303"/>
      <c r="O236" s="303"/>
    </row>
    <row r="237" spans="1:15" ht="15" thickBot="1" x14ac:dyDescent="0.4">
      <c r="A237" s="305">
        <v>5</v>
      </c>
      <c r="B237" s="303" t="s">
        <v>120</v>
      </c>
      <c r="C237" s="303" t="s">
        <v>121</v>
      </c>
      <c r="D237" s="303" t="s">
        <v>105</v>
      </c>
      <c r="E237" s="304">
        <f>-E236</f>
        <v>-0.13999999999999999</v>
      </c>
      <c r="F237" s="303" t="s">
        <v>21</v>
      </c>
      <c r="G237" s="300" t="s">
        <v>213</v>
      </c>
      <c r="H237" s="303" t="s">
        <v>30</v>
      </c>
      <c r="I237" s="303" t="s">
        <v>25</v>
      </c>
      <c r="J237" s="303"/>
      <c r="K237" s="303"/>
      <c r="L237" s="303"/>
      <c r="M237" s="303"/>
      <c r="N237" s="303"/>
      <c r="O237" s="303"/>
    </row>
    <row r="239" spans="1:15" x14ac:dyDescent="0.35">
      <c r="A239" s="56" t="s">
        <v>3</v>
      </c>
      <c r="B239" s="56" t="s">
        <v>133</v>
      </c>
      <c r="C239" s="57"/>
      <c r="D239" s="58"/>
      <c r="E239" s="58"/>
      <c r="F239" s="59"/>
      <c r="G239" s="58"/>
      <c r="H239" s="58"/>
      <c r="I239" s="58"/>
      <c r="J239" s="58"/>
      <c r="K239" s="58"/>
      <c r="L239" s="58"/>
      <c r="M239" s="58"/>
      <c r="N239" s="58"/>
      <c r="O239" s="58"/>
    </row>
    <row r="240" spans="1:15" x14ac:dyDescent="0.35">
      <c r="A240" s="58" t="s">
        <v>4</v>
      </c>
      <c r="B240" s="60" t="s">
        <v>133</v>
      </c>
      <c r="C240" s="57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</row>
    <row r="241" spans="1:15" x14ac:dyDescent="0.35">
      <c r="A241" s="58" t="s">
        <v>5</v>
      </c>
      <c r="B241" s="58" t="s">
        <v>6</v>
      </c>
      <c r="C241" s="57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</row>
    <row r="242" spans="1:15" x14ac:dyDescent="0.35">
      <c r="A242" s="58" t="s">
        <v>7</v>
      </c>
      <c r="B242" s="133">
        <v>1</v>
      </c>
      <c r="C242" s="57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</row>
    <row r="243" spans="1:15" x14ac:dyDescent="0.35">
      <c r="A243" s="58" t="s">
        <v>8</v>
      </c>
      <c r="B243" s="71" t="s">
        <v>9</v>
      </c>
      <c r="C243" s="57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</row>
    <row r="244" spans="1:15" x14ac:dyDescent="0.35">
      <c r="A244" s="58" t="s">
        <v>10</v>
      </c>
      <c r="B244" s="136" t="s">
        <v>10</v>
      </c>
      <c r="C244" s="57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</row>
    <row r="245" spans="1:15" x14ac:dyDescent="0.35">
      <c r="A245" s="56" t="s">
        <v>11</v>
      </c>
      <c r="B245" s="58"/>
      <c r="C245" s="57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</row>
    <row r="246" spans="1:15" x14ac:dyDescent="0.35">
      <c r="A246" s="61" t="s">
        <v>22</v>
      </c>
      <c r="B246" s="61" t="s">
        <v>23</v>
      </c>
      <c r="C246" s="57" t="s">
        <v>24</v>
      </c>
      <c r="D246" s="56" t="s">
        <v>12</v>
      </c>
      <c r="E246" s="56" t="s">
        <v>13</v>
      </c>
      <c r="F246" s="56" t="s">
        <v>10</v>
      </c>
      <c r="G246" s="56" t="s">
        <v>14</v>
      </c>
      <c r="H246" s="56" t="s">
        <v>5</v>
      </c>
      <c r="I246" s="56" t="s">
        <v>8</v>
      </c>
      <c r="J246" s="56" t="s">
        <v>15</v>
      </c>
      <c r="K246" s="56" t="s">
        <v>16</v>
      </c>
      <c r="L246" s="56" t="s">
        <v>17</v>
      </c>
      <c r="M246" s="56" t="s">
        <v>18</v>
      </c>
      <c r="N246" s="56" t="s">
        <v>19</v>
      </c>
      <c r="O246" s="56" t="s">
        <v>4</v>
      </c>
    </row>
    <row r="247" spans="1:15" x14ac:dyDescent="0.35">
      <c r="A247" s="72"/>
      <c r="B247" s="136" t="s">
        <v>195</v>
      </c>
      <c r="C247" s="270" t="s">
        <v>191</v>
      </c>
      <c r="D247" s="63" t="s">
        <v>133</v>
      </c>
      <c r="E247" s="122">
        <v>1</v>
      </c>
      <c r="F247" s="73" t="s">
        <v>10</v>
      </c>
      <c r="G247" s="63" t="s">
        <v>214</v>
      </c>
      <c r="H247" s="63" t="s">
        <v>6</v>
      </c>
      <c r="I247" s="63" t="s">
        <v>20</v>
      </c>
      <c r="J247" s="64"/>
      <c r="K247" s="64"/>
      <c r="L247" s="64"/>
      <c r="M247" s="64"/>
      <c r="N247" s="63"/>
      <c r="O247" s="58"/>
    </row>
    <row r="248" spans="1:15" x14ac:dyDescent="0.35">
      <c r="A248" s="72"/>
      <c r="B248" s="62"/>
      <c r="C248" s="65"/>
      <c r="D248" s="63" t="s">
        <v>86</v>
      </c>
      <c r="E248" s="122">
        <f>0.05+0.05</f>
        <v>0.1</v>
      </c>
      <c r="F248" s="63" t="s">
        <v>21</v>
      </c>
      <c r="G248" s="63" t="s">
        <v>213</v>
      </c>
      <c r="H248" s="63" t="s">
        <v>6</v>
      </c>
      <c r="I248" s="63" t="s">
        <v>25</v>
      </c>
      <c r="J248" s="56"/>
      <c r="K248" s="56"/>
      <c r="L248" s="56"/>
      <c r="M248" s="56"/>
      <c r="N248" s="58"/>
      <c r="O248" s="58"/>
    </row>
    <row r="249" spans="1:15" x14ac:dyDescent="0.35">
      <c r="A249" s="66"/>
      <c r="B249" s="66"/>
      <c r="C249" s="67"/>
      <c r="D249" s="66" t="s">
        <v>87</v>
      </c>
      <c r="E249" s="123">
        <v>0.05</v>
      </c>
      <c r="F249" s="66" t="s">
        <v>21</v>
      </c>
      <c r="G249" s="63" t="s">
        <v>213</v>
      </c>
      <c r="H249" s="66" t="s">
        <v>6</v>
      </c>
      <c r="I249" s="66" t="s">
        <v>25</v>
      </c>
      <c r="J249" s="66"/>
      <c r="K249" s="66"/>
      <c r="L249" s="66"/>
      <c r="M249" s="66"/>
      <c r="N249" s="66"/>
      <c r="O249" s="66"/>
    </row>
    <row r="250" spans="1:15" x14ac:dyDescent="0.35">
      <c r="A250" s="66"/>
      <c r="B250" s="66"/>
      <c r="C250" s="67" t="s">
        <v>192</v>
      </c>
      <c r="D250" s="66" t="s">
        <v>88</v>
      </c>
      <c r="E250" s="123">
        <f>0.055+0.025</f>
        <v>0.08</v>
      </c>
      <c r="F250" s="66" t="s">
        <v>21</v>
      </c>
      <c r="G250" s="63" t="s">
        <v>213</v>
      </c>
      <c r="H250" s="66" t="s">
        <v>6</v>
      </c>
      <c r="I250" s="66" t="s">
        <v>25</v>
      </c>
      <c r="J250" s="66"/>
      <c r="K250" s="66"/>
      <c r="L250" s="66"/>
      <c r="M250" s="66"/>
      <c r="N250" s="66"/>
      <c r="O250" s="66"/>
    </row>
    <row r="251" spans="1:15" x14ac:dyDescent="0.35">
      <c r="A251" s="66"/>
      <c r="B251" s="66"/>
      <c r="C251" s="67"/>
      <c r="D251" s="66" t="s">
        <v>89</v>
      </c>
      <c r="E251" s="123">
        <v>5.0000000000000001E-3</v>
      </c>
      <c r="F251" s="66" t="s">
        <v>21</v>
      </c>
      <c r="G251" s="63" t="s">
        <v>213</v>
      </c>
      <c r="H251" s="66" t="s">
        <v>26</v>
      </c>
      <c r="I251" s="66" t="s">
        <v>25</v>
      </c>
      <c r="J251" s="66"/>
      <c r="K251" s="66"/>
      <c r="L251" s="66"/>
      <c r="M251" s="66"/>
      <c r="N251" s="66"/>
      <c r="O251" s="66"/>
    </row>
    <row r="252" spans="1:15" x14ac:dyDescent="0.35">
      <c r="A252" s="66"/>
      <c r="B252" s="66"/>
      <c r="C252" s="67"/>
      <c r="D252" s="66" t="s">
        <v>90</v>
      </c>
      <c r="E252" s="123">
        <v>1.7999999999999999E-2</v>
      </c>
      <c r="F252" s="66" t="s">
        <v>21</v>
      </c>
      <c r="G252" s="63" t="s">
        <v>213</v>
      </c>
      <c r="H252" s="66" t="s">
        <v>6</v>
      </c>
      <c r="I252" s="66" t="s">
        <v>25</v>
      </c>
      <c r="J252" s="66"/>
      <c r="K252" s="66"/>
      <c r="L252" s="66"/>
      <c r="M252" s="66"/>
      <c r="N252" s="66"/>
      <c r="O252" s="66"/>
    </row>
    <row r="253" spans="1:15" x14ac:dyDescent="0.35">
      <c r="A253" s="66"/>
      <c r="B253" s="66"/>
      <c r="C253" s="67"/>
      <c r="D253" s="66" t="s">
        <v>91</v>
      </c>
      <c r="E253" s="123">
        <v>8.5000000000000006E-2</v>
      </c>
      <c r="F253" s="66" t="s">
        <v>21</v>
      </c>
      <c r="G253" s="63" t="s">
        <v>213</v>
      </c>
      <c r="H253" s="66" t="s">
        <v>6</v>
      </c>
      <c r="I253" s="66" t="s">
        <v>25</v>
      </c>
      <c r="J253" s="66"/>
      <c r="K253" s="66"/>
      <c r="L253" s="66"/>
      <c r="M253" s="66"/>
      <c r="N253" s="66"/>
      <c r="O253" s="66"/>
    </row>
    <row r="254" spans="1:15" x14ac:dyDescent="0.35">
      <c r="A254" s="66"/>
      <c r="B254" s="66"/>
      <c r="C254" s="67" t="s">
        <v>193</v>
      </c>
      <c r="D254" s="66" t="s">
        <v>92</v>
      </c>
      <c r="E254" s="123">
        <f>0.059+0.01</f>
        <v>6.8999999999999992E-2</v>
      </c>
      <c r="F254" s="66" t="s">
        <v>21</v>
      </c>
      <c r="G254" s="63" t="s">
        <v>213</v>
      </c>
      <c r="H254" s="66" t="s">
        <v>26</v>
      </c>
      <c r="I254" s="66" t="s">
        <v>25</v>
      </c>
      <c r="J254" s="66"/>
      <c r="K254" s="66"/>
      <c r="L254" s="66"/>
      <c r="M254" s="66"/>
      <c r="N254" s="66"/>
      <c r="O254" s="66"/>
    </row>
    <row r="255" spans="1:15" x14ac:dyDescent="0.35">
      <c r="A255" s="66"/>
      <c r="B255" s="66"/>
      <c r="C255" s="67"/>
      <c r="D255" s="66" t="s">
        <v>93</v>
      </c>
      <c r="E255" s="123">
        <v>8.9999999999999993E-3</v>
      </c>
      <c r="F255" s="66" t="s">
        <v>21</v>
      </c>
      <c r="G255" s="63" t="s">
        <v>213</v>
      </c>
      <c r="H255" s="66" t="s">
        <v>30</v>
      </c>
      <c r="I255" s="66" t="s">
        <v>25</v>
      </c>
      <c r="J255" s="66"/>
      <c r="K255" s="66"/>
      <c r="L255" s="66"/>
      <c r="M255" s="66"/>
      <c r="N255" s="66"/>
      <c r="O255" s="66"/>
    </row>
    <row r="256" spans="1:15" x14ac:dyDescent="0.35">
      <c r="A256" s="66"/>
      <c r="B256" s="66"/>
      <c r="C256" s="67"/>
      <c r="D256" s="66" t="s">
        <v>94</v>
      </c>
      <c r="E256" s="123">
        <v>5.0000000000000001E-3</v>
      </c>
      <c r="F256" s="66" t="s">
        <v>21</v>
      </c>
      <c r="G256" s="63" t="s">
        <v>213</v>
      </c>
      <c r="H256" s="66" t="s">
        <v>6</v>
      </c>
      <c r="I256" s="66" t="s">
        <v>25</v>
      </c>
      <c r="J256" s="66"/>
      <c r="K256" s="66"/>
      <c r="L256" s="66"/>
      <c r="M256" s="66"/>
      <c r="N256" s="66"/>
      <c r="O256" s="66"/>
    </row>
    <row r="257" spans="1:15" x14ac:dyDescent="0.35">
      <c r="A257" s="66"/>
      <c r="B257" s="66"/>
      <c r="C257" s="67"/>
      <c r="D257" s="66" t="s">
        <v>109</v>
      </c>
      <c r="E257" s="123">
        <v>5.0000000000000001E-3</v>
      </c>
      <c r="F257" s="66" t="s">
        <v>21</v>
      </c>
      <c r="G257" s="63" t="s">
        <v>213</v>
      </c>
      <c r="H257" s="66" t="s">
        <v>107</v>
      </c>
      <c r="I257" s="66" t="s">
        <v>25</v>
      </c>
      <c r="J257" s="66"/>
      <c r="K257" s="66"/>
      <c r="L257" s="66"/>
      <c r="M257" s="66"/>
      <c r="N257" s="66"/>
      <c r="O257" s="66"/>
    </row>
    <row r="258" spans="1:15" x14ac:dyDescent="0.35">
      <c r="A258" s="66"/>
      <c r="B258" s="66"/>
      <c r="C258" s="67"/>
      <c r="D258" s="66" t="s">
        <v>110</v>
      </c>
      <c r="E258" s="123">
        <v>0.01</v>
      </c>
      <c r="F258" s="66" t="s">
        <v>21</v>
      </c>
      <c r="G258" s="63" t="s">
        <v>213</v>
      </c>
      <c r="H258" s="66" t="s">
        <v>6</v>
      </c>
      <c r="I258" s="66" t="s">
        <v>25</v>
      </c>
      <c r="J258" s="66"/>
      <c r="K258" s="66"/>
      <c r="L258" s="66"/>
      <c r="M258" s="66"/>
      <c r="N258" s="66"/>
      <c r="O258" s="66"/>
    </row>
    <row r="259" spans="1:15" x14ac:dyDescent="0.35">
      <c r="A259" s="66"/>
      <c r="B259" s="66"/>
      <c r="C259" s="67"/>
      <c r="D259" s="66" t="s">
        <v>129</v>
      </c>
      <c r="E259" s="123">
        <v>5.0000000000000001E-3</v>
      </c>
      <c r="F259" s="66" t="s">
        <v>21</v>
      </c>
      <c r="G259" s="63" t="s">
        <v>213</v>
      </c>
      <c r="H259" s="66" t="s">
        <v>6</v>
      </c>
      <c r="I259" s="66" t="s">
        <v>25</v>
      </c>
      <c r="J259" s="66"/>
      <c r="K259" s="66"/>
      <c r="L259" s="66"/>
      <c r="M259" s="66"/>
      <c r="N259" s="66"/>
      <c r="O259" s="66"/>
    </row>
    <row r="260" spans="1:15" x14ac:dyDescent="0.35">
      <c r="A260" s="66"/>
      <c r="B260" s="66"/>
      <c r="C260" s="67"/>
      <c r="D260" s="66" t="s">
        <v>95</v>
      </c>
      <c r="E260" s="123">
        <v>5.0000000000000001E-3</v>
      </c>
      <c r="F260" s="66" t="s">
        <v>21</v>
      </c>
      <c r="G260" s="63" t="s">
        <v>213</v>
      </c>
      <c r="H260" s="66" t="s">
        <v>6</v>
      </c>
      <c r="I260" s="66" t="s">
        <v>25</v>
      </c>
      <c r="J260" s="66"/>
      <c r="K260" s="66"/>
      <c r="L260" s="66"/>
      <c r="M260" s="66"/>
      <c r="N260" s="66"/>
      <c r="O260" s="66"/>
    </row>
    <row r="261" spans="1:15" x14ac:dyDescent="0.35">
      <c r="A261" s="66"/>
      <c r="B261" s="66"/>
      <c r="C261" s="67"/>
      <c r="D261" s="66" t="s">
        <v>96</v>
      </c>
      <c r="E261" s="123">
        <v>5.0000000000000001E-3</v>
      </c>
      <c r="F261" s="66" t="s">
        <v>21</v>
      </c>
      <c r="G261" s="63" t="s">
        <v>213</v>
      </c>
      <c r="H261" s="66" t="s">
        <v>6</v>
      </c>
      <c r="I261" s="66" t="s">
        <v>25</v>
      </c>
      <c r="J261" s="66"/>
      <c r="K261" s="66"/>
      <c r="L261" s="66"/>
      <c r="M261" s="66"/>
      <c r="N261" s="66"/>
      <c r="O261" s="66"/>
    </row>
    <row r="262" spans="1:15" x14ac:dyDescent="0.35">
      <c r="A262" s="66"/>
      <c r="B262" s="66"/>
      <c r="C262" s="67"/>
      <c r="D262" s="66" t="s">
        <v>97</v>
      </c>
      <c r="E262" s="123">
        <v>5.0000000000000001E-3</v>
      </c>
      <c r="F262" s="66" t="s">
        <v>21</v>
      </c>
      <c r="G262" s="63" t="s">
        <v>213</v>
      </c>
      <c r="H262" s="66" t="s">
        <v>30</v>
      </c>
      <c r="I262" s="66" t="s">
        <v>25</v>
      </c>
      <c r="J262" s="66"/>
      <c r="K262" s="66"/>
      <c r="L262" s="66"/>
      <c r="M262" s="66"/>
      <c r="N262" s="66"/>
      <c r="O262" s="66"/>
    </row>
    <row r="263" spans="1:15" x14ac:dyDescent="0.35">
      <c r="A263" s="66"/>
      <c r="B263" s="66"/>
      <c r="C263" s="67"/>
      <c r="D263" s="66" t="s">
        <v>148</v>
      </c>
      <c r="E263" s="123">
        <f>0.9/3.6</f>
        <v>0.25</v>
      </c>
      <c r="F263" s="66" t="s">
        <v>28</v>
      </c>
      <c r="G263" s="63" t="s">
        <v>213</v>
      </c>
      <c r="H263" s="66" t="s">
        <v>6</v>
      </c>
      <c r="I263" s="66" t="s">
        <v>25</v>
      </c>
      <c r="J263" s="66"/>
      <c r="K263" s="66"/>
      <c r="L263" s="66"/>
      <c r="M263" s="66"/>
      <c r="N263" s="66"/>
      <c r="O263" s="66"/>
    </row>
    <row r="264" spans="1:15" x14ac:dyDescent="0.35">
      <c r="A264" s="66"/>
      <c r="B264" s="66"/>
      <c r="C264" s="67"/>
      <c r="D264" s="66" t="s">
        <v>98</v>
      </c>
      <c r="E264" s="123">
        <v>5</v>
      </c>
      <c r="F264" s="66" t="s">
        <v>27</v>
      </c>
      <c r="G264" s="63" t="s">
        <v>213</v>
      </c>
      <c r="H264" s="66" t="s">
        <v>6</v>
      </c>
      <c r="I264" s="66" t="s">
        <v>25</v>
      </c>
      <c r="J264" s="66"/>
      <c r="K264" s="66"/>
      <c r="L264" s="66"/>
      <c r="M264" s="66"/>
      <c r="N264" s="66"/>
      <c r="O264" s="66"/>
    </row>
    <row r="265" spans="1:15" x14ac:dyDescent="0.35">
      <c r="A265" s="66"/>
      <c r="B265" s="66"/>
      <c r="C265" s="67" t="s">
        <v>194</v>
      </c>
      <c r="D265" s="66" t="s">
        <v>108</v>
      </c>
      <c r="E265" s="123">
        <v>-0.5</v>
      </c>
      <c r="F265" s="66" t="s">
        <v>21</v>
      </c>
      <c r="G265" s="63" t="s">
        <v>213</v>
      </c>
      <c r="H265" s="66" t="s">
        <v>6</v>
      </c>
      <c r="I265" s="66" t="s">
        <v>25</v>
      </c>
      <c r="J265" s="66"/>
      <c r="K265" s="66"/>
      <c r="L265" s="66"/>
      <c r="M265" s="66"/>
      <c r="N265" s="66"/>
      <c r="O265" s="66"/>
    </row>
    <row r="267" spans="1:15" x14ac:dyDescent="0.35">
      <c r="A267" s="86" t="s">
        <v>3</v>
      </c>
      <c r="B267" s="86" t="s">
        <v>149</v>
      </c>
      <c r="C267" s="87"/>
      <c r="D267" s="88"/>
      <c r="E267" s="88"/>
      <c r="F267" s="89"/>
      <c r="G267" s="88"/>
      <c r="H267" s="88"/>
      <c r="I267" s="88"/>
      <c r="J267" s="88"/>
      <c r="K267" s="88"/>
      <c r="L267" s="88"/>
      <c r="M267" s="88"/>
      <c r="N267" s="88"/>
      <c r="O267" s="88"/>
    </row>
    <row r="268" spans="1:15" x14ac:dyDescent="0.35">
      <c r="A268" s="88" t="s">
        <v>4</v>
      </c>
      <c r="B268" s="143" t="s">
        <v>149</v>
      </c>
      <c r="C268" s="87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</row>
    <row r="269" spans="1:15" x14ac:dyDescent="0.35">
      <c r="A269" s="88" t="s">
        <v>5</v>
      </c>
      <c r="B269" s="90" t="s">
        <v>6</v>
      </c>
      <c r="C269" s="87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</row>
    <row r="270" spans="1:15" x14ac:dyDescent="0.35">
      <c r="A270" s="88" t="s">
        <v>7</v>
      </c>
      <c r="B270" s="134">
        <v>1</v>
      </c>
      <c r="C270" s="87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</row>
    <row r="271" spans="1:15" x14ac:dyDescent="0.35">
      <c r="A271" s="88" t="s">
        <v>8</v>
      </c>
      <c r="B271" s="90" t="s">
        <v>9</v>
      </c>
      <c r="C271" s="87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</row>
    <row r="272" spans="1:15" x14ac:dyDescent="0.35">
      <c r="A272" s="88" t="s">
        <v>10</v>
      </c>
      <c r="B272" s="91" t="s">
        <v>10</v>
      </c>
      <c r="C272" s="87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</row>
    <row r="273" spans="1:15" x14ac:dyDescent="0.35">
      <c r="A273" s="86" t="s">
        <v>11</v>
      </c>
      <c r="B273" s="88"/>
      <c r="C273" s="87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</row>
    <row r="274" spans="1:15" x14ac:dyDescent="0.35">
      <c r="A274" s="92" t="s">
        <v>22</v>
      </c>
      <c r="B274" s="92" t="s">
        <v>23</v>
      </c>
      <c r="C274" s="87" t="s">
        <v>24</v>
      </c>
      <c r="D274" s="86" t="s">
        <v>12</v>
      </c>
      <c r="E274" s="86" t="s">
        <v>13</v>
      </c>
      <c r="F274" s="86" t="s">
        <v>10</v>
      </c>
      <c r="G274" s="86" t="s">
        <v>14</v>
      </c>
      <c r="H274" s="86" t="s">
        <v>5</v>
      </c>
      <c r="I274" s="86" t="s">
        <v>8</v>
      </c>
      <c r="J274" s="86" t="s">
        <v>15</v>
      </c>
      <c r="K274" s="86" t="s">
        <v>16</v>
      </c>
      <c r="L274" s="86" t="s">
        <v>17</v>
      </c>
      <c r="M274" s="86" t="s">
        <v>18</v>
      </c>
      <c r="N274" s="86" t="s">
        <v>19</v>
      </c>
      <c r="O274" s="86" t="s">
        <v>4</v>
      </c>
    </row>
    <row r="275" spans="1:15" ht="15" thickBot="1" x14ac:dyDescent="0.4">
      <c r="A275" s="93" t="s">
        <v>151</v>
      </c>
      <c r="B275" s="141">
        <v>20</v>
      </c>
      <c r="C275" s="94" t="s">
        <v>152</v>
      </c>
      <c r="D275" s="93" t="s">
        <v>149</v>
      </c>
      <c r="E275" s="124">
        <v>1</v>
      </c>
      <c r="F275" s="93" t="s">
        <v>10</v>
      </c>
      <c r="G275" s="95" t="s">
        <v>214</v>
      </c>
      <c r="H275" s="93" t="s">
        <v>6</v>
      </c>
      <c r="I275" s="95" t="s">
        <v>20</v>
      </c>
      <c r="J275" s="96"/>
      <c r="K275" s="96"/>
      <c r="L275" s="96"/>
      <c r="M275" s="96"/>
      <c r="N275" s="95"/>
      <c r="O275" s="88"/>
    </row>
    <row r="276" spans="1:15" ht="15" thickBot="1" x14ac:dyDescent="0.4">
      <c r="A276" s="90" t="s">
        <v>153</v>
      </c>
      <c r="B276" s="306">
        <v>20</v>
      </c>
      <c r="C276" s="99" t="s">
        <v>154</v>
      </c>
      <c r="D276" s="93" t="s">
        <v>150</v>
      </c>
      <c r="E276" s="142">
        <f>(B276/150)*1/(B275)</f>
        <v>6.6666666666666662E-3</v>
      </c>
      <c r="F276" s="93" t="s">
        <v>10</v>
      </c>
      <c r="G276" s="95" t="s">
        <v>213</v>
      </c>
      <c r="H276" s="93" t="s">
        <v>6</v>
      </c>
      <c r="I276" s="95" t="s">
        <v>25</v>
      </c>
      <c r="J276" s="86"/>
      <c r="K276" s="86"/>
      <c r="L276" s="86"/>
      <c r="M276" s="86"/>
      <c r="N276" s="88"/>
      <c r="O276" s="88"/>
    </row>
    <row r="277" spans="1:15" x14ac:dyDescent="0.35">
      <c r="A277" s="97"/>
      <c r="B277" s="97"/>
      <c r="C277" s="98"/>
      <c r="D277" s="97" t="s">
        <v>155</v>
      </c>
      <c r="E277" s="125">
        <f>1/B275</f>
        <v>0.05</v>
      </c>
      <c r="F277" s="97" t="s">
        <v>10</v>
      </c>
      <c r="G277" s="95" t="s">
        <v>213</v>
      </c>
      <c r="H277" s="97" t="s">
        <v>6</v>
      </c>
      <c r="I277" s="97" t="s">
        <v>25</v>
      </c>
      <c r="J277" s="97"/>
      <c r="K277" s="97"/>
      <c r="L277" s="97"/>
      <c r="M277" s="97"/>
      <c r="N277" s="97"/>
      <c r="O277" s="97" t="s">
        <v>156</v>
      </c>
    </row>
    <row r="278" spans="1:15" x14ac:dyDescent="0.35">
      <c r="A278" s="3"/>
      <c r="B278" s="83"/>
      <c r="C278" s="83"/>
      <c r="D278" s="84"/>
      <c r="E278" s="82"/>
      <c r="F278" s="84"/>
      <c r="G278" s="82"/>
      <c r="H278" s="84"/>
      <c r="I278" s="82"/>
      <c r="J278" s="26"/>
      <c r="K278" s="26"/>
      <c r="L278" s="26"/>
      <c r="M278" s="26"/>
      <c r="N278" s="3"/>
      <c r="O278" s="3"/>
    </row>
    <row r="279" spans="1:15" x14ac:dyDescent="0.35">
      <c r="A279" s="103" t="s">
        <v>3</v>
      </c>
      <c r="B279" s="103" t="s">
        <v>143</v>
      </c>
      <c r="C279" s="331"/>
      <c r="D279" s="104"/>
      <c r="E279" s="104"/>
      <c r="F279" s="105"/>
      <c r="G279" s="104"/>
      <c r="H279" s="104"/>
      <c r="I279" s="104"/>
      <c r="J279" s="104"/>
      <c r="K279" s="104"/>
      <c r="L279" s="104"/>
      <c r="M279" s="104"/>
      <c r="N279" s="104"/>
      <c r="O279" s="104"/>
    </row>
    <row r="280" spans="1:15" x14ac:dyDescent="0.35">
      <c r="A280" s="104" t="s">
        <v>4</v>
      </c>
      <c r="B280" s="153" t="s">
        <v>143</v>
      </c>
      <c r="C280" s="331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</row>
    <row r="281" spans="1:15" x14ac:dyDescent="0.35">
      <c r="A281" s="104" t="s">
        <v>5</v>
      </c>
      <c r="B281" s="106" t="s">
        <v>6</v>
      </c>
      <c r="C281" s="331"/>
      <c r="D281" s="104"/>
      <c r="E281" s="106" t="s">
        <v>203</v>
      </c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</row>
    <row r="282" spans="1:15" x14ac:dyDescent="0.35">
      <c r="A282" s="104" t="s">
        <v>7</v>
      </c>
      <c r="B282" s="135">
        <v>1</v>
      </c>
      <c r="C282" s="331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</row>
    <row r="283" spans="1:15" x14ac:dyDescent="0.35">
      <c r="A283" s="104" t="s">
        <v>8</v>
      </c>
      <c r="B283" s="106" t="s">
        <v>9</v>
      </c>
      <c r="C283" s="331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</row>
    <row r="284" spans="1:15" x14ac:dyDescent="0.35">
      <c r="A284" s="104" t="s">
        <v>10</v>
      </c>
      <c r="B284" s="154" t="s">
        <v>10</v>
      </c>
      <c r="C284" s="331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</row>
    <row r="285" spans="1:15" x14ac:dyDescent="0.35">
      <c r="A285" s="103" t="s">
        <v>11</v>
      </c>
      <c r="B285" s="104"/>
      <c r="C285" s="331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</row>
    <row r="286" spans="1:15" x14ac:dyDescent="0.35">
      <c r="A286" s="332" t="s">
        <v>22</v>
      </c>
      <c r="B286" s="332" t="s">
        <v>23</v>
      </c>
      <c r="C286" s="331" t="s">
        <v>24</v>
      </c>
      <c r="D286" s="103" t="s">
        <v>12</v>
      </c>
      <c r="E286" s="103" t="s">
        <v>13</v>
      </c>
      <c r="F286" s="103" t="s">
        <v>10</v>
      </c>
      <c r="G286" s="103" t="s">
        <v>14</v>
      </c>
      <c r="H286" s="103" t="s">
        <v>5</v>
      </c>
      <c r="I286" s="103" t="s">
        <v>8</v>
      </c>
      <c r="J286" s="103" t="s">
        <v>15</v>
      </c>
      <c r="K286" s="103" t="s">
        <v>16</v>
      </c>
      <c r="L286" s="103" t="s">
        <v>17</v>
      </c>
      <c r="M286" s="103" t="s">
        <v>18</v>
      </c>
      <c r="N286" s="103" t="s">
        <v>19</v>
      </c>
      <c r="O286" s="103" t="s">
        <v>4</v>
      </c>
    </row>
    <row r="287" spans="1:15" x14ac:dyDescent="0.35">
      <c r="A287" s="154" t="s">
        <v>176</v>
      </c>
      <c r="B287" s="154" t="s">
        <v>123</v>
      </c>
      <c r="C287" s="107" t="s">
        <v>177</v>
      </c>
      <c r="D287" s="108" t="s">
        <v>143</v>
      </c>
      <c r="E287" s="126">
        <v>1</v>
      </c>
      <c r="F287" s="108" t="s">
        <v>10</v>
      </c>
      <c r="G287" s="108" t="s">
        <v>214</v>
      </c>
      <c r="H287" s="108" t="s">
        <v>6</v>
      </c>
      <c r="I287" s="109" t="s">
        <v>20</v>
      </c>
      <c r="J287" s="110"/>
      <c r="K287" s="110"/>
      <c r="L287" s="110"/>
      <c r="M287" s="110"/>
      <c r="N287" s="109"/>
      <c r="O287" s="104"/>
    </row>
    <row r="288" spans="1:15" x14ac:dyDescent="0.35">
      <c r="A288" s="154">
        <v>4.658894431158183</v>
      </c>
      <c r="B288" s="154" t="s">
        <v>207</v>
      </c>
      <c r="C288" s="107"/>
      <c r="D288" s="108" t="s">
        <v>139</v>
      </c>
      <c r="E288" s="333">
        <f>A288/E38</f>
        <v>5.6641165178063033E-3</v>
      </c>
      <c r="F288" s="108" t="s">
        <v>10</v>
      </c>
      <c r="G288" s="108" t="s">
        <v>214</v>
      </c>
      <c r="H288" s="108" t="s">
        <v>6</v>
      </c>
      <c r="I288" s="109" t="s">
        <v>25</v>
      </c>
      <c r="J288" s="103"/>
      <c r="K288" s="110"/>
      <c r="L288" s="110"/>
      <c r="M288" s="110"/>
      <c r="N288" s="109"/>
      <c r="O288" s="104"/>
    </row>
    <row r="289" spans="1:15" x14ac:dyDescent="0.35">
      <c r="A289" s="106">
        <v>5.6577540458857856</v>
      </c>
      <c r="B289" s="115" t="s">
        <v>208</v>
      </c>
      <c r="C289" s="112"/>
      <c r="D289" s="108" t="s">
        <v>209</v>
      </c>
      <c r="E289" s="126">
        <f>A289*3.6</f>
        <v>20.36791456518883</v>
      </c>
      <c r="F289" s="108" t="s">
        <v>210</v>
      </c>
      <c r="G289" s="109" t="s">
        <v>211</v>
      </c>
      <c r="H289" s="108" t="s">
        <v>30</v>
      </c>
      <c r="I289" s="109" t="s">
        <v>25</v>
      </c>
      <c r="J289" s="103"/>
      <c r="K289" s="103"/>
      <c r="L289" s="103"/>
      <c r="M289" s="103"/>
      <c r="N289" s="104"/>
      <c r="O289" s="104"/>
    </row>
    <row r="290" spans="1:15" x14ac:dyDescent="0.35">
      <c r="A290" s="113" t="s">
        <v>179</v>
      </c>
      <c r="B290" s="113" t="s">
        <v>178</v>
      </c>
      <c r="C290" s="114" t="s">
        <v>163</v>
      </c>
      <c r="D290" s="113" t="s">
        <v>76</v>
      </c>
      <c r="E290" s="334">
        <f>0.0349187353814617*3/50</f>
        <v>2.095124122887702E-3</v>
      </c>
      <c r="F290" s="113" t="s">
        <v>29</v>
      </c>
      <c r="G290" s="109" t="s">
        <v>211</v>
      </c>
      <c r="H290" s="113" t="s">
        <v>6</v>
      </c>
      <c r="I290" s="113" t="s">
        <v>25</v>
      </c>
      <c r="J290" s="113"/>
      <c r="K290" s="113"/>
      <c r="L290" s="113"/>
      <c r="M290" s="113"/>
      <c r="N290" s="113"/>
      <c r="O290" s="113"/>
    </row>
    <row r="291" spans="1:15" x14ac:dyDescent="0.35">
      <c r="A291" s="104"/>
      <c r="B291" s="115"/>
      <c r="C291" s="116"/>
      <c r="D291" s="108" t="s">
        <v>83</v>
      </c>
      <c r="E291" s="334">
        <v>3.3080907203490056E-4</v>
      </c>
      <c r="F291" s="108" t="s">
        <v>21</v>
      </c>
      <c r="G291" s="109" t="s">
        <v>211</v>
      </c>
      <c r="H291" s="108" t="s">
        <v>6</v>
      </c>
      <c r="I291" s="109" t="s">
        <v>25</v>
      </c>
      <c r="J291" s="103"/>
      <c r="K291" s="103"/>
      <c r="L291" s="103"/>
      <c r="M291" s="103"/>
      <c r="N291" s="104"/>
      <c r="O291" s="104"/>
    </row>
    <row r="292" spans="1:15" x14ac:dyDescent="0.35">
      <c r="A292" s="113"/>
      <c r="B292" s="113"/>
      <c r="C292" s="114"/>
      <c r="D292" s="113" t="s">
        <v>79</v>
      </c>
      <c r="E292" s="127">
        <f>1000*0.0380430432840136</f>
        <v>38.043043284013606</v>
      </c>
      <c r="F292" s="113" t="s">
        <v>21</v>
      </c>
      <c r="G292" s="109" t="s">
        <v>211</v>
      </c>
      <c r="H292" s="113" t="s">
        <v>6</v>
      </c>
      <c r="I292" s="113" t="s">
        <v>25</v>
      </c>
      <c r="J292" s="113"/>
      <c r="K292" s="113"/>
      <c r="L292" s="113"/>
      <c r="M292" s="113"/>
      <c r="N292" s="113"/>
      <c r="O292" s="113"/>
    </row>
    <row r="293" spans="1:15" x14ac:dyDescent="0.35">
      <c r="A293" s="113"/>
      <c r="B293" s="113"/>
      <c r="C293" s="114"/>
      <c r="D293" s="113" t="s">
        <v>111</v>
      </c>
      <c r="E293" s="127">
        <f>1000*0.000211350240466742</f>
        <v>0.211350240466742</v>
      </c>
      <c r="F293" s="113" t="s">
        <v>21</v>
      </c>
      <c r="G293" s="109" t="s">
        <v>211</v>
      </c>
      <c r="H293" s="113" t="s">
        <v>6</v>
      </c>
      <c r="I293" s="113" t="s">
        <v>25</v>
      </c>
      <c r="J293" s="113"/>
      <c r="K293" s="113"/>
      <c r="L293" s="113"/>
      <c r="M293" s="113"/>
      <c r="N293" s="113"/>
      <c r="O293" s="113"/>
    </row>
    <row r="294" spans="1:15" x14ac:dyDescent="0.35">
      <c r="A294" s="104"/>
      <c r="B294" s="111"/>
      <c r="C294" s="116"/>
      <c r="D294" s="113" t="s">
        <v>115</v>
      </c>
      <c r="E294" s="334">
        <v>1.7275584872933696E-3</v>
      </c>
      <c r="F294" s="113" t="s">
        <v>21</v>
      </c>
      <c r="G294" s="108" t="s">
        <v>211</v>
      </c>
      <c r="H294" s="113" t="s">
        <v>6</v>
      </c>
      <c r="I294" s="113" t="s">
        <v>25</v>
      </c>
      <c r="J294" s="113"/>
      <c r="K294" s="113"/>
      <c r="L294" s="103"/>
      <c r="M294" s="103"/>
      <c r="N294" s="104"/>
      <c r="O294" s="104"/>
    </row>
    <row r="295" spans="1:15" x14ac:dyDescent="0.35">
      <c r="A295" s="113" t="s">
        <v>180</v>
      </c>
      <c r="B295" s="113" t="s">
        <v>114</v>
      </c>
      <c r="C295" s="114"/>
      <c r="D295" s="113" t="s">
        <v>113</v>
      </c>
      <c r="E295" s="127">
        <f>0.004*1.74593676907309</f>
        <v>6.9837470762923607E-3</v>
      </c>
      <c r="F295" s="113" t="s">
        <v>21</v>
      </c>
      <c r="G295" s="108" t="s">
        <v>211</v>
      </c>
      <c r="H295" s="113" t="s">
        <v>6</v>
      </c>
      <c r="I295" s="113" t="s">
        <v>25</v>
      </c>
      <c r="J295" s="113"/>
      <c r="K295" s="113"/>
      <c r="L295" s="113"/>
      <c r="M295" s="113"/>
      <c r="N295" s="113"/>
      <c r="O295" s="113"/>
    </row>
    <row r="296" spans="1:15" x14ac:dyDescent="0.35">
      <c r="A296" s="113" t="s">
        <v>181</v>
      </c>
      <c r="B296" s="113" t="s">
        <v>183</v>
      </c>
      <c r="C296" s="114" t="s">
        <v>184</v>
      </c>
      <c r="D296" s="113" t="s">
        <v>91</v>
      </c>
      <c r="E296" s="127">
        <f>0.05*0.101999463877428</f>
        <v>5.0999731938714005E-3</v>
      </c>
      <c r="F296" s="113" t="s">
        <v>21</v>
      </c>
      <c r="G296" s="108" t="s">
        <v>211</v>
      </c>
      <c r="H296" s="113" t="s">
        <v>6</v>
      </c>
      <c r="I296" s="113" t="s">
        <v>25</v>
      </c>
      <c r="J296" s="113"/>
      <c r="K296" s="113"/>
      <c r="L296" s="113"/>
      <c r="M296" s="113"/>
      <c r="N296" s="113"/>
      <c r="O296" s="113"/>
    </row>
    <row r="297" spans="1:15" x14ac:dyDescent="0.35">
      <c r="A297" s="113" t="s">
        <v>182</v>
      </c>
      <c r="B297" s="113"/>
      <c r="C297" s="114"/>
      <c r="D297" s="113" t="s">
        <v>118</v>
      </c>
      <c r="E297" s="334">
        <v>3.1794427478909889E-3</v>
      </c>
      <c r="F297" s="113" t="s">
        <v>21</v>
      </c>
      <c r="G297" s="108" t="s">
        <v>211</v>
      </c>
      <c r="H297" s="113" t="s">
        <v>6</v>
      </c>
      <c r="I297" s="113" t="s">
        <v>25</v>
      </c>
      <c r="J297" s="113"/>
      <c r="K297" s="113"/>
      <c r="L297" s="113"/>
      <c r="M297" s="113"/>
      <c r="N297" s="113"/>
      <c r="O297" s="113" t="s">
        <v>126</v>
      </c>
    </row>
    <row r="298" spans="1:15" x14ac:dyDescent="0.35">
      <c r="A298" s="113"/>
      <c r="B298" s="113"/>
      <c r="C298" s="114"/>
      <c r="D298" s="113" t="s">
        <v>85</v>
      </c>
      <c r="E298" s="334">
        <v>2.6648508580589213E-4</v>
      </c>
      <c r="F298" s="113" t="s">
        <v>10</v>
      </c>
      <c r="G298" s="108" t="s">
        <v>211</v>
      </c>
      <c r="H298" s="113" t="s">
        <v>6</v>
      </c>
      <c r="I298" s="113" t="s">
        <v>25</v>
      </c>
      <c r="J298" s="113"/>
      <c r="K298" s="113"/>
      <c r="L298" s="113"/>
      <c r="M298" s="113"/>
      <c r="N298" s="113"/>
      <c r="O298" s="113"/>
    </row>
    <row r="299" spans="1:15" x14ac:dyDescent="0.35">
      <c r="A299" s="113"/>
      <c r="B299" s="113"/>
      <c r="C299" s="114"/>
      <c r="D299" s="113" t="s">
        <v>116</v>
      </c>
      <c r="E299" s="334">
        <v>7.0756384851909291E-4</v>
      </c>
      <c r="F299" s="113" t="s">
        <v>10</v>
      </c>
      <c r="G299" s="108" t="s">
        <v>211</v>
      </c>
      <c r="H299" s="113" t="s">
        <v>6</v>
      </c>
      <c r="I299" s="113" t="s">
        <v>25</v>
      </c>
      <c r="J299" s="113"/>
      <c r="K299" s="113"/>
      <c r="L299" s="113"/>
      <c r="M299" s="113"/>
      <c r="N299" s="113"/>
      <c r="O299" s="113"/>
    </row>
    <row r="300" spans="1:15" x14ac:dyDescent="0.35">
      <c r="A300" s="113"/>
      <c r="B300" s="113"/>
      <c r="C300" s="114"/>
      <c r="D300" s="113" t="s">
        <v>117</v>
      </c>
      <c r="E300" s="334">
        <v>1.0751294841134268E-3</v>
      </c>
      <c r="F300" s="113" t="s">
        <v>10</v>
      </c>
      <c r="G300" s="108" t="s">
        <v>211</v>
      </c>
      <c r="H300" s="113" t="s">
        <v>6</v>
      </c>
      <c r="I300" s="113" t="s">
        <v>25</v>
      </c>
      <c r="J300" s="113"/>
      <c r="K300" s="113"/>
      <c r="L300" s="113"/>
      <c r="M300" s="113"/>
      <c r="N300" s="113"/>
      <c r="O300" s="113"/>
    </row>
    <row r="301" spans="1:15" x14ac:dyDescent="0.35">
      <c r="A301" s="113"/>
      <c r="B301" s="113"/>
      <c r="C301" s="114"/>
      <c r="D301" s="113" t="s">
        <v>112</v>
      </c>
      <c r="E301" s="127">
        <v>1.6264779375049276E-2</v>
      </c>
      <c r="F301" s="113" t="s">
        <v>21</v>
      </c>
      <c r="G301" s="108" t="s">
        <v>211</v>
      </c>
      <c r="H301" s="113" t="s">
        <v>6</v>
      </c>
      <c r="I301" s="113" t="s">
        <v>25</v>
      </c>
      <c r="J301" s="113"/>
      <c r="K301" s="113"/>
      <c r="L301" s="113"/>
      <c r="M301" s="113"/>
      <c r="N301" s="113"/>
      <c r="O301" s="1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2023-02-08T13:18:26Z</dcterms:modified>
</cp:coreProperties>
</file>