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UCW Class\2nd Semester\OPMT 620\Assignments\"/>
    </mc:Choice>
  </mc:AlternateContent>
  <xr:revisionPtr revIDLastSave="0" documentId="13_ncr:1_{3E2BB040-D1DB-47F5-8107-81BCECBACC65}" xr6:coauthVersionLast="47" xr6:coauthVersionMax="47" xr10:uidLastSave="{00000000-0000-0000-0000-000000000000}"/>
  <bookViews>
    <workbookView xWindow="-96" yWindow="0" windowWidth="11712" windowHeight="12336" firstSheet="3" activeTab="3" xr2:uid="{4330DD87-6652-4CD1-882E-9C1007FD6529}"/>
  </bookViews>
  <sheets>
    <sheet name="Demand forecast 2022" sheetId="4" r:id="rId1"/>
    <sheet name="EOQ -Calgary WH" sheetId="1" r:id="rId2"/>
    <sheet name="Graph EOQ F" sheetId="5" r:id="rId3"/>
    <sheet name="EPQ -VAN WH" sheetId="2" r:id="rId4"/>
    <sheet name="Graph EPQ F" sheetId="6" r:id="rId5"/>
    <sheet name="Safety Stock " sheetId="3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4" l="1"/>
  <c r="J3" i="4"/>
  <c r="J4" i="4"/>
  <c r="J5" i="4"/>
  <c r="J6" i="4"/>
  <c r="J7" i="4"/>
  <c r="J8" i="4"/>
  <c r="J9" i="4"/>
  <c r="J10" i="4"/>
  <c r="J11" i="4"/>
  <c r="J12" i="4"/>
  <c r="J13" i="4"/>
  <c r="I2" i="4"/>
  <c r="I3" i="4"/>
  <c r="I4" i="4"/>
  <c r="I5" i="4"/>
  <c r="I6" i="4"/>
  <c r="I7" i="4"/>
  <c r="I8" i="4"/>
  <c r="I9" i="4"/>
  <c r="I10" i="4"/>
  <c r="I11" i="4"/>
  <c r="I12" i="4"/>
  <c r="I13" i="4"/>
  <c r="H2" i="4"/>
  <c r="H3" i="4"/>
  <c r="H4" i="4"/>
  <c r="H5" i="4"/>
  <c r="H6" i="4"/>
  <c r="H7" i="4"/>
  <c r="H8" i="4"/>
  <c r="H9" i="4"/>
  <c r="H10" i="4"/>
  <c r="H11" i="4"/>
  <c r="H12" i="4"/>
  <c r="H13" i="4"/>
  <c r="G2" i="4"/>
  <c r="G3" i="4"/>
  <c r="G4" i="4"/>
  <c r="G5" i="4"/>
  <c r="G6" i="4"/>
  <c r="G7" i="4"/>
  <c r="G8" i="4"/>
  <c r="G9" i="4"/>
  <c r="G10" i="4"/>
  <c r="G11" i="4"/>
  <c r="G12" i="4"/>
  <c r="G13" i="4"/>
  <c r="F2" i="4"/>
  <c r="F3" i="4"/>
  <c r="F4" i="4"/>
  <c r="F5" i="4"/>
  <c r="F6" i="4"/>
  <c r="F7" i="4"/>
  <c r="F8" i="4"/>
  <c r="F9" i="4"/>
  <c r="F10" i="4"/>
  <c r="F11" i="4"/>
  <c r="F12" i="4"/>
  <c r="F13" i="4"/>
  <c r="E2" i="4"/>
  <c r="E3" i="4"/>
  <c r="E4" i="4"/>
  <c r="E5" i="4"/>
  <c r="E6" i="4"/>
  <c r="E7" i="4"/>
  <c r="E8" i="4"/>
  <c r="E9" i="4"/>
  <c r="E10" i="4"/>
  <c r="E11" i="4"/>
  <c r="E12" i="4"/>
  <c r="E13" i="4"/>
  <c r="D2" i="4"/>
  <c r="D3" i="4"/>
  <c r="D4" i="4"/>
  <c r="D5" i="4"/>
  <c r="D6" i="4"/>
  <c r="D7" i="4"/>
  <c r="D8" i="4"/>
  <c r="D9" i="4"/>
  <c r="D10" i="4"/>
  <c r="D11" i="4"/>
  <c r="D12" i="4"/>
  <c r="D13" i="4"/>
  <c r="C2" i="4"/>
  <c r="C3" i="4"/>
  <c r="C4" i="4"/>
  <c r="C5" i="4"/>
  <c r="C6" i="4"/>
  <c r="C7" i="4"/>
  <c r="C8" i="4"/>
  <c r="C9" i="4"/>
  <c r="C10" i="4"/>
  <c r="C11" i="4"/>
  <c r="C12" i="4"/>
  <c r="C13" i="4"/>
  <c r="B2" i="4"/>
  <c r="B3" i="4"/>
  <c r="B4" i="4"/>
  <c r="B5" i="4"/>
  <c r="B6" i="4"/>
  <c r="B7" i="4"/>
  <c r="B8" i="4"/>
  <c r="B9" i="4"/>
  <c r="B10" i="4"/>
  <c r="B11" i="4"/>
  <c r="B12" i="4"/>
  <c r="B13" i="4"/>
  <c r="K14" i="4" l="1"/>
  <c r="D15" i="4"/>
  <c r="F14" i="4"/>
  <c r="D8" i="3" s="1"/>
  <c r="D21" i="3" s="1"/>
  <c r="H16" i="4"/>
  <c r="H17" i="4" s="1"/>
  <c r="B9" i="3" s="1"/>
  <c r="F16" i="4"/>
  <c r="F17" i="4" s="1"/>
  <c r="D9" i="3" s="1"/>
  <c r="D16" i="4"/>
  <c r="D17" i="4" s="1"/>
  <c r="J16" i="4"/>
  <c r="J17" i="4" s="1"/>
  <c r="C9" i="3" s="1"/>
  <c r="I16" i="4"/>
  <c r="I17" i="4" s="1"/>
  <c r="E9" i="3" s="1"/>
  <c r="G16" i="4"/>
  <c r="G17" i="4" s="1"/>
  <c r="G9" i="3" s="1"/>
  <c r="E16" i="4"/>
  <c r="E17" i="4" s="1"/>
  <c r="F9" i="3" s="1"/>
  <c r="B16" i="4"/>
  <c r="B17" i="4" s="1"/>
  <c r="G20" i="3"/>
  <c r="F20" i="3"/>
  <c r="E20" i="3"/>
  <c r="D20" i="3"/>
  <c r="C20" i="3"/>
  <c r="B20" i="3"/>
  <c r="G19" i="3"/>
  <c r="F19" i="3"/>
  <c r="E19" i="3"/>
  <c r="D19" i="3"/>
  <c r="C19" i="3"/>
  <c r="B19" i="3"/>
  <c r="G18" i="3"/>
  <c r="F18" i="3"/>
  <c r="E18" i="3"/>
  <c r="D18" i="3"/>
  <c r="C18" i="3"/>
  <c r="B18" i="3"/>
  <c r="B14" i="2"/>
  <c r="B32" i="1"/>
  <c r="B33" i="1" s="1"/>
  <c r="F15" i="4" l="1"/>
  <c r="H15" i="4"/>
  <c r="E14" i="4"/>
  <c r="F8" i="3" s="1"/>
  <c r="F21" i="3" s="1"/>
  <c r="C15" i="4"/>
  <c r="C14" i="4"/>
  <c r="B11" i="2" s="1"/>
  <c r="B15" i="2" s="1"/>
  <c r="B18" i="2" s="1"/>
  <c r="C29" i="2" s="1"/>
  <c r="D14" i="4"/>
  <c r="B11" i="1" s="1"/>
  <c r="B14" i="1" s="1"/>
  <c r="B27" i="1" s="1"/>
  <c r="G22" i="3"/>
  <c r="G25" i="3" s="1"/>
  <c r="D22" i="3"/>
  <c r="D23" i="3" s="1"/>
  <c r="D26" i="3" s="1"/>
  <c r="G14" i="4"/>
  <c r="G8" i="3" s="1"/>
  <c r="G21" i="3" s="1"/>
  <c r="E15" i="4"/>
  <c r="H14" i="4"/>
  <c r="B8" i="3" s="1"/>
  <c r="B21" i="3" s="1"/>
  <c r="I14" i="4"/>
  <c r="E8" i="3" s="1"/>
  <c r="E21" i="3" s="1"/>
  <c r="G15" i="4"/>
  <c r="B14" i="4"/>
  <c r="J14" i="4"/>
  <c r="C8" i="3" s="1"/>
  <c r="C21" i="3" s="1"/>
  <c r="C16" i="4"/>
  <c r="C17" i="4" s="1"/>
  <c r="I15" i="4"/>
  <c r="B15" i="4"/>
  <c r="J15" i="4"/>
  <c r="B34" i="1"/>
  <c r="D33" i="1"/>
  <c r="D32" i="1"/>
  <c r="B22" i="3" l="1"/>
  <c r="B24" i="3" s="1"/>
  <c r="C34" i="1"/>
  <c r="C33" i="1"/>
  <c r="B21" i="2"/>
  <c r="B24" i="2" s="1"/>
  <c r="C22" i="3"/>
  <c r="C23" i="3" s="1"/>
  <c r="C26" i="3" s="1"/>
  <c r="C32" i="1"/>
  <c r="E22" i="3"/>
  <c r="E23" i="3" s="1"/>
  <c r="E26" i="3" s="1"/>
  <c r="B18" i="1"/>
  <c r="B21" i="1" s="1"/>
  <c r="B24" i="1" s="1"/>
  <c r="B32" i="2"/>
  <c r="C32" i="2" s="1"/>
  <c r="B19" i="2"/>
  <c r="B20" i="2" s="1"/>
  <c r="B23" i="2" s="1"/>
  <c r="E29" i="2"/>
  <c r="D25" i="3"/>
  <c r="F22" i="3"/>
  <c r="B25" i="3"/>
  <c r="B23" i="3"/>
  <c r="B26" i="3" s="1"/>
  <c r="G24" i="3"/>
  <c r="G23" i="3"/>
  <c r="G26" i="3" s="1"/>
  <c r="D24" i="3"/>
  <c r="B35" i="1"/>
  <c r="D34" i="1"/>
  <c r="E34" i="1" s="1"/>
  <c r="E33" i="1"/>
  <c r="E32" i="1"/>
  <c r="B27" i="2" l="1"/>
  <c r="C25" i="3"/>
  <c r="C24" i="3"/>
  <c r="E24" i="3"/>
  <c r="B33" i="2"/>
  <c r="D32" i="2"/>
  <c r="E32" i="2" s="1"/>
  <c r="E25" i="3"/>
  <c r="F24" i="3"/>
  <c r="F23" i="3"/>
  <c r="F26" i="3" s="1"/>
  <c r="F25" i="3"/>
  <c r="B19" i="1"/>
  <c r="B20" i="1"/>
  <c r="B23" i="1" s="1"/>
  <c r="B26" i="1" s="1"/>
  <c r="D33" i="2"/>
  <c r="B34" i="2"/>
  <c r="C33" i="2"/>
  <c r="B36" i="1"/>
  <c r="D35" i="1"/>
  <c r="C35" i="1"/>
  <c r="E33" i="2" l="1"/>
  <c r="B35" i="2"/>
  <c r="D34" i="2"/>
  <c r="C34" i="2"/>
  <c r="E34" i="2" s="1"/>
  <c r="B37" i="1"/>
  <c r="D36" i="1"/>
  <c r="C36" i="1"/>
  <c r="E35" i="1"/>
  <c r="D35" i="2" l="1"/>
  <c r="B36" i="2"/>
  <c r="C35" i="2"/>
  <c r="E35" i="2" s="1"/>
  <c r="E36" i="1"/>
  <c r="B38" i="1"/>
  <c r="D37" i="1"/>
  <c r="C37" i="1"/>
  <c r="E37" i="1" s="1"/>
  <c r="D36" i="2" l="1"/>
  <c r="B37" i="2"/>
  <c r="C36" i="2"/>
  <c r="B39" i="1"/>
  <c r="D38" i="1"/>
  <c r="C38" i="1"/>
  <c r="E36" i="2" l="1"/>
  <c r="D37" i="2"/>
  <c r="B38" i="2"/>
  <c r="C37" i="2"/>
  <c r="E38" i="1"/>
  <c r="B40" i="1"/>
  <c r="D39" i="1"/>
  <c r="C39" i="1"/>
  <c r="E39" i="1" s="1"/>
  <c r="E37" i="2" l="1"/>
  <c r="D38" i="2"/>
  <c r="B39" i="2"/>
  <c r="C38" i="2"/>
  <c r="B41" i="1"/>
  <c r="D40" i="1"/>
  <c r="C40" i="1"/>
  <c r="E38" i="2" l="1"/>
  <c r="D39" i="2"/>
  <c r="B40" i="2"/>
  <c r="C39" i="2"/>
  <c r="E40" i="1"/>
  <c r="B42" i="1"/>
  <c r="D41" i="1"/>
  <c r="C41" i="1"/>
  <c r="E41" i="1" s="1"/>
  <c r="E39" i="2" l="1"/>
  <c r="B41" i="2"/>
  <c r="D40" i="2"/>
  <c r="C40" i="2"/>
  <c r="B43" i="1"/>
  <c r="D42" i="1"/>
  <c r="C42" i="1"/>
  <c r="E42" i="1" s="1"/>
  <c r="E40" i="2" l="1"/>
  <c r="D41" i="2"/>
  <c r="B42" i="2"/>
  <c r="C41" i="2"/>
  <c r="B44" i="1"/>
  <c r="D43" i="1"/>
  <c r="C43" i="1"/>
  <c r="E43" i="1" s="1"/>
  <c r="E41" i="2" l="1"/>
  <c r="D42" i="2"/>
  <c r="B43" i="2"/>
  <c r="C42" i="2"/>
  <c r="E42" i="2" s="1"/>
  <c r="B45" i="1"/>
  <c r="D44" i="1"/>
  <c r="C44" i="1"/>
  <c r="E44" i="1" s="1"/>
  <c r="D43" i="2" l="1"/>
  <c r="B44" i="2"/>
  <c r="C43" i="2"/>
  <c r="B46" i="1"/>
  <c r="D45" i="1"/>
  <c r="C45" i="1"/>
  <c r="E45" i="1" s="1"/>
  <c r="E43" i="2" l="1"/>
  <c r="B45" i="2"/>
  <c r="D44" i="2"/>
  <c r="C44" i="2"/>
  <c r="E44" i="2" s="1"/>
  <c r="B47" i="1"/>
  <c r="D46" i="1"/>
  <c r="C46" i="1"/>
  <c r="E46" i="1" s="1"/>
  <c r="D45" i="2" l="1"/>
  <c r="B46" i="2"/>
  <c r="C45" i="2"/>
  <c r="B48" i="1"/>
  <c r="D47" i="1"/>
  <c r="C47" i="1"/>
  <c r="E47" i="1" s="1"/>
  <c r="E45" i="2" l="1"/>
  <c r="D46" i="2"/>
  <c r="B47" i="2"/>
  <c r="C46" i="2"/>
  <c r="B49" i="1"/>
  <c r="D48" i="1"/>
  <c r="C48" i="1"/>
  <c r="E48" i="1" s="1"/>
  <c r="E46" i="2" l="1"/>
  <c r="D47" i="2"/>
  <c r="B48" i="2"/>
  <c r="C47" i="2"/>
  <c r="B50" i="1"/>
  <c r="D49" i="1"/>
  <c r="C49" i="1"/>
  <c r="E49" i="1" s="1"/>
  <c r="E47" i="2" l="1"/>
  <c r="D48" i="2"/>
  <c r="B49" i="2"/>
  <c r="C48" i="2"/>
  <c r="B51" i="1"/>
  <c r="D50" i="1"/>
  <c r="C50" i="1"/>
  <c r="E50" i="1" s="1"/>
  <c r="E48" i="2" l="1"/>
  <c r="D49" i="2"/>
  <c r="B50" i="2"/>
  <c r="C49" i="2"/>
  <c r="B52" i="1"/>
  <c r="D51" i="1"/>
  <c r="C51" i="1"/>
  <c r="E51" i="1" s="1"/>
  <c r="E49" i="2" l="1"/>
  <c r="B51" i="2"/>
  <c r="D50" i="2"/>
  <c r="C50" i="2"/>
  <c r="B53" i="1"/>
  <c r="D52" i="1"/>
  <c r="C52" i="1"/>
  <c r="E52" i="1" s="1"/>
  <c r="E50" i="2" l="1"/>
  <c r="D51" i="2"/>
  <c r="B52" i="2"/>
  <c r="C51" i="2"/>
  <c r="B54" i="1"/>
  <c r="D53" i="1"/>
  <c r="C53" i="1"/>
  <c r="E53" i="1" s="1"/>
  <c r="E51" i="2" l="1"/>
  <c r="D52" i="2"/>
  <c r="B53" i="2"/>
  <c r="C52" i="2"/>
  <c r="B55" i="1"/>
  <c r="D54" i="1"/>
  <c r="C54" i="1"/>
  <c r="E54" i="1" s="1"/>
  <c r="E52" i="2" l="1"/>
  <c r="D53" i="2"/>
  <c r="B54" i="2"/>
  <c r="C53" i="2"/>
  <c r="D55" i="1"/>
  <c r="C55" i="1"/>
  <c r="E55" i="1" s="1"/>
  <c r="E53" i="2" l="1"/>
  <c r="B55" i="2"/>
  <c r="D54" i="2"/>
  <c r="C54" i="2"/>
  <c r="E54" i="2" s="1"/>
  <c r="D55" i="2" l="1"/>
  <c r="C55" i="2"/>
  <c r="E55" i="2" l="1"/>
</calcChain>
</file>

<file path=xl/sharedStrings.xml><?xml version="1.0" encoding="utf-8"?>
<sst xmlns="http://schemas.openxmlformats.org/spreadsheetml/2006/main" count="106" uniqueCount="81">
  <si>
    <t>Economic Ordering Quantity</t>
  </si>
  <si>
    <t>Inventory</t>
  </si>
  <si>
    <t>Economic Order Quantity Model</t>
  </si>
  <si>
    <t>Data</t>
  </si>
  <si>
    <t>Annual demand, D</t>
  </si>
  <si>
    <t>Setup/order cost, f</t>
  </si>
  <si>
    <t>Holding cost, c</t>
  </si>
  <si>
    <t>(fixed amount)</t>
  </si>
  <si>
    <t>Daily demand rate, d</t>
  </si>
  <si>
    <t>Lead time in days, L</t>
  </si>
  <si>
    <t>Results</t>
  </si>
  <si>
    <t>Optimal Order Quantity, q*</t>
  </si>
  <si>
    <t>Maximum Inventory</t>
  </si>
  <si>
    <t>Average Inventory</t>
  </si>
  <si>
    <t>Number of Orders</t>
  </si>
  <si>
    <t>Holding cost</t>
  </si>
  <si>
    <t>Setup cost</t>
  </si>
  <si>
    <r>
      <t>Total cost, T</t>
    </r>
    <r>
      <rPr>
        <b/>
        <vertAlign val="subscript"/>
        <sz val="10"/>
        <color rgb="FF3F3F3F"/>
        <rFont val="Arial"/>
        <family val="2"/>
      </rPr>
      <t>c</t>
    </r>
  </si>
  <si>
    <t>Reorder Point</t>
  </si>
  <si>
    <t>COST TABLE</t>
  </si>
  <si>
    <t>Start at</t>
  </si>
  <si>
    <t>Increment by</t>
  </si>
  <si>
    <t>Total cost</t>
  </si>
  <si>
    <t xml:space="preserve"> Economic Production Quantity (Fixed)</t>
  </si>
  <si>
    <t>Production Order Quantity Model</t>
  </si>
  <si>
    <t>Setup cost, f</t>
  </si>
  <si>
    <t>Daily production rate, r</t>
  </si>
  <si>
    <t>Optimal production quantity, Q*</t>
  </si>
  <si>
    <t>Number of Setups</t>
  </si>
  <si>
    <t>Safety Stock</t>
  </si>
  <si>
    <t>forecastdd/260days</t>
  </si>
  <si>
    <t>Distribution centre</t>
  </si>
  <si>
    <t>Kamloops</t>
  </si>
  <si>
    <t xml:space="preserve">Average daily demand </t>
  </si>
  <si>
    <t>Standard deviation of daily demand</t>
  </si>
  <si>
    <t>Enter 0 if demand is constant</t>
  </si>
  <si>
    <t>Average lead time (in days)</t>
  </si>
  <si>
    <r>
      <t xml:space="preserve">Standard deviation of lead time, </t>
    </r>
    <r>
      <rPr>
        <sz val="10"/>
        <rFont val="Arial"/>
        <family val="2"/>
      </rPr>
      <t>σ</t>
    </r>
    <r>
      <rPr>
        <vertAlign val="subscript"/>
        <sz val="10"/>
        <rFont val="Arial"/>
        <family val="2"/>
      </rPr>
      <t>LT</t>
    </r>
  </si>
  <si>
    <t>Enter 0 if lead time is constant</t>
  </si>
  <si>
    <t>Service level (% of demand met)</t>
  </si>
  <si>
    <t>Z-value@90%</t>
  </si>
  <si>
    <t>Z-value@95%</t>
  </si>
  <si>
    <t>Z-value@99%</t>
  </si>
  <si>
    <t>Average demand during lead time</t>
  </si>
  <si>
    <r>
      <t>Standard deviation of demand during lead time, σ</t>
    </r>
    <r>
      <rPr>
        <b/>
        <vertAlign val="subscript"/>
        <sz val="10"/>
        <rFont val="Arial"/>
        <family val="2"/>
      </rPr>
      <t>dLT</t>
    </r>
  </si>
  <si>
    <t>Safety stock@90%</t>
  </si>
  <si>
    <t>Safety stock@95%</t>
  </si>
  <si>
    <t>Safety stock@99%</t>
  </si>
  <si>
    <t>Reorder point</t>
  </si>
  <si>
    <t>YEARS/ LOCATION</t>
  </si>
  <si>
    <t>FACTORY</t>
  </si>
  <si>
    <t>VAN WH</t>
  </si>
  <si>
    <t>CALGARY WH</t>
  </si>
  <si>
    <t>CALGARY DC</t>
  </si>
  <si>
    <t>VANCOUVER DC</t>
  </si>
  <si>
    <t>SUM</t>
  </si>
  <si>
    <t>AVERAGE</t>
  </si>
  <si>
    <t>STANDARD DEVIATION</t>
  </si>
  <si>
    <t>Standard deviation of daily demand(boxes)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</si>
  <si>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</si>
  <si>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</si>
  <si>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</si>
  <si>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</si>
  <si>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</si>
  <si>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</si>
  <si>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</si>
  <si>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</si>
  <si>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</si>
  <si>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</si>
  <si>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</si>
  <si>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</si>
  <si>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EDMONTON DC</t>
  </si>
  <si>
    <t>KAMLOOPS DC</t>
  </si>
  <si>
    <t>REGINA DC</t>
  </si>
  <si>
    <t>VICTORIA DC</t>
  </si>
  <si>
    <t>Order Quantity (Q)</t>
  </si>
  <si>
    <t>Victoria</t>
  </si>
  <si>
    <t>Vancouver</t>
  </si>
  <si>
    <t>Calgary</t>
  </si>
  <si>
    <t>Edmonton</t>
  </si>
  <si>
    <t>Regina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</si>
</sst>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/d/yy"/>
    <numFmt numFmtId="166" formatCode="_-* #,##0_-;\-* #,##0_-;_-* &quot;-&quot;??_-;_-@_-"/>
    <numFmt numFmtId="167" formatCode="_-* #,##0.00_-;\-* #,##0.0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b/>
      <sz val="14"/>
      <color rgb="FF800000"/>
      <name val="Arial"/>
      <family val="2"/>
    </font>
    <font>
      <b/>
      <sz val="12"/>
      <color rgb="FF1F497D"/>
      <name val="Arial"/>
      <family val="2"/>
    </font>
    <font>
      <sz val="10"/>
      <color rgb="FF0000FF"/>
      <name val="Arial"/>
      <family val="2"/>
    </font>
    <font>
      <b/>
      <sz val="10"/>
      <color rgb="FFFF6600"/>
      <name val="Arial"/>
      <family val="2"/>
    </font>
    <font>
      <b/>
      <sz val="10"/>
      <color rgb="FF3F3F3F"/>
      <name val="Arial"/>
      <family val="2"/>
    </font>
    <font>
      <b/>
      <vertAlign val="subscript"/>
      <sz val="10"/>
      <color rgb="FF3F3F3F"/>
      <name val="Arial"/>
      <family val="2"/>
    </font>
    <font>
      <sz val="10"/>
      <color indexed="12"/>
      <name val="Arial"/>
      <family val="2"/>
    </font>
    <font>
      <b/>
      <sz val="10"/>
      <color indexed="53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vertAlign val="subscript"/>
      <sz val="10"/>
      <name val="Arial"/>
      <family val="2"/>
    </font>
    <font>
      <sz val="10"/>
      <color rgb="FFFF0000"/>
      <name val="Arial"/>
      <family val="2"/>
    </font>
    <font>
      <b/>
      <sz val="10"/>
      <color indexed="63"/>
      <name val="Arial"/>
      <family val="2"/>
    </font>
    <font>
      <u/>
      <sz val="10"/>
      <color theme="10"/>
      <name val="Arial"/>
      <family val="2"/>
    </font>
    <font>
      <b/>
      <vertAlign val="subscript"/>
      <sz val="1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167" fontId="1" fillId="0" borderId="0" applyFont="0" applyFill="0" applyBorder="0" applyAlignment="0" applyProtection="0"/>
  </cellStyleXfs>
  <cellXfs count="55">
    <xf numFmtId="0" fontId="0" fillId="0" borderId="0" xfId="0"/>
    <xf numFmtId="0" fontId="4" fillId="0" borderId="0" xfId="1" applyFont="1"/>
    <xf numFmtId="0" fontId="3" fillId="0" borderId="0" xfId="1"/>
    <xf numFmtId="164" fontId="4" fillId="0" borderId="0" xfId="1" applyNumberFormat="1" applyFont="1"/>
    <xf numFmtId="0" fontId="5" fillId="0" borderId="0" xfId="1" applyFont="1"/>
    <xf numFmtId="0" fontId="6" fillId="0" borderId="0" xfId="1" applyFont="1"/>
    <xf numFmtId="0" fontId="7" fillId="0" borderId="0" xfId="1" applyFont="1"/>
    <xf numFmtId="0" fontId="8" fillId="0" borderId="0" xfId="1" applyFont="1"/>
    <xf numFmtId="0" fontId="3" fillId="0" borderId="1" xfId="1" applyBorder="1"/>
    <xf numFmtId="1" fontId="3" fillId="2" borderId="2" xfId="1" applyNumberFormat="1" applyFill="1" applyBorder="1"/>
    <xf numFmtId="0" fontId="3" fillId="0" borderId="3" xfId="1" applyBorder="1"/>
    <xf numFmtId="0" fontId="3" fillId="2" borderId="4" xfId="1" applyFill="1" applyBorder="1"/>
    <xf numFmtId="1" fontId="3" fillId="2" borderId="4" xfId="1" applyNumberFormat="1" applyFill="1" applyBorder="1"/>
    <xf numFmtId="0" fontId="3" fillId="0" borderId="5" xfId="1" applyBorder="1"/>
    <xf numFmtId="0" fontId="3" fillId="2" borderId="6" xfId="1" applyFill="1" applyBorder="1"/>
    <xf numFmtId="0" fontId="9" fillId="0" borderId="0" xfId="1" applyFont="1"/>
    <xf numFmtId="0" fontId="9" fillId="3" borderId="7" xfId="1" applyFont="1" applyFill="1" applyBorder="1"/>
    <xf numFmtId="0" fontId="9" fillId="3" borderId="9" xfId="1" applyFont="1" applyFill="1" applyBorder="1"/>
    <xf numFmtId="0" fontId="9" fillId="3" borderId="11" xfId="1" applyFont="1" applyFill="1" applyBorder="1"/>
    <xf numFmtId="0" fontId="3" fillId="2" borderId="13" xfId="1" applyFill="1" applyBorder="1"/>
    <xf numFmtId="0" fontId="5" fillId="0" borderId="0" xfId="2" applyFont="1"/>
    <xf numFmtId="0" fontId="3" fillId="0" borderId="0" xfId="2"/>
    <xf numFmtId="0" fontId="11" fillId="0" borderId="0" xfId="2" applyFont="1"/>
    <xf numFmtId="0" fontId="12" fillId="0" borderId="0" xfId="2" applyFont="1"/>
    <xf numFmtId="0" fontId="3" fillId="0" borderId="13" xfId="2" applyBorder="1"/>
    <xf numFmtId="1" fontId="3" fillId="5" borderId="13" xfId="2" applyNumberFormat="1" applyFill="1" applyBorder="1"/>
    <xf numFmtId="166" fontId="13" fillId="5" borderId="13" xfId="3" applyNumberFormat="1" applyFont="1" applyFill="1" applyBorder="1"/>
    <xf numFmtId="0" fontId="3" fillId="2" borderId="13" xfId="2" applyFill="1" applyBorder="1"/>
    <xf numFmtId="0" fontId="3" fillId="0" borderId="11" xfId="2" applyBorder="1"/>
    <xf numFmtId="10" fontId="3" fillId="2" borderId="13" xfId="2" applyNumberFormat="1" applyFill="1" applyBorder="1"/>
    <xf numFmtId="0" fontId="16" fillId="0" borderId="0" xfId="2" applyFont="1"/>
    <xf numFmtId="0" fontId="17" fillId="0" borderId="0" xfId="2" applyFont="1"/>
    <xf numFmtId="0" fontId="18" fillId="6" borderId="14" xfId="4" applyFill="1" applyBorder="1"/>
    <xf numFmtId="0" fontId="17" fillId="6" borderId="16" xfId="2" applyFont="1" applyFill="1" applyBorder="1"/>
    <xf numFmtId="0" fontId="14" fillId="6" borderId="18" xfId="2" applyFont="1" applyFill="1" applyBorder="1"/>
    <xf numFmtId="0" fontId="14" fillId="6" borderId="19" xfId="2" applyFont="1" applyFill="1" applyBorder="1"/>
    <xf numFmtId="0" fontId="2" fillId="0" borderId="0" xfId="0" applyFont="1"/>
    <xf numFmtId="167" fontId="0" fillId="0" borderId="0" xfId="5" applyFont="1"/>
    <xf numFmtId="167" fontId="2" fillId="0" borderId="0" xfId="0" applyNumberFormat="1" applyFont="1"/>
    <xf numFmtId="166" fontId="0" fillId="0" borderId="0" xfId="5" applyNumberFormat="1" applyFont="1"/>
    <xf numFmtId="0" fontId="14" fillId="4" borderId="13" xfId="2" applyFont="1" applyFill="1" applyBorder="1"/>
    <xf numFmtId="0" fontId="14" fillId="0" borderId="0" xfId="2" applyFont="1" applyAlignment="1">
      <alignment horizontal="left"/>
    </xf>
    <xf numFmtId="166" fontId="2" fillId="0" borderId="0" xfId="0" applyNumberFormat="1" applyFont="1"/>
    <xf numFmtId="166" fontId="2" fillId="4" borderId="0" xfId="0" applyNumberFormat="1" applyFont="1" applyFill="1"/>
    <xf numFmtId="1" fontId="9" fillId="4" borderId="8" xfId="1" applyNumberFormat="1" applyFont="1" applyFill="1" applyBorder="1"/>
    <xf numFmtId="1" fontId="9" fillId="3" borderId="10" xfId="1" applyNumberFormat="1" applyFont="1" applyFill="1" applyBorder="1"/>
    <xf numFmtId="1" fontId="9" fillId="4" borderId="10" xfId="1" applyNumberFormat="1" applyFont="1" applyFill="1" applyBorder="1"/>
    <xf numFmtId="1" fontId="9" fillId="3" borderId="12" xfId="1" applyNumberFormat="1" applyFont="1" applyFill="1" applyBorder="1"/>
    <xf numFmtId="1" fontId="3" fillId="0" borderId="0" xfId="1" applyNumberFormat="1"/>
    <xf numFmtId="1" fontId="9" fillId="4" borderId="12" xfId="1" applyNumberFormat="1" applyFont="1" applyFill="1" applyBorder="1"/>
    <xf numFmtId="1" fontId="3" fillId="2" borderId="13" xfId="1" applyNumberFormat="1" applyFill="1" applyBorder="1"/>
    <xf numFmtId="1" fontId="9" fillId="3" borderId="15" xfId="2" applyNumberFormat="1" applyFont="1" applyFill="1" applyBorder="1"/>
    <xf numFmtId="1" fontId="9" fillId="3" borderId="17" xfId="2" applyNumberFormat="1" applyFont="1" applyFill="1" applyBorder="1"/>
    <xf numFmtId="1" fontId="9" fillId="4" borderId="17" xfId="2" applyNumberFormat="1" applyFont="1" applyFill="1" applyBorder="1"/>
    <xf numFmtId="1" fontId="9" fillId="3" borderId="20" xfId="2" applyNumberFormat="1" applyFont="1" applyFill="1" applyBorder="1"/>
  </cellXfs>
  <cellStyles count="6">
    <cellStyle name="Comma 2" xfId="3" xr:uid="{9AD029B5-94D2-48C0-8C39-0FAC3D732946}"/>
    <cellStyle name="Comma 3" xfId="5" xr:uid="{E64B6A11-D96E-4137-8341-90B30BC6026F}"/>
    <cellStyle name="Hyperlink 2" xfId="4" xr:uid="{9C419BEF-1257-4A84-8A82-0CFDAB10BF97}"/>
    <cellStyle name="Normal" xfId="0" builtinId="0"/>
    <cellStyle name="Normal 2" xfId="1" xr:uid="{90E0C68C-4F96-4E94-AF81-D8785C0CB788}"/>
    <cellStyle name="Normal 2 2" xfId="2" xr:uid="{FC2216DF-901A-4DE1-BF46-297CF78F26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chartsheet" Target="chartsheets/sheet1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2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Inventory: Cost vs Quantity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'[2]EOQ F'!$C$31</c:f>
              <c:strCache>
                <c:ptCount val="1"/>
                <c:pt idx="0">
                  <c:v>Setup cost</c:v>
                </c:pt>
              </c:strCache>
            </c:strRef>
          </c:tx>
          <c:marker>
            <c:symbol val="none"/>
          </c:marker>
          <c:cat>
            <c:numRef>
              <c:f>'[2]EOQ F'!$B$32:$B$55</c:f>
              <c:numCache>
                <c:formatCode>General</c:formatCode>
                <c:ptCount val="24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  <c:pt idx="9">
                  <c:v>230</c:v>
                </c:pt>
                <c:pt idx="10">
                  <c:v>250</c:v>
                </c:pt>
                <c:pt idx="11">
                  <c:v>270</c:v>
                </c:pt>
                <c:pt idx="12">
                  <c:v>290</c:v>
                </c:pt>
                <c:pt idx="13">
                  <c:v>310</c:v>
                </c:pt>
                <c:pt idx="14">
                  <c:v>330</c:v>
                </c:pt>
                <c:pt idx="15">
                  <c:v>350</c:v>
                </c:pt>
                <c:pt idx="16">
                  <c:v>370</c:v>
                </c:pt>
                <c:pt idx="17">
                  <c:v>390</c:v>
                </c:pt>
                <c:pt idx="18">
                  <c:v>410</c:v>
                </c:pt>
                <c:pt idx="19">
                  <c:v>430</c:v>
                </c:pt>
                <c:pt idx="20">
                  <c:v>450</c:v>
                </c:pt>
                <c:pt idx="21">
                  <c:v>470</c:v>
                </c:pt>
                <c:pt idx="22">
                  <c:v>490</c:v>
                </c:pt>
                <c:pt idx="23">
                  <c:v>510</c:v>
                </c:pt>
              </c:numCache>
            </c:numRef>
          </c:cat>
          <c:val>
            <c:numRef>
              <c:f>'[2]EOQ F'!$C$32:$C$55</c:f>
              <c:numCache>
                <c:formatCode>General</c:formatCode>
                <c:ptCount val="24"/>
                <c:pt idx="0">
                  <c:v>400</c:v>
                </c:pt>
                <c:pt idx="1">
                  <c:v>285.71428571428572</c:v>
                </c:pt>
                <c:pt idx="2">
                  <c:v>222.22222222222223</c:v>
                </c:pt>
                <c:pt idx="3">
                  <c:v>181.81818181818181</c:v>
                </c:pt>
                <c:pt idx="4">
                  <c:v>153.84615384615384</c:v>
                </c:pt>
                <c:pt idx="5">
                  <c:v>133.33333333333334</c:v>
                </c:pt>
                <c:pt idx="6">
                  <c:v>117.64705882352941</c:v>
                </c:pt>
                <c:pt idx="7">
                  <c:v>105.26315789473684</c:v>
                </c:pt>
                <c:pt idx="8">
                  <c:v>95.238095238095241</c:v>
                </c:pt>
                <c:pt idx="9">
                  <c:v>86.956521739130437</c:v>
                </c:pt>
                <c:pt idx="10">
                  <c:v>80</c:v>
                </c:pt>
                <c:pt idx="11">
                  <c:v>74.074074074074076</c:v>
                </c:pt>
                <c:pt idx="12">
                  <c:v>68.965517241379317</c:v>
                </c:pt>
                <c:pt idx="13">
                  <c:v>64.516129032258064</c:v>
                </c:pt>
                <c:pt idx="14">
                  <c:v>60.606060606060609</c:v>
                </c:pt>
                <c:pt idx="15">
                  <c:v>57.142857142857146</c:v>
                </c:pt>
                <c:pt idx="16">
                  <c:v>54.054054054054056</c:v>
                </c:pt>
                <c:pt idx="17">
                  <c:v>51.282051282051285</c:v>
                </c:pt>
                <c:pt idx="18">
                  <c:v>48.780487804878049</c:v>
                </c:pt>
                <c:pt idx="19">
                  <c:v>46.511627906976742</c:v>
                </c:pt>
                <c:pt idx="20">
                  <c:v>44.444444444444443</c:v>
                </c:pt>
                <c:pt idx="21">
                  <c:v>42.553191489361701</c:v>
                </c:pt>
                <c:pt idx="22">
                  <c:v>40.816326530612244</c:v>
                </c:pt>
                <c:pt idx="23">
                  <c:v>39.215686274509807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1F-450C-9B77-AFF7B4155378}"/>
            </c:ext>
          </c:extLst>
        </c:ser>
        <c:ser>
          <c:idx val="1"/>
          <c:order val="1"/>
          <c:tx>
            <c:strRef>
              <c:f>'[2]EOQ F'!$D$31</c:f>
              <c:strCache>
                <c:ptCount val="1"/>
                <c:pt idx="0">
                  <c:v>Holding cost</c:v>
                </c:pt>
              </c:strCache>
            </c:strRef>
          </c:tx>
          <c:marker>
            <c:symbol val="none"/>
          </c:marker>
          <c:cat>
            <c:numRef>
              <c:f>'[2]EOQ F'!$B$32:$B$55</c:f>
              <c:numCache>
                <c:formatCode>General</c:formatCode>
                <c:ptCount val="24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  <c:pt idx="9">
                  <c:v>230</c:v>
                </c:pt>
                <c:pt idx="10">
                  <c:v>250</c:v>
                </c:pt>
                <c:pt idx="11">
                  <c:v>270</c:v>
                </c:pt>
                <c:pt idx="12">
                  <c:v>290</c:v>
                </c:pt>
                <c:pt idx="13">
                  <c:v>310</c:v>
                </c:pt>
                <c:pt idx="14">
                  <c:v>330</c:v>
                </c:pt>
                <c:pt idx="15">
                  <c:v>350</c:v>
                </c:pt>
                <c:pt idx="16">
                  <c:v>370</c:v>
                </c:pt>
                <c:pt idx="17">
                  <c:v>390</c:v>
                </c:pt>
                <c:pt idx="18">
                  <c:v>410</c:v>
                </c:pt>
                <c:pt idx="19">
                  <c:v>430</c:v>
                </c:pt>
                <c:pt idx="20">
                  <c:v>450</c:v>
                </c:pt>
                <c:pt idx="21">
                  <c:v>470</c:v>
                </c:pt>
                <c:pt idx="22">
                  <c:v>490</c:v>
                </c:pt>
                <c:pt idx="23">
                  <c:v>510</c:v>
                </c:pt>
              </c:numCache>
            </c:numRef>
          </c:cat>
          <c:val>
            <c:numRef>
              <c:f>'[2]EOQ F'!$D$32:$D$55</c:f>
              <c:numCache>
                <c:formatCode>General</c:formatCode>
                <c:ptCount val="24"/>
                <c:pt idx="0">
                  <c:v>125</c:v>
                </c:pt>
                <c:pt idx="1">
                  <c:v>175</c:v>
                </c:pt>
                <c:pt idx="2">
                  <c:v>225</c:v>
                </c:pt>
                <c:pt idx="3">
                  <c:v>275</c:v>
                </c:pt>
                <c:pt idx="4">
                  <c:v>325</c:v>
                </c:pt>
                <c:pt idx="5">
                  <c:v>375</c:v>
                </c:pt>
                <c:pt idx="6">
                  <c:v>425</c:v>
                </c:pt>
                <c:pt idx="7">
                  <c:v>475</c:v>
                </c:pt>
                <c:pt idx="8">
                  <c:v>525</c:v>
                </c:pt>
                <c:pt idx="9">
                  <c:v>575</c:v>
                </c:pt>
                <c:pt idx="10">
                  <c:v>625</c:v>
                </c:pt>
                <c:pt idx="11">
                  <c:v>675</c:v>
                </c:pt>
                <c:pt idx="12">
                  <c:v>725</c:v>
                </c:pt>
                <c:pt idx="13">
                  <c:v>775</c:v>
                </c:pt>
                <c:pt idx="14">
                  <c:v>825</c:v>
                </c:pt>
                <c:pt idx="15">
                  <c:v>875</c:v>
                </c:pt>
                <c:pt idx="16">
                  <c:v>925</c:v>
                </c:pt>
                <c:pt idx="17">
                  <c:v>975</c:v>
                </c:pt>
                <c:pt idx="18">
                  <c:v>1025</c:v>
                </c:pt>
                <c:pt idx="19">
                  <c:v>1075</c:v>
                </c:pt>
                <c:pt idx="20">
                  <c:v>1125</c:v>
                </c:pt>
                <c:pt idx="21">
                  <c:v>1175</c:v>
                </c:pt>
                <c:pt idx="22">
                  <c:v>1225</c:v>
                </c:pt>
                <c:pt idx="23">
                  <c:v>1275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1F-450C-9B77-AFF7B4155378}"/>
            </c:ext>
          </c:extLst>
        </c:ser>
        <c:ser>
          <c:idx val="2"/>
          <c:order val="2"/>
          <c:tx>
            <c:strRef>
              <c:f>'[2]EOQ F'!$E$31</c:f>
              <c:strCache>
                <c:ptCount val="1"/>
                <c:pt idx="0">
                  <c:v>Total cost</c:v>
                </c:pt>
              </c:strCache>
            </c:strRef>
          </c:tx>
          <c:marker>
            <c:symbol val="none"/>
          </c:marker>
          <c:cat>
            <c:numRef>
              <c:f>'[2]EOQ F'!$B$32:$B$55</c:f>
              <c:numCache>
                <c:formatCode>General</c:formatCode>
                <c:ptCount val="24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  <c:pt idx="9">
                  <c:v>230</c:v>
                </c:pt>
                <c:pt idx="10">
                  <c:v>250</c:v>
                </c:pt>
                <c:pt idx="11">
                  <c:v>270</c:v>
                </c:pt>
                <c:pt idx="12">
                  <c:v>290</c:v>
                </c:pt>
                <c:pt idx="13">
                  <c:v>310</c:v>
                </c:pt>
                <c:pt idx="14">
                  <c:v>330</c:v>
                </c:pt>
                <c:pt idx="15">
                  <c:v>350</c:v>
                </c:pt>
                <c:pt idx="16">
                  <c:v>370</c:v>
                </c:pt>
                <c:pt idx="17">
                  <c:v>390</c:v>
                </c:pt>
                <c:pt idx="18">
                  <c:v>410</c:v>
                </c:pt>
                <c:pt idx="19">
                  <c:v>430</c:v>
                </c:pt>
                <c:pt idx="20">
                  <c:v>450</c:v>
                </c:pt>
                <c:pt idx="21">
                  <c:v>470</c:v>
                </c:pt>
                <c:pt idx="22">
                  <c:v>490</c:v>
                </c:pt>
                <c:pt idx="23">
                  <c:v>510</c:v>
                </c:pt>
              </c:numCache>
            </c:numRef>
          </c:cat>
          <c:val>
            <c:numRef>
              <c:f>'[2]EOQ F'!$E$32:$E$55</c:f>
              <c:numCache>
                <c:formatCode>General</c:formatCode>
                <c:ptCount val="24"/>
                <c:pt idx="0">
                  <c:v>525</c:v>
                </c:pt>
                <c:pt idx="1">
                  <c:v>460.71428571428572</c:v>
                </c:pt>
                <c:pt idx="2">
                  <c:v>447.22222222222223</c:v>
                </c:pt>
                <c:pt idx="3">
                  <c:v>456.81818181818181</c:v>
                </c:pt>
                <c:pt idx="4">
                  <c:v>478.84615384615381</c:v>
                </c:pt>
                <c:pt idx="5">
                  <c:v>508.33333333333337</c:v>
                </c:pt>
                <c:pt idx="6">
                  <c:v>542.64705882352939</c:v>
                </c:pt>
                <c:pt idx="7">
                  <c:v>580.26315789473688</c:v>
                </c:pt>
                <c:pt idx="8">
                  <c:v>620.23809523809518</c:v>
                </c:pt>
                <c:pt idx="9">
                  <c:v>661.95652173913049</c:v>
                </c:pt>
                <c:pt idx="10">
                  <c:v>705</c:v>
                </c:pt>
                <c:pt idx="11">
                  <c:v>749.07407407407413</c:v>
                </c:pt>
                <c:pt idx="12">
                  <c:v>793.9655172413793</c:v>
                </c:pt>
                <c:pt idx="13">
                  <c:v>839.51612903225805</c:v>
                </c:pt>
                <c:pt idx="14">
                  <c:v>885.60606060606062</c:v>
                </c:pt>
                <c:pt idx="15">
                  <c:v>932.14285714285711</c:v>
                </c:pt>
                <c:pt idx="16">
                  <c:v>979.05405405405406</c:v>
                </c:pt>
                <c:pt idx="17">
                  <c:v>1026.2820512820513</c:v>
                </c:pt>
                <c:pt idx="18">
                  <c:v>1073.780487804878</c:v>
                </c:pt>
                <c:pt idx="19">
                  <c:v>1121.5116279069766</c:v>
                </c:pt>
                <c:pt idx="20">
                  <c:v>1169.4444444444443</c:v>
                </c:pt>
                <c:pt idx="21">
                  <c:v>1217.5531914893618</c:v>
                </c:pt>
                <c:pt idx="22">
                  <c:v>1265.8163265306123</c:v>
                </c:pt>
                <c:pt idx="23">
                  <c:v>1314.2156862745098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1F-450C-9B77-AFF7B4155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989160"/>
        <c:axId val="807984456"/>
      </c:lineChart>
      <c:catAx>
        <c:axId val="807989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 Order Quantity (Q)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807984456"/>
        <c:crosses val="autoZero"/>
        <c:auto val="1"/>
        <c:lblAlgn val="ctr"/>
        <c:lblOffset val="100"/>
        <c:noMultiLvlLbl val="0"/>
      </c:catAx>
      <c:valAx>
        <c:axId val="807984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Cost ($)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798916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Inventory: Cost vs Quantity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'EPQ -VAN WH'!$B$31</c:f>
              <c:strCache>
                <c:ptCount val="1"/>
                <c:pt idx="0">
                  <c:v>Order Quantity (Q)</c:v>
                </c:pt>
              </c:strCache>
            </c:strRef>
          </c:tx>
          <c:marker>
            <c:symbol val="none"/>
          </c:marker>
          <c:val>
            <c:numRef>
              <c:f>'EPQ -VAN WH'!$B$32:$B$55</c:f>
              <c:numCache>
                <c:formatCode>0</c:formatCode>
                <c:ptCount val="24"/>
                <c:pt idx="0">
                  <c:v>17771.476748602283</c:v>
                </c:pt>
                <c:pt idx="1">
                  <c:v>23695.302331469709</c:v>
                </c:pt>
                <c:pt idx="2">
                  <c:v>29619.127914337136</c:v>
                </c:pt>
                <c:pt idx="3">
                  <c:v>35542.953497204566</c:v>
                </c:pt>
                <c:pt idx="4">
                  <c:v>41466.779080071996</c:v>
                </c:pt>
                <c:pt idx="5">
                  <c:v>47390.604662939426</c:v>
                </c:pt>
                <c:pt idx="6">
                  <c:v>53314.430245806856</c:v>
                </c:pt>
                <c:pt idx="7">
                  <c:v>59238.255828674286</c:v>
                </c:pt>
                <c:pt idx="8">
                  <c:v>65162.081411541716</c:v>
                </c:pt>
                <c:pt idx="9">
                  <c:v>71085.906994409146</c:v>
                </c:pt>
                <c:pt idx="10">
                  <c:v>77009.732577276576</c:v>
                </c:pt>
                <c:pt idx="11">
                  <c:v>82933.558160144006</c:v>
                </c:pt>
                <c:pt idx="12">
                  <c:v>88857.383743011436</c:v>
                </c:pt>
                <c:pt idx="13">
                  <c:v>94781.209325878866</c:v>
                </c:pt>
                <c:pt idx="14">
                  <c:v>100705.0349087463</c:v>
                </c:pt>
                <c:pt idx="15">
                  <c:v>106628.86049161373</c:v>
                </c:pt>
                <c:pt idx="16">
                  <c:v>112552.68607448116</c:v>
                </c:pt>
                <c:pt idx="17">
                  <c:v>118476.51165734859</c:v>
                </c:pt>
                <c:pt idx="18">
                  <c:v>124400.33724021602</c:v>
                </c:pt>
                <c:pt idx="19">
                  <c:v>130324.16282308345</c:v>
                </c:pt>
                <c:pt idx="20">
                  <c:v>136247.98840595086</c:v>
                </c:pt>
                <c:pt idx="21">
                  <c:v>142171.81398881829</c:v>
                </c:pt>
                <c:pt idx="22">
                  <c:v>148095.63957168572</c:v>
                </c:pt>
                <c:pt idx="23">
                  <c:v>154019.46515455315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2-4D34-A872-443E5008D477}"/>
            </c:ext>
          </c:extLst>
        </c:ser>
        <c:ser>
          <c:idx val="1"/>
          <c:order val="1"/>
          <c:tx>
            <c:strRef>
              <c:f>'EPQ -VAN WH'!$C$31</c:f>
              <c:strCache>
                <c:ptCount val="1"/>
                <c:pt idx="0">
                  <c:v>Setup cost</c:v>
                </c:pt>
              </c:strCache>
            </c:strRef>
          </c:tx>
          <c:marker>
            <c:symbol val="none"/>
          </c:marker>
          <c:val>
            <c:numRef>
              <c:f>'EPQ -VAN WH'!$C$32:$C$55</c:f>
              <c:numCache>
                <c:formatCode>0</c:formatCode>
                <c:ptCount val="24"/>
                <c:pt idx="0">
                  <c:v>7917374.7115548234</c:v>
                </c:pt>
                <c:pt idx="1">
                  <c:v>5938031.033666118</c:v>
                </c:pt>
                <c:pt idx="2">
                  <c:v>4750424.826932895</c:v>
                </c:pt>
                <c:pt idx="3">
                  <c:v>3958687.3557774117</c:v>
                </c:pt>
                <c:pt idx="4">
                  <c:v>3393160.5906663528</c:v>
                </c:pt>
                <c:pt idx="5">
                  <c:v>2969015.5168330586</c:v>
                </c:pt>
                <c:pt idx="6">
                  <c:v>2639124.9038516073</c:v>
                </c:pt>
                <c:pt idx="7">
                  <c:v>2375212.4134664466</c:v>
                </c:pt>
                <c:pt idx="8">
                  <c:v>2159284.0122422241</c:v>
                </c:pt>
                <c:pt idx="9">
                  <c:v>1979343.6778887056</c:v>
                </c:pt>
                <c:pt idx="10">
                  <c:v>1827086.4718972666</c:v>
                </c:pt>
                <c:pt idx="11">
                  <c:v>1696580.2953331762</c:v>
                </c:pt>
                <c:pt idx="12">
                  <c:v>1583474.9423109645</c:v>
                </c:pt>
                <c:pt idx="13">
                  <c:v>1484507.758416529</c:v>
                </c:pt>
                <c:pt idx="14">
                  <c:v>1397183.7726273215</c:v>
                </c:pt>
                <c:pt idx="15">
                  <c:v>1319562.4519258037</c:v>
                </c:pt>
                <c:pt idx="16">
                  <c:v>1250111.7965612877</c:v>
                </c:pt>
                <c:pt idx="17">
                  <c:v>1187606.2067332233</c:v>
                </c:pt>
                <c:pt idx="18">
                  <c:v>1131053.5302221174</c:v>
                </c:pt>
                <c:pt idx="19">
                  <c:v>1079642.006121112</c:v>
                </c:pt>
                <c:pt idx="20">
                  <c:v>1032701.0493332377</c:v>
                </c:pt>
                <c:pt idx="21">
                  <c:v>989671.83894435281</c:v>
                </c:pt>
                <c:pt idx="22">
                  <c:v>950084.9653865787</c:v>
                </c:pt>
                <c:pt idx="23">
                  <c:v>913543.23594863329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42-4D34-A872-443E5008D477}"/>
            </c:ext>
          </c:extLst>
        </c:ser>
        <c:ser>
          <c:idx val="2"/>
          <c:order val="2"/>
          <c:tx>
            <c:strRef>
              <c:f>'EPQ -VAN WH'!$D$31</c:f>
              <c:strCache>
                <c:ptCount val="1"/>
                <c:pt idx="0">
                  <c:v>Holding cost</c:v>
                </c:pt>
              </c:strCache>
            </c:strRef>
          </c:tx>
          <c:marker>
            <c:symbol val="none"/>
          </c:marker>
          <c:val>
            <c:numRef>
              <c:f>'EPQ -VAN WH'!$D$32:$D$55</c:f>
              <c:numCache>
                <c:formatCode>0</c:formatCode>
                <c:ptCount val="24"/>
                <c:pt idx="0">
                  <c:v>494835.91947217647</c:v>
                </c:pt>
                <c:pt idx="1">
                  <c:v>659781.22596290195</c:v>
                </c:pt>
                <c:pt idx="2">
                  <c:v>824726.53245362733</c:v>
                </c:pt>
                <c:pt idx="3">
                  <c:v>989671.83894435293</c:v>
                </c:pt>
                <c:pt idx="4">
                  <c:v>1154617.1454350783</c:v>
                </c:pt>
                <c:pt idx="5">
                  <c:v>1319562.4519258039</c:v>
                </c:pt>
                <c:pt idx="6">
                  <c:v>1484507.7584165297</c:v>
                </c:pt>
                <c:pt idx="7">
                  <c:v>1649453.0649072551</c:v>
                </c:pt>
                <c:pt idx="8">
                  <c:v>1814398.3713979807</c:v>
                </c:pt>
                <c:pt idx="9">
                  <c:v>1979343.6778887061</c:v>
                </c:pt>
                <c:pt idx="10">
                  <c:v>2144288.9843794317</c:v>
                </c:pt>
                <c:pt idx="11">
                  <c:v>2309234.2908701571</c:v>
                </c:pt>
                <c:pt idx="12">
                  <c:v>2474179.5973608829</c:v>
                </c:pt>
                <c:pt idx="13">
                  <c:v>2639124.9038516083</c:v>
                </c:pt>
                <c:pt idx="14">
                  <c:v>2804070.2103423337</c:v>
                </c:pt>
                <c:pt idx="15">
                  <c:v>2969015.51683306</c:v>
                </c:pt>
                <c:pt idx="16">
                  <c:v>3133960.8233237853</c:v>
                </c:pt>
                <c:pt idx="17">
                  <c:v>3298906.1298145107</c:v>
                </c:pt>
                <c:pt idx="18">
                  <c:v>3463851.4363052365</c:v>
                </c:pt>
                <c:pt idx="19">
                  <c:v>3628796.7427959614</c:v>
                </c:pt>
                <c:pt idx="20">
                  <c:v>3793742.0492866873</c:v>
                </c:pt>
                <c:pt idx="21">
                  <c:v>3958687.3557774122</c:v>
                </c:pt>
                <c:pt idx="22">
                  <c:v>4123632.662268138</c:v>
                </c:pt>
                <c:pt idx="23">
                  <c:v>4288577.9687588634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42-4D34-A872-443E5008D477}"/>
            </c:ext>
          </c:extLst>
        </c:ser>
        <c:ser>
          <c:idx val="3"/>
          <c:order val="3"/>
          <c:tx>
            <c:strRef>
              <c:f>'EPQ -VAN WH'!$E$31</c:f>
              <c:strCache>
                <c:ptCount val="1"/>
                <c:pt idx="0">
                  <c:v>Total cost</c:v>
                </c:pt>
              </c:strCache>
            </c:strRef>
          </c:tx>
          <c:marker>
            <c:symbol val="none"/>
          </c:marker>
          <c:val>
            <c:numRef>
              <c:f>'EPQ -VAN WH'!$E$32:$E$55</c:f>
              <c:numCache>
                <c:formatCode>0</c:formatCode>
                <c:ptCount val="24"/>
                <c:pt idx="0">
                  <c:v>8412210.631027</c:v>
                </c:pt>
                <c:pt idx="1">
                  <c:v>6597812.2596290205</c:v>
                </c:pt>
                <c:pt idx="2">
                  <c:v>5575151.3593865223</c:v>
                </c:pt>
                <c:pt idx="3">
                  <c:v>4948359.1947217649</c:v>
                </c:pt>
                <c:pt idx="4">
                  <c:v>4547777.7361014308</c:v>
                </c:pt>
                <c:pt idx="5">
                  <c:v>4288577.9687588625</c:v>
                </c:pt>
                <c:pt idx="6">
                  <c:v>4123632.6622681371</c:v>
                </c:pt>
                <c:pt idx="7">
                  <c:v>4024665.4783737017</c:v>
                </c:pt>
                <c:pt idx="8">
                  <c:v>3973682.3836402046</c:v>
                </c:pt>
                <c:pt idx="9">
                  <c:v>3958687.3557774117</c:v>
                </c:pt>
                <c:pt idx="10">
                  <c:v>3971375.456276698</c:v>
                </c:pt>
                <c:pt idx="11">
                  <c:v>4005814.586203333</c:v>
                </c:pt>
                <c:pt idx="12">
                  <c:v>4057654.5396718476</c:v>
                </c:pt>
                <c:pt idx="13">
                  <c:v>4123632.6622681376</c:v>
                </c:pt>
                <c:pt idx="14">
                  <c:v>4201253.9829696547</c:v>
                </c:pt>
                <c:pt idx="15">
                  <c:v>4288577.9687588634</c:v>
                </c:pt>
                <c:pt idx="16">
                  <c:v>4384072.619885073</c:v>
                </c:pt>
                <c:pt idx="17">
                  <c:v>4486512.3365477342</c:v>
                </c:pt>
                <c:pt idx="18">
                  <c:v>4594904.966527354</c:v>
                </c:pt>
                <c:pt idx="19">
                  <c:v>4708438.748917073</c:v>
                </c:pt>
                <c:pt idx="20">
                  <c:v>4826443.0986199249</c:v>
                </c:pt>
                <c:pt idx="21">
                  <c:v>4948359.1947217649</c:v>
                </c:pt>
                <c:pt idx="22">
                  <c:v>5073717.6276547164</c:v>
                </c:pt>
                <c:pt idx="23">
                  <c:v>5202121.2047074968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342-4D34-A872-443E5008D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981712"/>
        <c:axId val="807985632"/>
      </c:lineChart>
      <c:catAx>
        <c:axId val="80798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Production Quantity (Q)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807985632"/>
        <c:crosses val="autoZero"/>
        <c:auto val="1"/>
        <c:lblAlgn val="ctr"/>
        <c:lblOffset val="100"/>
        <c:noMultiLvlLbl val="0"/>
      </c:catAx>
      <c:valAx>
        <c:axId val="807985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Cost ($)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8079817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E236B2-A688-4BFE-B9D1-CEA7BDCEBB73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DCDBE0-9A08-4EAD-8761-3B9E712D0DEF}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6</xdr:row>
      <xdr:rowOff>0</xdr:rowOff>
    </xdr:from>
    <xdr:to>
      <xdr:col>1</xdr:col>
      <xdr:colOff>127000</xdr:colOff>
      <xdr:row>7</xdr:row>
      <xdr:rowOff>41275</xdr:rowOff>
    </xdr:to>
    <xdr:sp macro="" textlink="">
      <xdr:nvSpPr>
        <xdr:cNvPr id="2" name="messageTextbox">
          <a:extLst>
            <a:ext uri="{FF2B5EF4-FFF2-40B4-BE49-F238E27FC236}">
              <a16:creationId xmlns:a16="http://schemas.microsoft.com/office/drawing/2014/main" id="{ABA77EEE-9327-483C-B832-E630FEEC61CE}"/>
            </a:ext>
          </a:extLst>
        </xdr:cNvPr>
        <xdr:cNvSpPr txBox="1"/>
      </xdr:nvSpPr>
      <xdr:spPr>
        <a:xfrm>
          <a:off x="254000" y="1060450"/>
          <a:ext cx="2667000" cy="200025"/>
        </a:xfrm>
        <a:prstGeom prst="rect">
          <a:avLst/>
        </a:prstGeom>
        <a:solidFill>
          <a:srgbClr val="FFEB9C"/>
        </a:solidFill>
        <a:ln w="1" cmpd="sng">
          <a:solidFill>
            <a:srgbClr val="000000"/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r>
            <a:rPr lang="en-CA" sz="900" b="0" i="0" u="none" strike="noStrike" baseline="0">
              <a:solidFill>
                <a:srgbClr val="9C6500"/>
              </a:solidFill>
              <a:latin typeface="Arial" panose="020B0604020202020204" pitchFamily="34" charset="0"/>
            </a:rPr>
            <a:t>Enter the data in the shaded area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F7A42C-358C-9DCB-CA25-805C92789D4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6</xdr:row>
      <xdr:rowOff>0</xdr:rowOff>
    </xdr:from>
    <xdr:to>
      <xdr:col>1</xdr:col>
      <xdr:colOff>482600</xdr:colOff>
      <xdr:row>7</xdr:row>
      <xdr:rowOff>155575</xdr:rowOff>
    </xdr:to>
    <xdr:sp macro="" textlink="">
      <xdr:nvSpPr>
        <xdr:cNvPr id="2" name="messageTextbox">
          <a:extLst>
            <a:ext uri="{FF2B5EF4-FFF2-40B4-BE49-F238E27FC236}">
              <a16:creationId xmlns:a16="http://schemas.microsoft.com/office/drawing/2014/main" id="{1237D1FA-434B-4346-BF9A-1D4219B46A77}"/>
            </a:ext>
          </a:extLst>
        </xdr:cNvPr>
        <xdr:cNvSpPr txBox="1"/>
      </xdr:nvSpPr>
      <xdr:spPr>
        <a:xfrm>
          <a:off x="254000" y="1060450"/>
          <a:ext cx="2025650" cy="314325"/>
        </a:xfrm>
        <a:prstGeom prst="rect">
          <a:avLst/>
        </a:prstGeom>
        <a:solidFill>
          <a:srgbClr val="FFEB9C"/>
        </a:solidFill>
        <a:ln w="1" cmpd="sng">
          <a:solidFill>
            <a:srgbClr val="000000"/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r>
            <a:rPr lang="en-CA" sz="900" b="0" i="0" u="none" strike="noStrike" baseline="0">
              <a:solidFill>
                <a:srgbClr val="9C6500"/>
              </a:solidFill>
              <a:latin typeface="Arial" panose="020B0604020202020204" pitchFamily="34" charset="0"/>
            </a:rPr>
            <a:t>Enter the data in the shaded area. You may have to do some work to enter the daily production rate.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BB0131-461D-EE37-4578-8B866EDB2E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My%20Drive\UCW%20Class\2nd%20Semester\OPMT%20620\Assignments\Data.xlsx" TargetMode="External"/><Relationship Id="rId1" Type="http://schemas.openxmlformats.org/officeDocument/2006/relationships/externalLinkPath" Target="Dat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My%20Drive\UCW%20Class\2nd%20Semester\OPMT%20620\Assignments\EOQ,%20EPQ,%20and%20Safety%20Stock.xlsx" TargetMode="External"/><Relationship Id="rId1" Type="http://schemas.openxmlformats.org/officeDocument/2006/relationships/externalLinkPath" Target="EOQ,%20EPQ,%20and%20Safety%20Sto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nthly Demand"/>
      <sheetName val="Seasonality(Factory)"/>
      <sheetName val="Exp Smooth with Trend(Factory)"/>
      <sheetName val="Seasonality(CD)"/>
      <sheetName val="Exp Smooth with Trend(CD)"/>
      <sheetName val="Seasonality(VD)"/>
      <sheetName val="Exp Smooth with Trend(VD)"/>
      <sheetName val="Seasonality(ED)"/>
      <sheetName val="Exp Smooth with Trend(ED)"/>
      <sheetName val="Seasonality(RD)"/>
      <sheetName val="Exp Smooth with Trend(RD)"/>
      <sheetName val="Seasonality(VID)"/>
      <sheetName val="Exp Smooth with Trend(VID)"/>
      <sheetName val="Seasonality(KD)"/>
      <sheetName val="Exp Smooth with Trend(KD)"/>
      <sheetName val="Seasonality(CW)"/>
      <sheetName val="Exp Smooth with Trend(CW)"/>
      <sheetName val="Seasonality(VW)"/>
      <sheetName val="Exp Smooth with Trend(VW)"/>
      <sheetName val="Sheet1"/>
    </sheetNames>
    <sheetDataSet>
      <sheetData sheetId="0"/>
      <sheetData sheetId="1">
        <row r="4">
          <cell r="Q4">
            <v>6111742.3718397319</v>
          </cell>
        </row>
        <row r="5">
          <cell r="Q5">
            <v>4727070.2852014201</v>
          </cell>
        </row>
        <row r="6">
          <cell r="Q6">
            <v>6692555.3639068557</v>
          </cell>
        </row>
        <row r="7">
          <cell r="Q7">
            <v>8625923.0925876629</v>
          </cell>
        </row>
        <row r="8">
          <cell r="Q8">
            <v>12535547.330858443</v>
          </cell>
        </row>
        <row r="9">
          <cell r="Q9">
            <v>8956519.9522654098</v>
          </cell>
        </row>
        <row r="10">
          <cell r="Q10">
            <v>10453965.734814687</v>
          </cell>
        </row>
        <row r="11">
          <cell r="Q11">
            <v>9549224.7412318662</v>
          </cell>
        </row>
        <row r="12">
          <cell r="Q12">
            <v>7956846.782412909</v>
          </cell>
        </row>
        <row r="13">
          <cell r="Q13">
            <v>8285695.9910589438</v>
          </cell>
        </row>
        <row r="14">
          <cell r="Q14">
            <v>8019771.4180724826</v>
          </cell>
        </row>
        <row r="15">
          <cell r="Q15">
            <v>7740460.8449659692</v>
          </cell>
        </row>
      </sheetData>
      <sheetData sheetId="2"/>
      <sheetData sheetId="3">
        <row r="4">
          <cell r="Q4">
            <v>1100664.2390947037</v>
          </cell>
        </row>
        <row r="5">
          <cell r="Q5">
            <v>806504.49181660078</v>
          </cell>
        </row>
        <row r="6">
          <cell r="Q6">
            <v>1222690.5220230448</v>
          </cell>
        </row>
        <row r="7">
          <cell r="Q7">
            <v>1788315.9830245392</v>
          </cell>
        </row>
        <row r="8">
          <cell r="Q8">
            <v>2166074.0680365963</v>
          </cell>
        </row>
        <row r="9">
          <cell r="Q9">
            <v>1554348.7934856939</v>
          </cell>
        </row>
        <row r="10">
          <cell r="Q10">
            <v>1870388.9894148747</v>
          </cell>
        </row>
        <row r="11">
          <cell r="Q11">
            <v>1682302.5914889181</v>
          </cell>
        </row>
        <row r="12">
          <cell r="Q12">
            <v>1399969.6919412038</v>
          </cell>
        </row>
        <row r="13">
          <cell r="Q13">
            <v>1589889.8184693095</v>
          </cell>
        </row>
        <row r="14">
          <cell r="Q14">
            <v>1468127.2825653453</v>
          </cell>
        </row>
        <row r="15">
          <cell r="Q15">
            <v>1439687.591008469</v>
          </cell>
        </row>
      </sheetData>
      <sheetData sheetId="4"/>
      <sheetData sheetId="5">
        <row r="4">
          <cell r="Q4">
            <v>2818630.8780973186</v>
          </cell>
        </row>
        <row r="5">
          <cell r="Q5">
            <v>2197452.5890881028</v>
          </cell>
        </row>
        <row r="6">
          <cell r="Q6">
            <v>3116599.613955942</v>
          </cell>
        </row>
        <row r="7">
          <cell r="Q7">
            <v>3859246.8098275554</v>
          </cell>
        </row>
        <row r="8">
          <cell r="Q8">
            <v>5768505.4368750174</v>
          </cell>
        </row>
        <row r="9">
          <cell r="Q9">
            <v>4369853.6313418904</v>
          </cell>
        </row>
        <row r="10">
          <cell r="Q10">
            <v>4973376.5478937225</v>
          </cell>
        </row>
        <row r="11">
          <cell r="Q11">
            <v>4517087.1680459045</v>
          </cell>
        </row>
        <row r="12">
          <cell r="Q12">
            <v>3704348.4157785852</v>
          </cell>
        </row>
        <row r="13">
          <cell r="Q13">
            <v>3660936.2434418206</v>
          </cell>
        </row>
        <row r="14">
          <cell r="Q14">
            <v>3751075.0469003571</v>
          </cell>
        </row>
        <row r="15">
          <cell r="Q15">
            <v>3671509.9913756694</v>
          </cell>
        </row>
      </sheetData>
      <sheetData sheetId="6"/>
      <sheetData sheetId="7">
        <row r="4">
          <cell r="Q4">
            <v>774736.18544112716</v>
          </cell>
        </row>
        <row r="5">
          <cell r="Q5">
            <v>595730.70377644</v>
          </cell>
        </row>
        <row r="6">
          <cell r="Q6">
            <v>843805.2103248015</v>
          </cell>
        </row>
        <row r="7">
          <cell r="Q7">
            <v>1150350.0293012648</v>
          </cell>
        </row>
        <row r="8">
          <cell r="Q8">
            <v>1429025.423232381</v>
          </cell>
        </row>
        <row r="9">
          <cell r="Q9">
            <v>979751.07052524807</v>
          </cell>
        </row>
        <row r="10">
          <cell r="Q10">
            <v>1235768.1344375492</v>
          </cell>
        </row>
        <row r="11">
          <cell r="Q11">
            <v>1192305.3161571613</v>
          </cell>
        </row>
        <row r="12">
          <cell r="Q12">
            <v>953829.29447438533</v>
          </cell>
        </row>
        <row r="13">
          <cell r="Q13">
            <v>1024058.2331698872</v>
          </cell>
        </row>
        <row r="14">
          <cell r="Q14">
            <v>983286.62885147019</v>
          </cell>
        </row>
        <row r="15">
          <cell r="Q15">
            <v>941489.76055204519</v>
          </cell>
        </row>
      </sheetData>
      <sheetData sheetId="8"/>
      <sheetData sheetId="9">
        <row r="4">
          <cell r="Q4">
            <v>573012.94195450586</v>
          </cell>
        </row>
        <row r="5">
          <cell r="Q5">
            <v>441833.12104505958</v>
          </cell>
        </row>
        <row r="6">
          <cell r="Q6">
            <v>622343.30528811482</v>
          </cell>
        </row>
        <row r="7">
          <cell r="Q7">
            <v>827033.83580383821</v>
          </cell>
        </row>
        <row r="8">
          <cell r="Q8">
            <v>1165530.7403882276</v>
          </cell>
        </row>
        <row r="9">
          <cell r="Q9">
            <v>753280.20094507257</v>
          </cell>
        </row>
        <row r="10">
          <cell r="Q10">
            <v>961596.116774261</v>
          </cell>
        </row>
        <row r="11">
          <cell r="Q11">
            <v>920226.14191499795</v>
          </cell>
        </row>
        <row r="12">
          <cell r="Q12">
            <v>765485.56147699861</v>
          </cell>
        </row>
        <row r="13">
          <cell r="Q13">
            <v>792366.17641249078</v>
          </cell>
        </row>
        <row r="14">
          <cell r="Q14">
            <v>770221.66261592822</v>
          </cell>
        </row>
        <row r="15">
          <cell r="Q15">
            <v>736339.92049410439</v>
          </cell>
        </row>
      </sheetData>
      <sheetData sheetId="10"/>
      <sheetData sheetId="11">
        <row r="4">
          <cell r="Q4">
            <v>1389225.6024459479</v>
          </cell>
        </row>
        <row r="5">
          <cell r="Q5">
            <v>1073974.0747871043</v>
          </cell>
        </row>
        <row r="6">
          <cell r="Q6">
            <v>1466495.8935602896</v>
          </cell>
        </row>
        <row r="7">
          <cell r="Q7">
            <v>1772524.864052332</v>
          </cell>
        </row>
        <row r="8">
          <cell r="Q8">
            <v>3028355.8251454253</v>
          </cell>
        </row>
        <row r="9">
          <cell r="Q9">
            <v>2115787.4196268939</v>
          </cell>
        </row>
        <row r="10">
          <cell r="Q10">
            <v>2344503.4634968266</v>
          </cell>
        </row>
        <row r="11">
          <cell r="Q11">
            <v>2084578.4205128769</v>
          </cell>
        </row>
        <row r="12">
          <cell r="Q12">
            <v>1808174.9270915911</v>
          </cell>
        </row>
        <row r="13">
          <cell r="Q13">
            <v>1937602.3094122154</v>
          </cell>
        </row>
        <row r="14">
          <cell r="Q14">
            <v>1747436.4674568316</v>
          </cell>
        </row>
        <row r="15">
          <cell r="Q15">
            <v>1659595.4204860539</v>
          </cell>
        </row>
      </sheetData>
      <sheetData sheetId="12"/>
      <sheetData sheetId="13">
        <row r="4">
          <cell r="Q4">
            <v>370516.37198376108</v>
          </cell>
        </row>
        <row r="5">
          <cell r="Q5">
            <v>320088.41223522834</v>
          </cell>
        </row>
        <row r="6">
          <cell r="Q6">
            <v>422630.02770961635</v>
          </cell>
        </row>
        <row r="7">
          <cell r="Q7">
            <v>510570.78694427054</v>
          </cell>
        </row>
        <row r="8">
          <cell r="Q8">
            <v>850352.27525414876</v>
          </cell>
        </row>
        <row r="9">
          <cell r="Q9">
            <v>533301.800890474</v>
          </cell>
        </row>
        <row r="10">
          <cell r="Q10">
            <v>636790.29589805193</v>
          </cell>
        </row>
        <row r="11">
          <cell r="Q11">
            <v>585239.42335793865</v>
          </cell>
        </row>
        <row r="12">
          <cell r="Q12">
            <v>515003.90985525516</v>
          </cell>
        </row>
        <row r="13">
          <cell r="Q13">
            <v>511868.64913766133</v>
          </cell>
        </row>
        <row r="14">
          <cell r="Q14">
            <v>499154.52558371786</v>
          </cell>
        </row>
        <row r="15">
          <cell r="Q15">
            <v>451533.4180089407</v>
          </cell>
        </row>
      </sheetData>
      <sheetData sheetId="14"/>
      <sheetData sheetId="15">
        <row r="4">
          <cell r="Q4">
            <v>2447568.8175987122</v>
          </cell>
        </row>
        <row r="5">
          <cell r="Q5">
            <v>1842892.4531295323</v>
          </cell>
        </row>
        <row r="6">
          <cell r="Q6">
            <v>2688206.0708580026</v>
          </cell>
        </row>
        <row r="7">
          <cell r="Q7">
            <v>3765942.6582706156</v>
          </cell>
        </row>
        <row r="8">
          <cell r="Q8">
            <v>4764045.024733156</v>
          </cell>
        </row>
        <row r="9">
          <cell r="Q9">
            <v>3289404.7149636731</v>
          </cell>
        </row>
        <row r="10">
          <cell r="Q10">
            <v>4069362.193647013</v>
          </cell>
        </row>
        <row r="11">
          <cell r="Q11">
            <v>3794452.5187678286</v>
          </cell>
        </row>
        <row r="12">
          <cell r="Q12">
            <v>3120567.6175927124</v>
          </cell>
        </row>
        <row r="13">
          <cell r="Q13">
            <v>3408082.9139045272</v>
          </cell>
        </row>
        <row r="14">
          <cell r="Q14">
            <v>3222776.145704892</v>
          </cell>
        </row>
        <row r="15">
          <cell r="Q15">
            <v>3119055.169223865</v>
          </cell>
        </row>
      </sheetData>
      <sheetData sheetId="16"/>
      <sheetData sheetId="17">
        <row r="4">
          <cell r="Q4">
            <v>4578392.6690268721</v>
          </cell>
        </row>
        <row r="5">
          <cell r="Q5">
            <v>3592873.1542123724</v>
          </cell>
        </row>
        <row r="6">
          <cell r="Q6">
            <v>5005192.1452784175</v>
          </cell>
        </row>
        <row r="7">
          <cell r="Q7">
            <v>6140336.859498024</v>
          </cell>
        </row>
        <row r="8">
          <cell r="Q8">
            <v>9654793.9165126067</v>
          </cell>
        </row>
        <row r="9">
          <cell r="Q9">
            <v>7016361.3253347175</v>
          </cell>
        </row>
        <row r="10">
          <cell r="Q10">
            <v>7952089.0646773549</v>
          </cell>
        </row>
        <row r="11">
          <cell r="Q11">
            <v>7184132.6693900805</v>
          </cell>
        </row>
        <row r="12">
          <cell r="Q12">
            <v>6028600.3558081295</v>
          </cell>
        </row>
        <row r="13">
          <cell r="Q13">
            <v>6114150.9143323526</v>
          </cell>
        </row>
        <row r="14">
          <cell r="Q14">
            <v>5996270.7857990675</v>
          </cell>
        </row>
        <row r="15">
          <cell r="Q15">
            <v>5778641.1248597419</v>
          </cell>
        </row>
      </sheetData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OQ F"/>
      <sheetName val="Graph EOQ F"/>
      <sheetName val="EPQ F"/>
      <sheetName val="Graph EPQ F"/>
      <sheetName val="Safety Stock"/>
    </sheetNames>
    <sheetDataSet>
      <sheetData sheetId="0">
        <row r="31">
          <cell r="C31" t="str">
            <v>Setup cost</v>
          </cell>
          <cell r="D31" t="str">
            <v>Holding cost</v>
          </cell>
          <cell r="E31" t="str">
            <v>Total cost</v>
          </cell>
        </row>
        <row r="32">
          <cell r="B32">
            <v>50</v>
          </cell>
          <cell r="C32">
            <v>400</v>
          </cell>
          <cell r="D32">
            <v>125</v>
          </cell>
          <cell r="E32">
            <v>525</v>
          </cell>
        </row>
        <row r="33">
          <cell r="B33">
            <v>70</v>
          </cell>
          <cell r="C33">
            <v>285.71428571428572</v>
          </cell>
          <cell r="D33">
            <v>175</v>
          </cell>
          <cell r="E33">
            <v>460.71428571428572</v>
          </cell>
        </row>
        <row r="34">
          <cell r="B34">
            <v>90</v>
          </cell>
          <cell r="C34">
            <v>222.22222222222223</v>
          </cell>
          <cell r="D34">
            <v>225</v>
          </cell>
          <cell r="E34">
            <v>447.22222222222223</v>
          </cell>
        </row>
        <row r="35">
          <cell r="B35">
            <v>110</v>
          </cell>
          <cell r="C35">
            <v>181.81818181818181</v>
          </cell>
          <cell r="D35">
            <v>275</v>
          </cell>
          <cell r="E35">
            <v>456.81818181818181</v>
          </cell>
        </row>
        <row r="36">
          <cell r="B36">
            <v>130</v>
          </cell>
          <cell r="C36">
            <v>153.84615384615384</v>
          </cell>
          <cell r="D36">
            <v>325</v>
          </cell>
          <cell r="E36">
            <v>478.84615384615381</v>
          </cell>
        </row>
        <row r="37">
          <cell r="B37">
            <v>150</v>
          </cell>
          <cell r="C37">
            <v>133.33333333333334</v>
          </cell>
          <cell r="D37">
            <v>375</v>
          </cell>
          <cell r="E37">
            <v>508.33333333333337</v>
          </cell>
        </row>
        <row r="38">
          <cell r="B38">
            <v>170</v>
          </cell>
          <cell r="C38">
            <v>117.64705882352941</v>
          </cell>
          <cell r="D38">
            <v>425</v>
          </cell>
          <cell r="E38">
            <v>542.64705882352939</v>
          </cell>
        </row>
        <row r="39">
          <cell r="B39">
            <v>190</v>
          </cell>
          <cell r="C39">
            <v>105.26315789473684</v>
          </cell>
          <cell r="D39">
            <v>475</v>
          </cell>
          <cell r="E39">
            <v>580.26315789473688</v>
          </cell>
        </row>
        <row r="40">
          <cell r="B40">
            <v>210</v>
          </cell>
          <cell r="C40">
            <v>95.238095238095241</v>
          </cell>
          <cell r="D40">
            <v>525</v>
          </cell>
          <cell r="E40">
            <v>620.23809523809518</v>
          </cell>
        </row>
        <row r="41">
          <cell r="B41">
            <v>230</v>
          </cell>
          <cell r="C41">
            <v>86.956521739130437</v>
          </cell>
          <cell r="D41">
            <v>575</v>
          </cell>
          <cell r="E41">
            <v>661.95652173913049</v>
          </cell>
        </row>
        <row r="42">
          <cell r="B42">
            <v>250</v>
          </cell>
          <cell r="C42">
            <v>80</v>
          </cell>
          <cell r="D42">
            <v>625</v>
          </cell>
          <cell r="E42">
            <v>705</v>
          </cell>
        </row>
        <row r="43">
          <cell r="B43">
            <v>270</v>
          </cell>
          <cell r="C43">
            <v>74.074074074074076</v>
          </cell>
          <cell r="D43">
            <v>675</v>
          </cell>
          <cell r="E43">
            <v>749.07407407407413</v>
          </cell>
        </row>
        <row r="44">
          <cell r="B44">
            <v>290</v>
          </cell>
          <cell r="C44">
            <v>68.965517241379317</v>
          </cell>
          <cell r="D44">
            <v>725</v>
          </cell>
          <cell r="E44">
            <v>793.9655172413793</v>
          </cell>
        </row>
        <row r="45">
          <cell r="B45">
            <v>310</v>
          </cell>
          <cell r="C45">
            <v>64.516129032258064</v>
          </cell>
          <cell r="D45">
            <v>775</v>
          </cell>
          <cell r="E45">
            <v>839.51612903225805</v>
          </cell>
        </row>
        <row r="46">
          <cell r="B46">
            <v>330</v>
          </cell>
          <cell r="C46">
            <v>60.606060606060609</v>
          </cell>
          <cell r="D46">
            <v>825</v>
          </cell>
          <cell r="E46">
            <v>885.60606060606062</v>
          </cell>
        </row>
        <row r="47">
          <cell r="B47">
            <v>350</v>
          </cell>
          <cell r="C47">
            <v>57.142857142857146</v>
          </cell>
          <cell r="D47">
            <v>875</v>
          </cell>
          <cell r="E47">
            <v>932.14285714285711</v>
          </cell>
        </row>
        <row r="48">
          <cell r="B48">
            <v>370</v>
          </cell>
          <cell r="C48">
            <v>54.054054054054056</v>
          </cell>
          <cell r="D48">
            <v>925</v>
          </cell>
          <cell r="E48">
            <v>979.05405405405406</v>
          </cell>
        </row>
        <row r="49">
          <cell r="B49">
            <v>390</v>
          </cell>
          <cell r="C49">
            <v>51.282051282051285</v>
          </cell>
          <cell r="D49">
            <v>975</v>
          </cell>
          <cell r="E49">
            <v>1026.2820512820513</v>
          </cell>
        </row>
        <row r="50">
          <cell r="B50">
            <v>410</v>
          </cell>
          <cell r="C50">
            <v>48.780487804878049</v>
          </cell>
          <cell r="D50">
            <v>1025</v>
          </cell>
          <cell r="E50">
            <v>1073.780487804878</v>
          </cell>
        </row>
        <row r="51">
          <cell r="B51">
            <v>430</v>
          </cell>
          <cell r="C51">
            <v>46.511627906976742</v>
          </cell>
          <cell r="D51">
            <v>1075</v>
          </cell>
          <cell r="E51">
            <v>1121.5116279069766</v>
          </cell>
        </row>
        <row r="52">
          <cell r="B52">
            <v>450</v>
          </cell>
          <cell r="C52">
            <v>44.444444444444443</v>
          </cell>
          <cell r="D52">
            <v>1125</v>
          </cell>
          <cell r="E52">
            <v>1169.4444444444443</v>
          </cell>
        </row>
        <row r="53">
          <cell r="B53">
            <v>470</v>
          </cell>
          <cell r="C53">
            <v>42.553191489361701</v>
          </cell>
          <cell r="D53">
            <v>1175</v>
          </cell>
          <cell r="E53">
            <v>1217.5531914893618</v>
          </cell>
        </row>
        <row r="54">
          <cell r="B54">
            <v>490</v>
          </cell>
          <cell r="C54">
            <v>40.816326530612244</v>
          </cell>
          <cell r="D54">
            <v>1225</v>
          </cell>
          <cell r="E54">
            <v>1265.8163265306123</v>
          </cell>
        </row>
        <row r="55">
          <cell r="B55">
            <v>510</v>
          </cell>
          <cell r="C55">
            <v>39.215686274509807</v>
          </cell>
          <cell r="D55">
            <v>1275</v>
          </cell>
          <cell r="E55">
            <v>1314.2156862745098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Z-value@99%25" TargetMode="External"/><Relationship Id="rId2" Type="http://schemas.openxmlformats.org/officeDocument/2006/relationships/hyperlink" Target="mailto:Z-value@95%25" TargetMode="External"/><Relationship Id="rId1" Type="http://schemas.openxmlformats.org/officeDocument/2006/relationships/hyperlink" Target="mailto:Z-value@90%25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13226-875A-4FBE-8595-E27461358095}">
  <sheetPr>
    <tabColor rgb="FF92D050"/>
  </sheetPr>
  <dimension ref="A1:K17"/>
  <sheetViews>
    <sheetView topLeftCell="D1" workbookViewId="0">
      <selection activeCell="L14" sqref="L14"/>
    </sheetView>
  </sheetViews>
  <sheetFormatPr defaultRowHeight="14.4" x14ac:dyDescent="0.3"/>
  <cols>
    <col min="1" max="1" width="25.77734375" customWidth="1"/>
    <col min="2" max="2" width="15.109375" bestFit="1" customWidth="1"/>
    <col min="3" max="5" width="13.77734375" bestFit="1" customWidth="1"/>
    <col min="6" max="7" width="12.77734375" bestFit="1" customWidth="1"/>
    <col min="8" max="9" width="13.77734375" bestFit="1" customWidth="1"/>
    <col min="10" max="10" width="14.21875" bestFit="1" customWidth="1"/>
  </cols>
  <sheetData>
    <row r="1" spans="1:11" x14ac:dyDescent="0.3">
      <c r="A1" s="36" t="s">
        <v>49</v>
      </c>
      <c r="B1" s="36" t="s">
        <v>50</v>
      </c>
      <c r="C1" s="36" t="s">
        <v>51</v>
      </c>
      <c r="D1" s="36" t="s">
        <v>52</v>
      </c>
      <c r="E1" s="36" t="s">
        <v>71</v>
      </c>
      <c r="F1" s="36" t="s">
        <v>72</v>
      </c>
      <c r="G1" s="36" t="s">
        <v>73</v>
      </c>
      <c r="H1" s="36" t="s">
        <v>74</v>
      </c>
      <c r="I1" s="36" t="s">
        <v>53</v>
      </c>
      <c r="J1" s="36" t="s">
        <v>54</v>
      </c>
    </row>
    <row r="2" spans="1:11" x14ac:dyDescent="0.3">
      <c r="A2" s="36" t="s">
        <v>59</v>
      </c>
      <c r="B2" s="39">
        <f>'[1]Seasonality(Factory)'!Q4</f>
        <v>6111742.3718397319</v>
      </c>
      <c r="C2" s="39">
        <f>'[1]Seasonality(VW)'!Q4</f>
        <v>4578392.6690268721</v>
      </c>
      <c r="D2" s="39">
        <f>'[1]Seasonality(CW)'!Q4</f>
        <v>2447568.8175987122</v>
      </c>
      <c r="E2" s="39">
        <f>'[1]Seasonality(ED)'!Q4</f>
        <v>774736.18544112716</v>
      </c>
      <c r="F2" s="39">
        <f>'[1]Seasonality(KD)'!Q4</f>
        <v>370516.37198376108</v>
      </c>
      <c r="G2" s="39">
        <f>'[1]Seasonality(RD)'!Q4</f>
        <v>573012.94195450586</v>
      </c>
      <c r="H2" s="39">
        <f>'[1]Seasonality(VID)'!Q4</f>
        <v>1389225.6024459479</v>
      </c>
      <c r="I2" s="39">
        <f>'[1]Seasonality(CD)'!Q4</f>
        <v>1100664.2390947037</v>
      </c>
      <c r="J2" s="39">
        <f>'[1]Seasonality(VD)'!Q4</f>
        <v>2818630.8780973186</v>
      </c>
      <c r="K2" s="37"/>
    </row>
    <row r="3" spans="1:11" x14ac:dyDescent="0.3">
      <c r="A3" s="36" t="s">
        <v>60</v>
      </c>
      <c r="B3" s="39">
        <f>'[1]Seasonality(Factory)'!Q5</f>
        <v>4727070.2852014201</v>
      </c>
      <c r="C3" s="39">
        <f>'[1]Seasonality(VW)'!Q5</f>
        <v>3592873.1542123724</v>
      </c>
      <c r="D3" s="39">
        <f>'[1]Seasonality(CW)'!Q5</f>
        <v>1842892.4531295323</v>
      </c>
      <c r="E3" s="39">
        <f>'[1]Seasonality(ED)'!Q5</f>
        <v>595730.70377644</v>
      </c>
      <c r="F3" s="39">
        <f>'[1]Seasonality(KD)'!Q5</f>
        <v>320088.41223522834</v>
      </c>
      <c r="G3" s="39">
        <f>'[1]Seasonality(RD)'!Q5</f>
        <v>441833.12104505958</v>
      </c>
      <c r="H3" s="39">
        <f>'[1]Seasonality(VID)'!Q5</f>
        <v>1073974.0747871043</v>
      </c>
      <c r="I3" s="39">
        <f>'[1]Seasonality(CD)'!Q5</f>
        <v>806504.49181660078</v>
      </c>
      <c r="J3" s="39">
        <f>'[1]Seasonality(VD)'!Q5</f>
        <v>2197452.5890881028</v>
      </c>
      <c r="K3" s="37"/>
    </row>
    <row r="4" spans="1:11" x14ac:dyDescent="0.3">
      <c r="A4" s="36" t="s">
        <v>61</v>
      </c>
      <c r="B4" s="39">
        <f>'[1]Seasonality(Factory)'!Q6</f>
        <v>6692555.3639068557</v>
      </c>
      <c r="C4" s="39">
        <f>'[1]Seasonality(VW)'!Q6</f>
        <v>5005192.1452784175</v>
      </c>
      <c r="D4" s="39">
        <f>'[1]Seasonality(CW)'!Q6</f>
        <v>2688206.0708580026</v>
      </c>
      <c r="E4" s="39">
        <f>'[1]Seasonality(ED)'!Q6</f>
        <v>843805.2103248015</v>
      </c>
      <c r="F4" s="39">
        <f>'[1]Seasonality(KD)'!Q6</f>
        <v>422630.02770961635</v>
      </c>
      <c r="G4" s="39">
        <f>'[1]Seasonality(RD)'!Q6</f>
        <v>622343.30528811482</v>
      </c>
      <c r="H4" s="39">
        <f>'[1]Seasonality(VID)'!Q6</f>
        <v>1466495.8935602896</v>
      </c>
      <c r="I4" s="39">
        <f>'[1]Seasonality(CD)'!Q6</f>
        <v>1222690.5220230448</v>
      </c>
      <c r="J4" s="39">
        <f>'[1]Seasonality(VD)'!Q6</f>
        <v>3116599.613955942</v>
      </c>
      <c r="K4" s="37"/>
    </row>
    <row r="5" spans="1:11" x14ac:dyDescent="0.3">
      <c r="A5" s="36" t="s">
        <v>62</v>
      </c>
      <c r="B5" s="39">
        <f>'[1]Seasonality(Factory)'!Q7</f>
        <v>8625923.0925876629</v>
      </c>
      <c r="C5" s="39">
        <f>'[1]Seasonality(VW)'!Q7</f>
        <v>6140336.859498024</v>
      </c>
      <c r="D5" s="39">
        <f>'[1]Seasonality(CW)'!Q7</f>
        <v>3765942.6582706156</v>
      </c>
      <c r="E5" s="39">
        <f>'[1]Seasonality(ED)'!Q7</f>
        <v>1150350.0293012648</v>
      </c>
      <c r="F5" s="39">
        <f>'[1]Seasonality(KD)'!Q7</f>
        <v>510570.78694427054</v>
      </c>
      <c r="G5" s="39">
        <f>'[1]Seasonality(RD)'!Q7</f>
        <v>827033.83580383821</v>
      </c>
      <c r="H5" s="39">
        <f>'[1]Seasonality(VID)'!Q7</f>
        <v>1772524.864052332</v>
      </c>
      <c r="I5" s="39">
        <f>'[1]Seasonality(CD)'!Q7</f>
        <v>1788315.9830245392</v>
      </c>
      <c r="J5" s="39">
        <f>'[1]Seasonality(VD)'!Q7</f>
        <v>3859246.8098275554</v>
      </c>
      <c r="K5" s="37"/>
    </row>
    <row r="6" spans="1:11" x14ac:dyDescent="0.3">
      <c r="A6" s="36" t="s">
        <v>63</v>
      </c>
      <c r="B6" s="39">
        <f>'[1]Seasonality(Factory)'!Q8</f>
        <v>12535547.330858443</v>
      </c>
      <c r="C6" s="39">
        <f>'[1]Seasonality(VW)'!Q8</f>
        <v>9654793.9165126067</v>
      </c>
      <c r="D6" s="39">
        <f>'[1]Seasonality(CW)'!Q8</f>
        <v>4764045.024733156</v>
      </c>
      <c r="E6" s="39">
        <f>'[1]Seasonality(ED)'!Q8</f>
        <v>1429025.423232381</v>
      </c>
      <c r="F6" s="39">
        <f>'[1]Seasonality(KD)'!Q8</f>
        <v>850352.27525414876</v>
      </c>
      <c r="G6" s="39">
        <f>'[1]Seasonality(RD)'!Q8</f>
        <v>1165530.7403882276</v>
      </c>
      <c r="H6" s="39">
        <f>'[1]Seasonality(VID)'!Q8</f>
        <v>3028355.8251454253</v>
      </c>
      <c r="I6" s="39">
        <f>'[1]Seasonality(CD)'!Q8</f>
        <v>2166074.0680365963</v>
      </c>
      <c r="J6" s="39">
        <f>'[1]Seasonality(VD)'!Q8</f>
        <v>5768505.4368750174</v>
      </c>
      <c r="K6" s="37"/>
    </row>
    <row r="7" spans="1:11" x14ac:dyDescent="0.3">
      <c r="A7" s="36" t="s">
        <v>64</v>
      </c>
      <c r="B7" s="39">
        <f>'[1]Seasonality(Factory)'!Q9</f>
        <v>8956519.9522654098</v>
      </c>
      <c r="C7" s="39">
        <f>'[1]Seasonality(VW)'!Q9</f>
        <v>7016361.3253347175</v>
      </c>
      <c r="D7" s="39">
        <f>'[1]Seasonality(CW)'!Q9</f>
        <v>3289404.7149636731</v>
      </c>
      <c r="E7" s="39">
        <f>'[1]Seasonality(ED)'!Q9</f>
        <v>979751.07052524807</v>
      </c>
      <c r="F7" s="39">
        <f>'[1]Seasonality(KD)'!Q9</f>
        <v>533301.800890474</v>
      </c>
      <c r="G7" s="39">
        <f>'[1]Seasonality(RD)'!Q9</f>
        <v>753280.20094507257</v>
      </c>
      <c r="H7" s="39">
        <f>'[1]Seasonality(VID)'!Q9</f>
        <v>2115787.4196268939</v>
      </c>
      <c r="I7" s="39">
        <f>'[1]Seasonality(CD)'!Q9</f>
        <v>1554348.7934856939</v>
      </c>
      <c r="J7" s="39">
        <f>'[1]Seasonality(VD)'!Q9</f>
        <v>4369853.6313418904</v>
      </c>
      <c r="K7" s="37"/>
    </row>
    <row r="8" spans="1:11" x14ac:dyDescent="0.3">
      <c r="A8" s="36" t="s">
        <v>65</v>
      </c>
      <c r="B8" s="39">
        <f>'[1]Seasonality(Factory)'!Q10</f>
        <v>10453965.734814687</v>
      </c>
      <c r="C8" s="39">
        <f>'[1]Seasonality(VW)'!Q10</f>
        <v>7952089.0646773549</v>
      </c>
      <c r="D8" s="39">
        <f>'[1]Seasonality(CW)'!Q10</f>
        <v>4069362.193647013</v>
      </c>
      <c r="E8" s="39">
        <f>'[1]Seasonality(ED)'!Q10</f>
        <v>1235768.1344375492</v>
      </c>
      <c r="F8" s="39">
        <f>'[1]Seasonality(KD)'!Q10</f>
        <v>636790.29589805193</v>
      </c>
      <c r="G8" s="39">
        <f>'[1]Seasonality(RD)'!Q10</f>
        <v>961596.116774261</v>
      </c>
      <c r="H8" s="39">
        <f>'[1]Seasonality(VID)'!Q10</f>
        <v>2344503.4634968266</v>
      </c>
      <c r="I8" s="39">
        <f>'[1]Seasonality(CD)'!Q10</f>
        <v>1870388.9894148747</v>
      </c>
      <c r="J8" s="39">
        <f>'[1]Seasonality(VD)'!Q10</f>
        <v>4973376.5478937225</v>
      </c>
      <c r="K8" s="37"/>
    </row>
    <row r="9" spans="1:11" x14ac:dyDescent="0.3">
      <c r="A9" s="36" t="s">
        <v>66</v>
      </c>
      <c r="B9" s="39">
        <f>'[1]Seasonality(Factory)'!Q11</f>
        <v>9549224.7412318662</v>
      </c>
      <c r="C9" s="39">
        <f>'[1]Seasonality(VW)'!Q11</f>
        <v>7184132.6693900805</v>
      </c>
      <c r="D9" s="39">
        <f>'[1]Seasonality(CW)'!Q11</f>
        <v>3794452.5187678286</v>
      </c>
      <c r="E9" s="39">
        <f>'[1]Seasonality(ED)'!Q11</f>
        <v>1192305.3161571613</v>
      </c>
      <c r="F9" s="39">
        <f>'[1]Seasonality(KD)'!Q11</f>
        <v>585239.42335793865</v>
      </c>
      <c r="G9" s="39">
        <f>'[1]Seasonality(RD)'!Q11</f>
        <v>920226.14191499795</v>
      </c>
      <c r="H9" s="39">
        <f>'[1]Seasonality(VID)'!Q11</f>
        <v>2084578.4205128769</v>
      </c>
      <c r="I9" s="39">
        <f>'[1]Seasonality(CD)'!Q11</f>
        <v>1682302.5914889181</v>
      </c>
      <c r="J9" s="39">
        <f>'[1]Seasonality(VD)'!Q11</f>
        <v>4517087.1680459045</v>
      </c>
      <c r="K9" s="37"/>
    </row>
    <row r="10" spans="1:11" x14ac:dyDescent="0.3">
      <c r="A10" s="36" t="s">
        <v>67</v>
      </c>
      <c r="B10" s="39">
        <f>'[1]Seasonality(Factory)'!Q12</f>
        <v>7956846.782412909</v>
      </c>
      <c r="C10" s="39">
        <f>'[1]Seasonality(VW)'!Q12</f>
        <v>6028600.3558081295</v>
      </c>
      <c r="D10" s="39">
        <f>'[1]Seasonality(CW)'!Q12</f>
        <v>3120567.6175927124</v>
      </c>
      <c r="E10" s="39">
        <f>'[1]Seasonality(ED)'!Q12</f>
        <v>953829.29447438533</v>
      </c>
      <c r="F10" s="39">
        <f>'[1]Seasonality(KD)'!Q12</f>
        <v>515003.90985525516</v>
      </c>
      <c r="G10" s="39">
        <f>'[1]Seasonality(RD)'!Q12</f>
        <v>765485.56147699861</v>
      </c>
      <c r="H10" s="39">
        <f>'[1]Seasonality(VID)'!Q12</f>
        <v>1808174.9270915911</v>
      </c>
      <c r="I10" s="39">
        <f>'[1]Seasonality(CD)'!Q12</f>
        <v>1399969.6919412038</v>
      </c>
      <c r="J10" s="39">
        <f>'[1]Seasonality(VD)'!Q12</f>
        <v>3704348.4157785852</v>
      </c>
      <c r="K10" s="37"/>
    </row>
    <row r="11" spans="1:11" x14ac:dyDescent="0.3">
      <c r="A11" s="36" t="s">
        <v>68</v>
      </c>
      <c r="B11" s="39">
        <f>'[1]Seasonality(Factory)'!Q13</f>
        <v>8285695.9910589438</v>
      </c>
      <c r="C11" s="39">
        <f>'[1]Seasonality(VW)'!Q13</f>
        <v>6114150.9143323526</v>
      </c>
      <c r="D11" s="39">
        <f>'[1]Seasonality(CW)'!Q13</f>
        <v>3408082.9139045272</v>
      </c>
      <c r="E11" s="39">
        <f>'[1]Seasonality(ED)'!Q13</f>
        <v>1024058.2331698872</v>
      </c>
      <c r="F11" s="39">
        <f>'[1]Seasonality(KD)'!Q13</f>
        <v>511868.64913766133</v>
      </c>
      <c r="G11" s="39">
        <f>'[1]Seasonality(RD)'!Q13</f>
        <v>792366.17641249078</v>
      </c>
      <c r="H11" s="39">
        <f>'[1]Seasonality(VID)'!Q13</f>
        <v>1937602.3094122154</v>
      </c>
      <c r="I11" s="39">
        <f>'[1]Seasonality(CD)'!Q13</f>
        <v>1589889.8184693095</v>
      </c>
      <c r="J11" s="39">
        <f>'[1]Seasonality(VD)'!Q13</f>
        <v>3660936.2434418206</v>
      </c>
      <c r="K11" s="37"/>
    </row>
    <row r="12" spans="1:11" x14ac:dyDescent="0.3">
      <c r="A12" s="36" t="s">
        <v>69</v>
      </c>
      <c r="B12" s="39">
        <f>'[1]Seasonality(Factory)'!Q14</f>
        <v>8019771.4180724826</v>
      </c>
      <c r="C12" s="39">
        <f>'[1]Seasonality(VW)'!Q14</f>
        <v>5996270.7857990675</v>
      </c>
      <c r="D12" s="39">
        <f>'[1]Seasonality(CW)'!Q14</f>
        <v>3222776.145704892</v>
      </c>
      <c r="E12" s="39">
        <f>'[1]Seasonality(ED)'!Q14</f>
        <v>983286.62885147019</v>
      </c>
      <c r="F12" s="39">
        <f>'[1]Seasonality(KD)'!Q14</f>
        <v>499154.52558371786</v>
      </c>
      <c r="G12" s="39">
        <f>'[1]Seasonality(RD)'!Q14</f>
        <v>770221.66261592822</v>
      </c>
      <c r="H12" s="39">
        <f>'[1]Seasonality(VID)'!Q14</f>
        <v>1747436.4674568316</v>
      </c>
      <c r="I12" s="39">
        <f>'[1]Seasonality(CD)'!Q14</f>
        <v>1468127.2825653453</v>
      </c>
      <c r="J12" s="39">
        <f>'[1]Seasonality(VD)'!Q14</f>
        <v>3751075.0469003571</v>
      </c>
      <c r="K12" s="37"/>
    </row>
    <row r="13" spans="1:11" x14ac:dyDescent="0.3">
      <c r="A13" s="36" t="s">
        <v>70</v>
      </c>
      <c r="B13" s="39">
        <f>'[1]Seasonality(Factory)'!Q15</f>
        <v>7740460.8449659692</v>
      </c>
      <c r="C13" s="39">
        <f>'[1]Seasonality(VW)'!Q15</f>
        <v>5778641.1248597419</v>
      </c>
      <c r="D13" s="39">
        <f>'[1]Seasonality(CW)'!Q15</f>
        <v>3119055.169223865</v>
      </c>
      <c r="E13" s="39">
        <f>'[1]Seasonality(ED)'!Q15</f>
        <v>941489.76055204519</v>
      </c>
      <c r="F13" s="39">
        <f>'[1]Seasonality(KD)'!Q15</f>
        <v>451533.4180089407</v>
      </c>
      <c r="G13" s="39">
        <f>'[1]Seasonality(RD)'!Q15</f>
        <v>736339.92049410439</v>
      </c>
      <c r="H13" s="39">
        <f>'[1]Seasonality(VID)'!Q15</f>
        <v>1659595.4204860539</v>
      </c>
      <c r="I13" s="39">
        <f>'[1]Seasonality(CD)'!Q15</f>
        <v>1439687.591008469</v>
      </c>
      <c r="J13" s="39">
        <f>'[1]Seasonality(VD)'!Q15</f>
        <v>3671509.9913756694</v>
      </c>
      <c r="K13" s="37"/>
    </row>
    <row r="14" spans="1:11" x14ac:dyDescent="0.3">
      <c r="A14" s="36" t="s">
        <v>55</v>
      </c>
      <c r="B14" s="42">
        <f>SUM(B2:B13)</f>
        <v>99655323.909216389</v>
      </c>
      <c r="C14" s="42">
        <f t="shared" ref="C14:K14" si="0">SUM(C2:C13)</f>
        <v>75041834.984729737</v>
      </c>
      <c r="D14" s="42">
        <f t="shared" si="0"/>
        <v>39532356.298394538</v>
      </c>
      <c r="E14" s="42">
        <f t="shared" si="0"/>
        <v>12104135.990243761</v>
      </c>
      <c r="F14" s="42">
        <f t="shared" si="0"/>
        <v>6207049.8968590647</v>
      </c>
      <c r="G14" s="42">
        <f t="shared" si="0"/>
        <v>9329269.7251136005</v>
      </c>
      <c r="H14" s="42">
        <f t="shared" si="0"/>
        <v>22428254.688074391</v>
      </c>
      <c r="I14" s="42">
        <f t="shared" si="0"/>
        <v>18088964.062369298</v>
      </c>
      <c r="J14" s="42">
        <f t="shared" si="0"/>
        <v>46408622.372621879</v>
      </c>
      <c r="K14" s="38">
        <f t="shared" si="0"/>
        <v>0</v>
      </c>
    </row>
    <row r="15" spans="1:11" x14ac:dyDescent="0.3">
      <c r="A15" s="36" t="s">
        <v>56</v>
      </c>
      <c r="B15" s="39">
        <f>AVERAGE(B2:B13)</f>
        <v>8304610.3257680321</v>
      </c>
      <c r="C15" s="39">
        <f t="shared" ref="C15:J15" si="1">AVERAGE(C2:C13)</f>
        <v>6253486.2487274781</v>
      </c>
      <c r="D15" s="39">
        <f t="shared" si="1"/>
        <v>3294363.0248662117</v>
      </c>
      <c r="E15" s="39">
        <f t="shared" si="1"/>
        <v>1008677.9991869801</v>
      </c>
      <c r="F15" s="39">
        <f t="shared" si="1"/>
        <v>517254.15807158872</v>
      </c>
      <c r="G15" s="39">
        <f t="shared" si="1"/>
        <v>777439.14375946671</v>
      </c>
      <c r="H15" s="39">
        <f t="shared" si="1"/>
        <v>1869021.2240061993</v>
      </c>
      <c r="I15" s="39">
        <f t="shared" si="1"/>
        <v>1507413.6718641082</v>
      </c>
      <c r="J15" s="39">
        <f t="shared" si="1"/>
        <v>3867385.1977184899</v>
      </c>
    </row>
    <row r="16" spans="1:11" x14ac:dyDescent="0.3">
      <c r="A16" s="36" t="s">
        <v>57</v>
      </c>
      <c r="B16" s="39">
        <f t="shared" ref="B16:J16" si="2">STDEV(B2:B13)</f>
        <v>2029884.2016528475</v>
      </c>
      <c r="C16" s="39">
        <f t="shared" si="2"/>
        <v>1587442.0160866864</v>
      </c>
      <c r="D16" s="39">
        <f t="shared" si="2"/>
        <v>768903.4940612514</v>
      </c>
      <c r="E16" s="39">
        <f t="shared" si="2"/>
        <v>222328.54474711407</v>
      </c>
      <c r="F16" s="39">
        <f t="shared" si="2"/>
        <v>136251.22165950143</v>
      </c>
      <c r="G16" s="39">
        <f t="shared" si="2"/>
        <v>187941.82589325187</v>
      </c>
      <c r="H16" s="39">
        <f t="shared" si="2"/>
        <v>502556.02963525156</v>
      </c>
      <c r="I16" s="39">
        <f t="shared" si="2"/>
        <v>361756.14145479165</v>
      </c>
      <c r="J16" s="39">
        <f t="shared" si="2"/>
        <v>957528.31833239284</v>
      </c>
    </row>
    <row r="17" spans="1:10" x14ac:dyDescent="0.3">
      <c r="A17" s="40" t="s">
        <v>58</v>
      </c>
      <c r="B17" s="43">
        <f t="shared" ref="B17:C17" si="3">B16/SQRT(21.7)/200</f>
        <v>2178.7700712052006</v>
      </c>
      <c r="C17" s="43">
        <f t="shared" si="3"/>
        <v>1703.8760888956469</v>
      </c>
      <c r="D17" s="43">
        <f>D16/SQRT(21.7)/200</f>
        <v>825.30024084214494</v>
      </c>
      <c r="E17" s="43">
        <f t="shared" ref="E17:J17" si="4">E16/SQRT(21.7)/200</f>
        <v>238.63567137238172</v>
      </c>
      <c r="F17" s="43">
        <f t="shared" si="4"/>
        <v>146.24483686071702</v>
      </c>
      <c r="G17" s="43">
        <f t="shared" si="4"/>
        <v>201.72679064670396</v>
      </c>
      <c r="H17" s="43">
        <f t="shared" si="4"/>
        <v>539.41699510810804</v>
      </c>
      <c r="I17" s="43">
        <f t="shared" si="4"/>
        <v>388.28986078840904</v>
      </c>
      <c r="J17" s="43">
        <f t="shared" si="4"/>
        <v>1027.760125732952</v>
      </c>
    </row>
  </sheetData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3E1A8-E63B-4D0B-8817-526358485FA8}">
  <dimension ref="A1:H55"/>
  <sheetViews>
    <sheetView topLeftCell="A7" workbookViewId="0">
      <selection activeCell="H33" sqref="H33"/>
    </sheetView>
  </sheetViews>
  <sheetFormatPr defaultColWidth="9.109375" defaultRowHeight="13.2" x14ac:dyDescent="0.25"/>
  <cols>
    <col min="1" max="1" width="40" style="2" bestFit="1" customWidth="1"/>
    <col min="2" max="2" width="17.77734375" style="2" customWidth="1"/>
    <col min="3" max="3" width="12.5546875" style="2" bestFit="1" customWidth="1"/>
    <col min="4" max="4" width="11.6640625" style="2" bestFit="1" customWidth="1"/>
    <col min="5" max="5" width="12" style="2" bestFit="1" customWidth="1"/>
    <col min="6" max="16384" width="9.109375" style="2"/>
  </cols>
  <sheetData>
    <row r="1" spans="1:8" x14ac:dyDescent="0.25">
      <c r="A1" s="1"/>
    </row>
    <row r="2" spans="1:8" x14ac:dyDescent="0.25">
      <c r="A2" s="3"/>
    </row>
    <row r="4" spans="1:8" ht="17.399999999999999" x14ac:dyDescent="0.3">
      <c r="A4" s="4" t="s">
        <v>0</v>
      </c>
    </row>
    <row r="6" spans="1:8" ht="15.6" x14ac:dyDescent="0.3">
      <c r="A6" s="5" t="s">
        <v>1</v>
      </c>
      <c r="B6" s="5" t="s">
        <v>2</v>
      </c>
      <c r="C6" s="5"/>
      <c r="D6" s="5"/>
      <c r="E6" s="5"/>
      <c r="F6" s="5"/>
      <c r="G6" s="5"/>
      <c r="H6" s="5"/>
    </row>
    <row r="7" spans="1:8" x14ac:dyDescent="0.25">
      <c r="A7" s="6"/>
      <c r="B7" s="6"/>
    </row>
    <row r="10" spans="1:8" ht="13.8" thickBot="1" x14ac:dyDescent="0.3">
      <c r="A10" s="7" t="s">
        <v>3</v>
      </c>
    </row>
    <row r="11" spans="1:8" x14ac:dyDescent="0.25">
      <c r="A11" s="8" t="s">
        <v>4</v>
      </c>
      <c r="B11" s="9">
        <f>'Demand forecast 2022'!D14/200</f>
        <v>197661.78149197268</v>
      </c>
    </row>
    <row r="12" spans="1:8" x14ac:dyDescent="0.25">
      <c r="A12" s="10" t="s">
        <v>5</v>
      </c>
      <c r="B12" s="11">
        <v>5000</v>
      </c>
    </row>
    <row r="13" spans="1:8" x14ac:dyDescent="0.25">
      <c r="A13" s="10" t="s">
        <v>6</v>
      </c>
      <c r="B13" s="11">
        <v>200</v>
      </c>
      <c r="C13" s="2" t="s">
        <v>7</v>
      </c>
    </row>
    <row r="14" spans="1:8" x14ac:dyDescent="0.25">
      <c r="A14" s="10" t="s">
        <v>8</v>
      </c>
      <c r="B14" s="12">
        <f>B11/260</f>
        <v>760.23762112297186</v>
      </c>
    </row>
    <row r="15" spans="1:8" ht="13.8" thickBot="1" x14ac:dyDescent="0.3">
      <c r="A15" s="13" t="s">
        <v>9</v>
      </c>
      <c r="B15" s="14">
        <v>2</v>
      </c>
    </row>
    <row r="17" spans="1:5" ht="13.8" thickBot="1" x14ac:dyDescent="0.3">
      <c r="A17" s="15" t="s">
        <v>10</v>
      </c>
    </row>
    <row r="18" spans="1:5" x14ac:dyDescent="0.25">
      <c r="A18" s="16" t="s">
        <v>11</v>
      </c>
      <c r="B18" s="44">
        <f>SQRT(2*B11*B12/B13)</f>
        <v>3143.7380734721896</v>
      </c>
    </row>
    <row r="19" spans="1:5" x14ac:dyDescent="0.25">
      <c r="A19" s="17" t="s">
        <v>12</v>
      </c>
      <c r="B19" s="45">
        <f>B18</f>
        <v>3143.7380734721896</v>
      </c>
    </row>
    <row r="20" spans="1:5" x14ac:dyDescent="0.25">
      <c r="A20" s="17" t="s">
        <v>13</v>
      </c>
      <c r="B20" s="45">
        <f>B18/2</f>
        <v>1571.8690367360948</v>
      </c>
    </row>
    <row r="21" spans="1:5" x14ac:dyDescent="0.25">
      <c r="A21" s="17" t="s">
        <v>14</v>
      </c>
      <c r="B21" s="45">
        <f>B11/B18</f>
        <v>62.87476146944379</v>
      </c>
    </row>
    <row r="22" spans="1:5" x14ac:dyDescent="0.25">
      <c r="A22" s="17"/>
      <c r="B22" s="45"/>
    </row>
    <row r="23" spans="1:5" x14ac:dyDescent="0.25">
      <c r="A23" s="17" t="s">
        <v>15</v>
      </c>
      <c r="B23" s="45">
        <f>B20*B13</f>
        <v>314373.80734721897</v>
      </c>
    </row>
    <row r="24" spans="1:5" x14ac:dyDescent="0.25">
      <c r="A24" s="17" t="s">
        <v>16</v>
      </c>
      <c r="B24" s="45">
        <f>B21*B12</f>
        <v>314373.80734721897</v>
      </c>
    </row>
    <row r="25" spans="1:5" x14ac:dyDescent="0.25">
      <c r="A25" s="17"/>
      <c r="B25" s="45"/>
    </row>
    <row r="26" spans="1:5" ht="15.6" x14ac:dyDescent="0.35">
      <c r="A26" s="17" t="s">
        <v>17</v>
      </c>
      <c r="B26" s="46">
        <f>B23+B24</f>
        <v>628747.61469443794</v>
      </c>
    </row>
    <row r="27" spans="1:5" ht="13.8" thickBot="1" x14ac:dyDescent="0.3">
      <c r="A27" s="18" t="s">
        <v>18</v>
      </c>
      <c r="B27" s="47">
        <f>B14*B15</f>
        <v>1520.4752422459437</v>
      </c>
    </row>
    <row r="29" spans="1:5" x14ac:dyDescent="0.25">
      <c r="A29" s="2" t="s">
        <v>19</v>
      </c>
      <c r="B29" s="2" t="s">
        <v>20</v>
      </c>
      <c r="C29" s="19">
        <v>50</v>
      </c>
      <c r="D29" s="2" t="s">
        <v>21</v>
      </c>
      <c r="E29" s="19">
        <v>20</v>
      </c>
    </row>
    <row r="31" spans="1:5" x14ac:dyDescent="0.25">
      <c r="B31" s="2" t="s">
        <v>75</v>
      </c>
      <c r="C31" s="2" t="s">
        <v>16</v>
      </c>
      <c r="D31" s="2" t="s">
        <v>15</v>
      </c>
      <c r="E31" s="2" t="s">
        <v>22</v>
      </c>
    </row>
    <row r="32" spans="1:5" x14ac:dyDescent="0.25">
      <c r="B32" s="2">
        <f>C29</f>
        <v>50</v>
      </c>
      <c r="C32" s="48">
        <f>$B$11*$B$12/B32</f>
        <v>19766178.149197269</v>
      </c>
      <c r="D32" s="48">
        <f>$B$13*B32/2</f>
        <v>5000</v>
      </c>
      <c r="E32" s="48">
        <f>+C32+D32</f>
        <v>19771178.149197269</v>
      </c>
    </row>
    <row r="33" spans="2:5" x14ac:dyDescent="0.25">
      <c r="B33" s="2">
        <f>B32+$E$29</f>
        <v>70</v>
      </c>
      <c r="C33" s="48">
        <f t="shared" ref="C33:C55" si="0">$B$11*$B$12/B33</f>
        <v>14118698.677998049</v>
      </c>
      <c r="D33" s="48">
        <f t="shared" ref="D33:D55" si="1">$B$13*B33/2</f>
        <v>7000</v>
      </c>
      <c r="E33" s="48">
        <f t="shared" ref="E33:E55" si="2">+C33+D33</f>
        <v>14125698.677998049</v>
      </c>
    </row>
    <row r="34" spans="2:5" x14ac:dyDescent="0.25">
      <c r="B34" s="2">
        <f t="shared" ref="B34:B55" si="3">B33+$E$29</f>
        <v>90</v>
      </c>
      <c r="C34" s="48">
        <f t="shared" si="0"/>
        <v>10981210.082887372</v>
      </c>
      <c r="D34" s="48">
        <f t="shared" si="1"/>
        <v>9000</v>
      </c>
      <c r="E34" s="48">
        <f t="shared" si="2"/>
        <v>10990210.082887372</v>
      </c>
    </row>
    <row r="35" spans="2:5" x14ac:dyDescent="0.25">
      <c r="B35" s="2">
        <f t="shared" si="3"/>
        <v>110</v>
      </c>
      <c r="C35" s="48">
        <f t="shared" si="0"/>
        <v>8984626.4314533044</v>
      </c>
      <c r="D35" s="48">
        <f t="shared" si="1"/>
        <v>11000</v>
      </c>
      <c r="E35" s="48">
        <f t="shared" si="2"/>
        <v>8995626.4314533044</v>
      </c>
    </row>
    <row r="36" spans="2:5" x14ac:dyDescent="0.25">
      <c r="B36" s="2">
        <f t="shared" si="3"/>
        <v>130</v>
      </c>
      <c r="C36" s="48">
        <f t="shared" si="0"/>
        <v>7602376.2112297183</v>
      </c>
      <c r="D36" s="48">
        <f t="shared" si="1"/>
        <v>13000</v>
      </c>
      <c r="E36" s="48">
        <f t="shared" si="2"/>
        <v>7615376.2112297183</v>
      </c>
    </row>
    <row r="37" spans="2:5" x14ac:dyDescent="0.25">
      <c r="B37" s="2">
        <f t="shared" si="3"/>
        <v>150</v>
      </c>
      <c r="C37" s="48">
        <f t="shared" si="0"/>
        <v>6588726.0497324225</v>
      </c>
      <c r="D37" s="48">
        <f t="shared" si="1"/>
        <v>15000</v>
      </c>
      <c r="E37" s="48">
        <f t="shared" si="2"/>
        <v>6603726.0497324225</v>
      </c>
    </row>
    <row r="38" spans="2:5" x14ac:dyDescent="0.25">
      <c r="B38" s="2">
        <f t="shared" si="3"/>
        <v>170</v>
      </c>
      <c r="C38" s="48">
        <f t="shared" si="0"/>
        <v>5813581.8085874319</v>
      </c>
      <c r="D38" s="48">
        <f t="shared" si="1"/>
        <v>17000</v>
      </c>
      <c r="E38" s="48">
        <f t="shared" si="2"/>
        <v>5830581.8085874319</v>
      </c>
    </row>
    <row r="39" spans="2:5" x14ac:dyDescent="0.25">
      <c r="B39" s="2">
        <f t="shared" si="3"/>
        <v>190</v>
      </c>
      <c r="C39" s="48">
        <f t="shared" si="0"/>
        <v>5201625.8287361236</v>
      </c>
      <c r="D39" s="48">
        <f t="shared" si="1"/>
        <v>19000</v>
      </c>
      <c r="E39" s="48">
        <f t="shared" si="2"/>
        <v>5220625.8287361236</v>
      </c>
    </row>
    <row r="40" spans="2:5" x14ac:dyDescent="0.25">
      <c r="B40" s="2">
        <f t="shared" si="3"/>
        <v>210</v>
      </c>
      <c r="C40" s="48">
        <f t="shared" si="0"/>
        <v>4706232.8926660167</v>
      </c>
      <c r="D40" s="48">
        <f t="shared" si="1"/>
        <v>21000</v>
      </c>
      <c r="E40" s="48">
        <f t="shared" si="2"/>
        <v>4727232.8926660167</v>
      </c>
    </row>
    <row r="41" spans="2:5" x14ac:dyDescent="0.25">
      <c r="B41" s="2">
        <f t="shared" si="3"/>
        <v>230</v>
      </c>
      <c r="C41" s="48">
        <f t="shared" si="0"/>
        <v>4296995.2498254934</v>
      </c>
      <c r="D41" s="48">
        <f t="shared" si="1"/>
        <v>23000</v>
      </c>
      <c r="E41" s="48">
        <f t="shared" si="2"/>
        <v>4319995.2498254934</v>
      </c>
    </row>
    <row r="42" spans="2:5" x14ac:dyDescent="0.25">
      <c r="B42" s="2">
        <f t="shared" si="3"/>
        <v>250</v>
      </c>
      <c r="C42" s="48">
        <f t="shared" si="0"/>
        <v>3953235.6298394538</v>
      </c>
      <c r="D42" s="48">
        <f t="shared" si="1"/>
        <v>25000</v>
      </c>
      <c r="E42" s="48">
        <f t="shared" si="2"/>
        <v>3978235.6298394538</v>
      </c>
    </row>
    <row r="43" spans="2:5" x14ac:dyDescent="0.25">
      <c r="B43" s="2">
        <f t="shared" si="3"/>
        <v>270</v>
      </c>
      <c r="C43" s="48">
        <f t="shared" si="0"/>
        <v>3660403.360962457</v>
      </c>
      <c r="D43" s="48">
        <f t="shared" si="1"/>
        <v>27000</v>
      </c>
      <c r="E43" s="48">
        <f t="shared" si="2"/>
        <v>3687403.360962457</v>
      </c>
    </row>
    <row r="44" spans="2:5" x14ac:dyDescent="0.25">
      <c r="B44" s="2">
        <f t="shared" si="3"/>
        <v>290</v>
      </c>
      <c r="C44" s="48">
        <f t="shared" si="0"/>
        <v>3407961.749861598</v>
      </c>
      <c r="D44" s="48">
        <f t="shared" si="1"/>
        <v>29000</v>
      </c>
      <c r="E44" s="48">
        <f t="shared" si="2"/>
        <v>3436961.749861598</v>
      </c>
    </row>
    <row r="45" spans="2:5" x14ac:dyDescent="0.25">
      <c r="B45" s="2">
        <f t="shared" si="3"/>
        <v>310</v>
      </c>
      <c r="C45" s="48">
        <f t="shared" si="0"/>
        <v>3188093.2498705271</v>
      </c>
      <c r="D45" s="48">
        <f t="shared" si="1"/>
        <v>31000</v>
      </c>
      <c r="E45" s="48">
        <f t="shared" si="2"/>
        <v>3219093.2498705271</v>
      </c>
    </row>
    <row r="46" spans="2:5" x14ac:dyDescent="0.25">
      <c r="B46" s="2">
        <f t="shared" si="3"/>
        <v>330</v>
      </c>
      <c r="C46" s="48">
        <f t="shared" si="0"/>
        <v>2994875.4771511015</v>
      </c>
      <c r="D46" s="48">
        <f t="shared" si="1"/>
        <v>33000</v>
      </c>
      <c r="E46" s="48">
        <f t="shared" si="2"/>
        <v>3027875.4771511015</v>
      </c>
    </row>
    <row r="47" spans="2:5" x14ac:dyDescent="0.25">
      <c r="B47" s="2">
        <f t="shared" si="3"/>
        <v>350</v>
      </c>
      <c r="C47" s="48">
        <f t="shared" si="0"/>
        <v>2823739.7355996096</v>
      </c>
      <c r="D47" s="48">
        <f t="shared" si="1"/>
        <v>35000</v>
      </c>
      <c r="E47" s="48">
        <f t="shared" si="2"/>
        <v>2858739.7355996096</v>
      </c>
    </row>
    <row r="48" spans="2:5" x14ac:dyDescent="0.25">
      <c r="B48" s="2">
        <f t="shared" si="3"/>
        <v>370</v>
      </c>
      <c r="C48" s="48">
        <f t="shared" si="0"/>
        <v>2671105.1552969282</v>
      </c>
      <c r="D48" s="48">
        <f t="shared" si="1"/>
        <v>37000</v>
      </c>
      <c r="E48" s="48">
        <f t="shared" si="2"/>
        <v>2708105.1552969282</v>
      </c>
    </row>
    <row r="49" spans="2:5" x14ac:dyDescent="0.25">
      <c r="B49" s="2">
        <f t="shared" si="3"/>
        <v>390</v>
      </c>
      <c r="C49" s="48">
        <f t="shared" si="0"/>
        <v>2534125.4037432396</v>
      </c>
      <c r="D49" s="48">
        <f t="shared" si="1"/>
        <v>39000</v>
      </c>
      <c r="E49" s="48">
        <f t="shared" si="2"/>
        <v>2573125.4037432396</v>
      </c>
    </row>
    <row r="50" spans="2:5" x14ac:dyDescent="0.25">
      <c r="B50" s="2">
        <f t="shared" si="3"/>
        <v>410</v>
      </c>
      <c r="C50" s="48">
        <f t="shared" si="0"/>
        <v>2410509.5303899106</v>
      </c>
      <c r="D50" s="48">
        <f t="shared" si="1"/>
        <v>41000</v>
      </c>
      <c r="E50" s="48">
        <f t="shared" si="2"/>
        <v>2451509.5303899106</v>
      </c>
    </row>
    <row r="51" spans="2:5" x14ac:dyDescent="0.25">
      <c r="B51" s="2">
        <f t="shared" si="3"/>
        <v>430</v>
      </c>
      <c r="C51" s="48">
        <f t="shared" si="0"/>
        <v>2298392.8080461938</v>
      </c>
      <c r="D51" s="48">
        <f t="shared" si="1"/>
        <v>43000</v>
      </c>
      <c r="E51" s="48">
        <f t="shared" si="2"/>
        <v>2341392.8080461938</v>
      </c>
    </row>
    <row r="52" spans="2:5" x14ac:dyDescent="0.25">
      <c r="B52" s="2">
        <f t="shared" si="3"/>
        <v>450</v>
      </c>
      <c r="C52" s="48">
        <f t="shared" si="0"/>
        <v>2196242.0165774743</v>
      </c>
      <c r="D52" s="48">
        <f t="shared" si="1"/>
        <v>45000</v>
      </c>
      <c r="E52" s="48">
        <f t="shared" si="2"/>
        <v>2241242.0165774743</v>
      </c>
    </row>
    <row r="53" spans="2:5" x14ac:dyDescent="0.25">
      <c r="B53" s="2">
        <f t="shared" si="3"/>
        <v>470</v>
      </c>
      <c r="C53" s="48">
        <f t="shared" si="0"/>
        <v>2102784.909489071</v>
      </c>
      <c r="D53" s="48">
        <f t="shared" si="1"/>
        <v>47000</v>
      </c>
      <c r="E53" s="48">
        <f t="shared" si="2"/>
        <v>2149784.909489071</v>
      </c>
    </row>
    <row r="54" spans="2:5" x14ac:dyDescent="0.25">
      <c r="B54" s="2">
        <f t="shared" si="3"/>
        <v>490</v>
      </c>
      <c r="C54" s="48">
        <f t="shared" si="0"/>
        <v>2016956.9539997212</v>
      </c>
      <c r="D54" s="48">
        <f t="shared" si="1"/>
        <v>49000</v>
      </c>
      <c r="E54" s="48">
        <f t="shared" si="2"/>
        <v>2065956.9539997212</v>
      </c>
    </row>
    <row r="55" spans="2:5" x14ac:dyDescent="0.25">
      <c r="B55" s="2">
        <f t="shared" si="3"/>
        <v>510</v>
      </c>
      <c r="C55" s="48">
        <f t="shared" si="0"/>
        <v>1937860.6028624773</v>
      </c>
      <c r="D55" s="48">
        <f t="shared" si="1"/>
        <v>51000</v>
      </c>
      <c r="E55" s="48">
        <f t="shared" si="2"/>
        <v>1988860.6028624773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A0A9B-6C5A-4239-B5E5-05ED4D6A6B7B}">
  <dimension ref="A1:H55"/>
  <sheetViews>
    <sheetView tabSelected="1" topLeftCell="A6" workbookViewId="0">
      <selection activeCell="H33" sqref="H33"/>
    </sheetView>
  </sheetViews>
  <sheetFormatPr defaultColWidth="9.109375" defaultRowHeight="13.2" x14ac:dyDescent="0.25"/>
  <cols>
    <col min="1" max="1" width="25.77734375" style="2" customWidth="1"/>
    <col min="2" max="2" width="17.21875" style="2" customWidth="1"/>
    <col min="3" max="5" width="12.5546875" style="2" bestFit="1" customWidth="1"/>
    <col min="6" max="16384" width="9.109375" style="2"/>
  </cols>
  <sheetData>
    <row r="1" spans="1:8" x14ac:dyDescent="0.25">
      <c r="A1" s="1"/>
    </row>
    <row r="2" spans="1:8" x14ac:dyDescent="0.25">
      <c r="A2" s="3"/>
    </row>
    <row r="4" spans="1:8" ht="17.399999999999999" x14ac:dyDescent="0.3">
      <c r="A4" s="4" t="s">
        <v>23</v>
      </c>
    </row>
    <row r="6" spans="1:8" ht="15.6" x14ac:dyDescent="0.3">
      <c r="A6" s="5" t="s">
        <v>1</v>
      </c>
      <c r="B6" s="5" t="s">
        <v>24</v>
      </c>
      <c r="C6" s="5"/>
      <c r="D6" s="5"/>
      <c r="E6" s="5"/>
      <c r="F6" s="5"/>
      <c r="G6" s="5"/>
      <c r="H6" s="5"/>
    </row>
    <row r="7" spans="1:8" x14ac:dyDescent="0.25">
      <c r="A7" s="6"/>
      <c r="B7" s="6"/>
    </row>
    <row r="10" spans="1:8" ht="13.8" thickBot="1" x14ac:dyDescent="0.3">
      <c r="A10" s="7" t="s">
        <v>3</v>
      </c>
    </row>
    <row r="11" spans="1:8" x14ac:dyDescent="0.25">
      <c r="A11" s="8" t="s">
        <v>4</v>
      </c>
      <c r="B11" s="9">
        <f>'Demand forecast 2022'!C14/200</f>
        <v>375209.17492364871</v>
      </c>
    </row>
    <row r="12" spans="1:8" x14ac:dyDescent="0.25">
      <c r="A12" s="10" t="s">
        <v>25</v>
      </c>
      <c r="B12" s="11">
        <v>375000</v>
      </c>
    </row>
    <row r="13" spans="1:8" x14ac:dyDescent="0.25">
      <c r="A13" s="10" t="s">
        <v>6</v>
      </c>
      <c r="B13" s="11">
        <v>200</v>
      </c>
      <c r="C13" s="2" t="s">
        <v>7</v>
      </c>
    </row>
    <row r="14" spans="1:8" x14ac:dyDescent="0.25">
      <c r="A14" s="10" t="s">
        <v>26</v>
      </c>
      <c r="B14" s="11">
        <f>400000/200</f>
        <v>2000</v>
      </c>
    </row>
    <row r="15" spans="1:8" x14ac:dyDescent="0.25">
      <c r="A15" s="10" t="s">
        <v>8</v>
      </c>
      <c r="B15" s="12">
        <f>B11/260</f>
        <v>1443.1122112448027</v>
      </c>
    </row>
    <row r="17" spans="1:5" ht="13.8" thickBot="1" x14ac:dyDescent="0.3">
      <c r="A17" s="15" t="s">
        <v>10</v>
      </c>
    </row>
    <row r="18" spans="1:5" x14ac:dyDescent="0.25">
      <c r="A18" s="16" t="s">
        <v>27</v>
      </c>
      <c r="B18" s="44">
        <f>SQRT(2*B11*B12/B13)*SQRT(B14/(B14-B15))</f>
        <v>71085.906994409132</v>
      </c>
    </row>
    <row r="19" spans="1:5" x14ac:dyDescent="0.25">
      <c r="A19" s="17" t="s">
        <v>12</v>
      </c>
      <c r="B19" s="45">
        <f>B18*(B14-B15)/B14</f>
        <v>19793.436778887059</v>
      </c>
    </row>
    <row r="20" spans="1:5" x14ac:dyDescent="0.25">
      <c r="A20" s="17" t="s">
        <v>13</v>
      </c>
      <c r="B20" s="45">
        <f>B19/2</f>
        <v>9896.7183894435293</v>
      </c>
    </row>
    <row r="21" spans="1:5" x14ac:dyDescent="0.25">
      <c r="A21" s="17" t="s">
        <v>28</v>
      </c>
      <c r="B21" s="45">
        <f>B11/B18</f>
        <v>5.2782498077032161</v>
      </c>
    </row>
    <row r="22" spans="1:5" x14ac:dyDescent="0.25">
      <c r="A22" s="17"/>
      <c r="B22" s="45"/>
    </row>
    <row r="23" spans="1:5" x14ac:dyDescent="0.25">
      <c r="A23" s="17" t="s">
        <v>15</v>
      </c>
      <c r="B23" s="45">
        <f>B20*B13</f>
        <v>1979343.6778887059</v>
      </c>
    </row>
    <row r="24" spans="1:5" x14ac:dyDescent="0.25">
      <c r="A24" s="17" t="s">
        <v>16</v>
      </c>
      <c r="B24" s="45">
        <f>B21*B12</f>
        <v>1979343.6778887061</v>
      </c>
    </row>
    <row r="25" spans="1:5" x14ac:dyDescent="0.25">
      <c r="A25" s="17"/>
      <c r="B25" s="45"/>
    </row>
    <row r="26" spans="1:5" x14ac:dyDescent="0.25">
      <c r="A26" s="17"/>
      <c r="B26" s="45"/>
    </row>
    <row r="27" spans="1:5" ht="16.2" thickBot="1" x14ac:dyDescent="0.4">
      <c r="A27" s="18" t="s">
        <v>17</v>
      </c>
      <c r="B27" s="49">
        <f>B23+B24</f>
        <v>3958687.3557774117</v>
      </c>
    </row>
    <row r="29" spans="1:5" x14ac:dyDescent="0.25">
      <c r="A29" s="2" t="s">
        <v>19</v>
      </c>
      <c r="B29" s="2" t="s">
        <v>20</v>
      </c>
      <c r="C29" s="50">
        <f>B18/4</f>
        <v>17771.476748602283</v>
      </c>
      <c r="D29" s="2" t="s">
        <v>21</v>
      </c>
      <c r="E29" s="50">
        <f>B18/12</f>
        <v>5923.8255828674273</v>
      </c>
    </row>
    <row r="31" spans="1:5" x14ac:dyDescent="0.25">
      <c r="B31" s="2" t="s">
        <v>75</v>
      </c>
      <c r="C31" s="2" t="s">
        <v>16</v>
      </c>
      <c r="D31" s="2" t="s">
        <v>15</v>
      </c>
      <c r="E31" s="2" t="s">
        <v>22</v>
      </c>
    </row>
    <row r="32" spans="1:5" x14ac:dyDescent="0.25">
      <c r="B32" s="48">
        <f>$B$18/4+A32*$B$18/12</f>
        <v>17771.476748602283</v>
      </c>
      <c r="C32" s="48">
        <f>$B$11*$B$12/B32</f>
        <v>7917374.7115548234</v>
      </c>
      <c r="D32" s="48">
        <f>$B$13*(B32/2)*($B$14-$B$15)/$B$14</f>
        <v>494835.91947217647</v>
      </c>
      <c r="E32" s="48">
        <f>+C32+D32</f>
        <v>8412210.631027</v>
      </c>
    </row>
    <row r="33" spans="2:5" x14ac:dyDescent="0.25">
      <c r="B33" s="48">
        <f>B32+$E$29</f>
        <v>23695.302331469709</v>
      </c>
      <c r="C33" s="48">
        <f t="shared" ref="C33:C55" si="0">$B$11*$B$12/B33</f>
        <v>5938031.033666118</v>
      </c>
      <c r="D33" s="48">
        <f t="shared" ref="D33:D55" si="1">$B$13*(B33/2)*($B$14-$B$15)/$B$14</f>
        <v>659781.22596290195</v>
      </c>
      <c r="E33" s="48">
        <f t="shared" ref="E33:E55" si="2">+C33+D33</f>
        <v>6597812.2596290205</v>
      </c>
    </row>
    <row r="34" spans="2:5" x14ac:dyDescent="0.25">
      <c r="B34" s="48">
        <f t="shared" ref="B34:B55" si="3">B33+$E$29</f>
        <v>29619.127914337136</v>
      </c>
      <c r="C34" s="48">
        <f t="shared" si="0"/>
        <v>4750424.826932895</v>
      </c>
      <c r="D34" s="48">
        <f t="shared" si="1"/>
        <v>824726.53245362733</v>
      </c>
      <c r="E34" s="48">
        <f t="shared" si="2"/>
        <v>5575151.3593865223</v>
      </c>
    </row>
    <row r="35" spans="2:5" x14ac:dyDescent="0.25">
      <c r="B35" s="48">
        <f t="shared" si="3"/>
        <v>35542.953497204566</v>
      </c>
      <c r="C35" s="48">
        <f t="shared" si="0"/>
        <v>3958687.3557774117</v>
      </c>
      <c r="D35" s="48">
        <f t="shared" si="1"/>
        <v>989671.83894435293</v>
      </c>
      <c r="E35" s="48">
        <f t="shared" si="2"/>
        <v>4948359.1947217649</v>
      </c>
    </row>
    <row r="36" spans="2:5" x14ac:dyDescent="0.25">
      <c r="B36" s="48">
        <f t="shared" si="3"/>
        <v>41466.779080071996</v>
      </c>
      <c r="C36" s="48">
        <f t="shared" si="0"/>
        <v>3393160.5906663528</v>
      </c>
      <c r="D36" s="48">
        <f t="shared" si="1"/>
        <v>1154617.1454350783</v>
      </c>
      <c r="E36" s="48">
        <f t="shared" si="2"/>
        <v>4547777.7361014308</v>
      </c>
    </row>
    <row r="37" spans="2:5" x14ac:dyDescent="0.25">
      <c r="B37" s="48">
        <f t="shared" si="3"/>
        <v>47390.604662939426</v>
      </c>
      <c r="C37" s="48">
        <f t="shared" si="0"/>
        <v>2969015.5168330586</v>
      </c>
      <c r="D37" s="48">
        <f t="shared" si="1"/>
        <v>1319562.4519258039</v>
      </c>
      <c r="E37" s="48">
        <f t="shared" si="2"/>
        <v>4288577.9687588625</v>
      </c>
    </row>
    <row r="38" spans="2:5" x14ac:dyDescent="0.25">
      <c r="B38" s="48">
        <f t="shared" si="3"/>
        <v>53314.430245806856</v>
      </c>
      <c r="C38" s="48">
        <f t="shared" si="0"/>
        <v>2639124.9038516073</v>
      </c>
      <c r="D38" s="48">
        <f t="shared" si="1"/>
        <v>1484507.7584165297</v>
      </c>
      <c r="E38" s="48">
        <f t="shared" si="2"/>
        <v>4123632.6622681371</v>
      </c>
    </row>
    <row r="39" spans="2:5" x14ac:dyDescent="0.25">
      <c r="B39" s="48">
        <f t="shared" si="3"/>
        <v>59238.255828674286</v>
      </c>
      <c r="C39" s="48">
        <f t="shared" si="0"/>
        <v>2375212.4134664466</v>
      </c>
      <c r="D39" s="48">
        <f t="shared" si="1"/>
        <v>1649453.0649072551</v>
      </c>
      <c r="E39" s="48">
        <f t="shared" si="2"/>
        <v>4024665.4783737017</v>
      </c>
    </row>
    <row r="40" spans="2:5" x14ac:dyDescent="0.25">
      <c r="B40" s="48">
        <f t="shared" si="3"/>
        <v>65162.081411541716</v>
      </c>
      <c r="C40" s="48">
        <f t="shared" si="0"/>
        <v>2159284.0122422241</v>
      </c>
      <c r="D40" s="48">
        <f t="shared" si="1"/>
        <v>1814398.3713979807</v>
      </c>
      <c r="E40" s="48">
        <f t="shared" si="2"/>
        <v>3973682.3836402046</v>
      </c>
    </row>
    <row r="41" spans="2:5" x14ac:dyDescent="0.25">
      <c r="B41" s="48">
        <f t="shared" si="3"/>
        <v>71085.906994409146</v>
      </c>
      <c r="C41" s="48">
        <f t="shared" si="0"/>
        <v>1979343.6778887056</v>
      </c>
      <c r="D41" s="48">
        <f t="shared" si="1"/>
        <v>1979343.6778887061</v>
      </c>
      <c r="E41" s="48">
        <f t="shared" si="2"/>
        <v>3958687.3557774117</v>
      </c>
    </row>
    <row r="42" spans="2:5" x14ac:dyDescent="0.25">
      <c r="B42" s="48">
        <f t="shared" si="3"/>
        <v>77009.732577276576</v>
      </c>
      <c r="C42" s="48">
        <f t="shared" si="0"/>
        <v>1827086.4718972666</v>
      </c>
      <c r="D42" s="48">
        <f t="shared" si="1"/>
        <v>2144288.9843794317</v>
      </c>
      <c r="E42" s="48">
        <f t="shared" si="2"/>
        <v>3971375.456276698</v>
      </c>
    </row>
    <row r="43" spans="2:5" x14ac:dyDescent="0.25">
      <c r="B43" s="48">
        <f t="shared" si="3"/>
        <v>82933.558160144006</v>
      </c>
      <c r="C43" s="48">
        <f t="shared" si="0"/>
        <v>1696580.2953331762</v>
      </c>
      <c r="D43" s="48">
        <f t="shared" si="1"/>
        <v>2309234.2908701571</v>
      </c>
      <c r="E43" s="48">
        <f t="shared" si="2"/>
        <v>4005814.586203333</v>
      </c>
    </row>
    <row r="44" spans="2:5" x14ac:dyDescent="0.25">
      <c r="B44" s="48">
        <f t="shared" si="3"/>
        <v>88857.383743011436</v>
      </c>
      <c r="C44" s="48">
        <f t="shared" si="0"/>
        <v>1583474.9423109645</v>
      </c>
      <c r="D44" s="48">
        <f t="shared" si="1"/>
        <v>2474179.5973608829</v>
      </c>
      <c r="E44" s="48">
        <f t="shared" si="2"/>
        <v>4057654.5396718476</v>
      </c>
    </row>
    <row r="45" spans="2:5" x14ac:dyDescent="0.25">
      <c r="B45" s="48">
        <f t="shared" si="3"/>
        <v>94781.209325878866</v>
      </c>
      <c r="C45" s="48">
        <f t="shared" si="0"/>
        <v>1484507.758416529</v>
      </c>
      <c r="D45" s="48">
        <f t="shared" si="1"/>
        <v>2639124.9038516083</v>
      </c>
      <c r="E45" s="48">
        <f t="shared" si="2"/>
        <v>4123632.6622681376</v>
      </c>
    </row>
    <row r="46" spans="2:5" x14ac:dyDescent="0.25">
      <c r="B46" s="48">
        <f t="shared" si="3"/>
        <v>100705.0349087463</v>
      </c>
      <c r="C46" s="48">
        <f t="shared" si="0"/>
        <v>1397183.7726273215</v>
      </c>
      <c r="D46" s="48">
        <f t="shared" si="1"/>
        <v>2804070.2103423337</v>
      </c>
      <c r="E46" s="48">
        <f t="shared" si="2"/>
        <v>4201253.9829696547</v>
      </c>
    </row>
    <row r="47" spans="2:5" x14ac:dyDescent="0.25">
      <c r="B47" s="48">
        <f t="shared" si="3"/>
        <v>106628.86049161373</v>
      </c>
      <c r="C47" s="48">
        <f t="shared" si="0"/>
        <v>1319562.4519258037</v>
      </c>
      <c r="D47" s="48">
        <f t="shared" si="1"/>
        <v>2969015.51683306</v>
      </c>
      <c r="E47" s="48">
        <f t="shared" si="2"/>
        <v>4288577.9687588634</v>
      </c>
    </row>
    <row r="48" spans="2:5" x14ac:dyDescent="0.25">
      <c r="B48" s="48">
        <f t="shared" si="3"/>
        <v>112552.68607448116</v>
      </c>
      <c r="C48" s="48">
        <f t="shared" si="0"/>
        <v>1250111.7965612877</v>
      </c>
      <c r="D48" s="48">
        <f t="shared" si="1"/>
        <v>3133960.8233237853</v>
      </c>
      <c r="E48" s="48">
        <f t="shared" si="2"/>
        <v>4384072.619885073</v>
      </c>
    </row>
    <row r="49" spans="2:5" x14ac:dyDescent="0.25">
      <c r="B49" s="48">
        <f t="shared" si="3"/>
        <v>118476.51165734859</v>
      </c>
      <c r="C49" s="48">
        <f t="shared" si="0"/>
        <v>1187606.2067332233</v>
      </c>
      <c r="D49" s="48">
        <f t="shared" si="1"/>
        <v>3298906.1298145107</v>
      </c>
      <c r="E49" s="48">
        <f t="shared" si="2"/>
        <v>4486512.3365477342</v>
      </c>
    </row>
    <row r="50" spans="2:5" x14ac:dyDescent="0.25">
      <c r="B50" s="48">
        <f t="shared" si="3"/>
        <v>124400.33724021602</v>
      </c>
      <c r="C50" s="48">
        <f t="shared" si="0"/>
        <v>1131053.5302221174</v>
      </c>
      <c r="D50" s="48">
        <f t="shared" si="1"/>
        <v>3463851.4363052365</v>
      </c>
      <c r="E50" s="48">
        <f t="shared" si="2"/>
        <v>4594904.966527354</v>
      </c>
    </row>
    <row r="51" spans="2:5" x14ac:dyDescent="0.25">
      <c r="B51" s="48">
        <f t="shared" si="3"/>
        <v>130324.16282308345</v>
      </c>
      <c r="C51" s="48">
        <f t="shared" si="0"/>
        <v>1079642.006121112</v>
      </c>
      <c r="D51" s="48">
        <f t="shared" si="1"/>
        <v>3628796.7427959614</v>
      </c>
      <c r="E51" s="48">
        <f t="shared" si="2"/>
        <v>4708438.748917073</v>
      </c>
    </row>
    <row r="52" spans="2:5" x14ac:dyDescent="0.25">
      <c r="B52" s="48">
        <f t="shared" si="3"/>
        <v>136247.98840595086</v>
      </c>
      <c r="C52" s="48">
        <f t="shared" si="0"/>
        <v>1032701.0493332377</v>
      </c>
      <c r="D52" s="48">
        <f t="shared" si="1"/>
        <v>3793742.0492866873</v>
      </c>
      <c r="E52" s="48">
        <f t="shared" si="2"/>
        <v>4826443.0986199249</v>
      </c>
    </row>
    <row r="53" spans="2:5" x14ac:dyDescent="0.25">
      <c r="B53" s="48">
        <f t="shared" si="3"/>
        <v>142171.81398881829</v>
      </c>
      <c r="C53" s="48">
        <f t="shared" si="0"/>
        <v>989671.83894435281</v>
      </c>
      <c r="D53" s="48">
        <f t="shared" si="1"/>
        <v>3958687.3557774122</v>
      </c>
      <c r="E53" s="48">
        <f t="shared" si="2"/>
        <v>4948359.1947217649</v>
      </c>
    </row>
    <row r="54" spans="2:5" x14ac:dyDescent="0.25">
      <c r="B54" s="48">
        <f t="shared" si="3"/>
        <v>148095.63957168572</v>
      </c>
      <c r="C54" s="48">
        <f t="shared" si="0"/>
        <v>950084.9653865787</v>
      </c>
      <c r="D54" s="48">
        <f t="shared" si="1"/>
        <v>4123632.662268138</v>
      </c>
      <c r="E54" s="48">
        <f t="shared" si="2"/>
        <v>5073717.6276547164</v>
      </c>
    </row>
    <row r="55" spans="2:5" x14ac:dyDescent="0.25">
      <c r="B55" s="48">
        <f t="shared" si="3"/>
        <v>154019.46515455315</v>
      </c>
      <c r="C55" s="48">
        <f t="shared" si="0"/>
        <v>913543.23594863329</v>
      </c>
      <c r="D55" s="48">
        <f t="shared" si="1"/>
        <v>4288577.9687588634</v>
      </c>
      <c r="E55" s="48">
        <f t="shared" si="2"/>
        <v>5202121.2047074968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E5BE-128F-47CA-AF0D-03C0198CCE42}">
  <sheetPr>
    <pageSetUpPr fitToPage="1"/>
  </sheetPr>
  <dimension ref="A1:L26"/>
  <sheetViews>
    <sheetView zoomScale="92" workbookViewId="0">
      <selection activeCell="F29" sqref="F29"/>
    </sheetView>
  </sheetViews>
  <sheetFormatPr defaultColWidth="8.77734375" defaultRowHeight="13.2" x14ac:dyDescent="0.25"/>
  <cols>
    <col min="1" max="1" width="61.6640625" style="21" bestFit="1" customWidth="1"/>
    <col min="2" max="7" width="13.77734375" style="21" customWidth="1"/>
    <col min="8" max="8" width="8.77734375" style="21" customWidth="1"/>
    <col min="9" max="9" width="2" style="21" customWidth="1"/>
    <col min="10" max="11" width="8.77734375" style="21" hidden="1" customWidth="1"/>
    <col min="12" max="12" width="48.33203125" style="21" customWidth="1"/>
    <col min="13" max="14" width="8.77734375" style="21"/>
    <col min="15" max="15" width="12.6640625" style="21" customWidth="1"/>
    <col min="16" max="261" width="8.77734375" style="21"/>
    <col min="262" max="262" width="47.21875" style="21" customWidth="1"/>
    <col min="263" max="263" width="13.77734375" style="21" customWidth="1"/>
    <col min="264" max="264" width="8.77734375" style="21" customWidth="1"/>
    <col min="265" max="265" width="2" style="21" customWidth="1"/>
    <col min="266" max="267" width="0" style="21" hidden="1" customWidth="1"/>
    <col min="268" max="268" width="48.33203125" style="21" customWidth="1"/>
    <col min="269" max="270" width="8.77734375" style="21"/>
    <col min="271" max="271" width="12.6640625" style="21" customWidth="1"/>
    <col min="272" max="517" width="8.77734375" style="21"/>
    <col min="518" max="518" width="47.21875" style="21" customWidth="1"/>
    <col min="519" max="519" width="13.77734375" style="21" customWidth="1"/>
    <col min="520" max="520" width="8.77734375" style="21" customWidth="1"/>
    <col min="521" max="521" width="2" style="21" customWidth="1"/>
    <col min="522" max="523" width="0" style="21" hidden="1" customWidth="1"/>
    <col min="524" max="524" width="48.33203125" style="21" customWidth="1"/>
    <col min="525" max="526" width="8.77734375" style="21"/>
    <col min="527" max="527" width="12.6640625" style="21" customWidth="1"/>
    <col min="528" max="773" width="8.77734375" style="21"/>
    <col min="774" max="774" width="47.21875" style="21" customWidth="1"/>
    <col min="775" max="775" width="13.77734375" style="21" customWidth="1"/>
    <col min="776" max="776" width="8.77734375" style="21" customWidth="1"/>
    <col min="777" max="777" width="2" style="21" customWidth="1"/>
    <col min="778" max="779" width="0" style="21" hidden="1" customWidth="1"/>
    <col min="780" max="780" width="48.33203125" style="21" customWidth="1"/>
    <col min="781" max="782" width="8.77734375" style="21"/>
    <col min="783" max="783" width="12.6640625" style="21" customWidth="1"/>
    <col min="784" max="1029" width="8.77734375" style="21"/>
    <col min="1030" max="1030" width="47.21875" style="21" customWidth="1"/>
    <col min="1031" max="1031" width="13.77734375" style="21" customWidth="1"/>
    <col min="1032" max="1032" width="8.77734375" style="21" customWidth="1"/>
    <col min="1033" max="1033" width="2" style="21" customWidth="1"/>
    <col min="1034" max="1035" width="0" style="21" hidden="1" customWidth="1"/>
    <col min="1036" max="1036" width="48.33203125" style="21" customWidth="1"/>
    <col min="1037" max="1038" width="8.77734375" style="21"/>
    <col min="1039" max="1039" width="12.6640625" style="21" customWidth="1"/>
    <col min="1040" max="1285" width="8.77734375" style="21"/>
    <col min="1286" max="1286" width="47.21875" style="21" customWidth="1"/>
    <col min="1287" max="1287" width="13.77734375" style="21" customWidth="1"/>
    <col min="1288" max="1288" width="8.77734375" style="21" customWidth="1"/>
    <col min="1289" max="1289" width="2" style="21" customWidth="1"/>
    <col min="1290" max="1291" width="0" style="21" hidden="1" customWidth="1"/>
    <col min="1292" max="1292" width="48.33203125" style="21" customWidth="1"/>
    <col min="1293" max="1294" width="8.77734375" style="21"/>
    <col min="1295" max="1295" width="12.6640625" style="21" customWidth="1"/>
    <col min="1296" max="1541" width="8.77734375" style="21"/>
    <col min="1542" max="1542" width="47.21875" style="21" customWidth="1"/>
    <col min="1543" max="1543" width="13.77734375" style="21" customWidth="1"/>
    <col min="1544" max="1544" width="8.77734375" style="21" customWidth="1"/>
    <col min="1545" max="1545" width="2" style="21" customWidth="1"/>
    <col min="1546" max="1547" width="0" style="21" hidden="1" customWidth="1"/>
    <col min="1548" max="1548" width="48.33203125" style="21" customWidth="1"/>
    <col min="1549" max="1550" width="8.77734375" style="21"/>
    <col min="1551" max="1551" width="12.6640625" style="21" customWidth="1"/>
    <col min="1552" max="1797" width="8.77734375" style="21"/>
    <col min="1798" max="1798" width="47.21875" style="21" customWidth="1"/>
    <col min="1799" max="1799" width="13.77734375" style="21" customWidth="1"/>
    <col min="1800" max="1800" width="8.77734375" style="21" customWidth="1"/>
    <col min="1801" max="1801" width="2" style="21" customWidth="1"/>
    <col min="1802" max="1803" width="0" style="21" hidden="1" customWidth="1"/>
    <col min="1804" max="1804" width="48.33203125" style="21" customWidth="1"/>
    <col min="1805" max="1806" width="8.77734375" style="21"/>
    <col min="1807" max="1807" width="12.6640625" style="21" customWidth="1"/>
    <col min="1808" max="2053" width="8.77734375" style="21"/>
    <col min="2054" max="2054" width="47.21875" style="21" customWidth="1"/>
    <col min="2055" max="2055" width="13.77734375" style="21" customWidth="1"/>
    <col min="2056" max="2056" width="8.77734375" style="21" customWidth="1"/>
    <col min="2057" max="2057" width="2" style="21" customWidth="1"/>
    <col min="2058" max="2059" width="0" style="21" hidden="1" customWidth="1"/>
    <col min="2060" max="2060" width="48.33203125" style="21" customWidth="1"/>
    <col min="2061" max="2062" width="8.77734375" style="21"/>
    <col min="2063" max="2063" width="12.6640625" style="21" customWidth="1"/>
    <col min="2064" max="2309" width="8.77734375" style="21"/>
    <col min="2310" max="2310" width="47.21875" style="21" customWidth="1"/>
    <col min="2311" max="2311" width="13.77734375" style="21" customWidth="1"/>
    <col min="2312" max="2312" width="8.77734375" style="21" customWidth="1"/>
    <col min="2313" max="2313" width="2" style="21" customWidth="1"/>
    <col min="2314" max="2315" width="0" style="21" hidden="1" customWidth="1"/>
    <col min="2316" max="2316" width="48.33203125" style="21" customWidth="1"/>
    <col min="2317" max="2318" width="8.77734375" style="21"/>
    <col min="2319" max="2319" width="12.6640625" style="21" customWidth="1"/>
    <col min="2320" max="2565" width="8.77734375" style="21"/>
    <col min="2566" max="2566" width="47.21875" style="21" customWidth="1"/>
    <col min="2567" max="2567" width="13.77734375" style="21" customWidth="1"/>
    <col min="2568" max="2568" width="8.77734375" style="21" customWidth="1"/>
    <col min="2569" max="2569" width="2" style="21" customWidth="1"/>
    <col min="2570" max="2571" width="0" style="21" hidden="1" customWidth="1"/>
    <col min="2572" max="2572" width="48.33203125" style="21" customWidth="1"/>
    <col min="2573" max="2574" width="8.77734375" style="21"/>
    <col min="2575" max="2575" width="12.6640625" style="21" customWidth="1"/>
    <col min="2576" max="2821" width="8.77734375" style="21"/>
    <col min="2822" max="2822" width="47.21875" style="21" customWidth="1"/>
    <col min="2823" max="2823" width="13.77734375" style="21" customWidth="1"/>
    <col min="2824" max="2824" width="8.77734375" style="21" customWidth="1"/>
    <col min="2825" max="2825" width="2" style="21" customWidth="1"/>
    <col min="2826" max="2827" width="0" style="21" hidden="1" customWidth="1"/>
    <col min="2828" max="2828" width="48.33203125" style="21" customWidth="1"/>
    <col min="2829" max="2830" width="8.77734375" style="21"/>
    <col min="2831" max="2831" width="12.6640625" style="21" customWidth="1"/>
    <col min="2832" max="3077" width="8.77734375" style="21"/>
    <col min="3078" max="3078" width="47.21875" style="21" customWidth="1"/>
    <col min="3079" max="3079" width="13.77734375" style="21" customWidth="1"/>
    <col min="3080" max="3080" width="8.77734375" style="21" customWidth="1"/>
    <col min="3081" max="3081" width="2" style="21" customWidth="1"/>
    <col min="3082" max="3083" width="0" style="21" hidden="1" customWidth="1"/>
    <col min="3084" max="3084" width="48.33203125" style="21" customWidth="1"/>
    <col min="3085" max="3086" width="8.77734375" style="21"/>
    <col min="3087" max="3087" width="12.6640625" style="21" customWidth="1"/>
    <col min="3088" max="3333" width="8.77734375" style="21"/>
    <col min="3334" max="3334" width="47.21875" style="21" customWidth="1"/>
    <col min="3335" max="3335" width="13.77734375" style="21" customWidth="1"/>
    <col min="3336" max="3336" width="8.77734375" style="21" customWidth="1"/>
    <col min="3337" max="3337" width="2" style="21" customWidth="1"/>
    <col min="3338" max="3339" width="0" style="21" hidden="1" customWidth="1"/>
    <col min="3340" max="3340" width="48.33203125" style="21" customWidth="1"/>
    <col min="3341" max="3342" width="8.77734375" style="21"/>
    <col min="3343" max="3343" width="12.6640625" style="21" customWidth="1"/>
    <col min="3344" max="3589" width="8.77734375" style="21"/>
    <col min="3590" max="3590" width="47.21875" style="21" customWidth="1"/>
    <col min="3591" max="3591" width="13.77734375" style="21" customWidth="1"/>
    <col min="3592" max="3592" width="8.77734375" style="21" customWidth="1"/>
    <col min="3593" max="3593" width="2" style="21" customWidth="1"/>
    <col min="3594" max="3595" width="0" style="21" hidden="1" customWidth="1"/>
    <col min="3596" max="3596" width="48.33203125" style="21" customWidth="1"/>
    <col min="3597" max="3598" width="8.77734375" style="21"/>
    <col min="3599" max="3599" width="12.6640625" style="21" customWidth="1"/>
    <col min="3600" max="3845" width="8.77734375" style="21"/>
    <col min="3846" max="3846" width="47.21875" style="21" customWidth="1"/>
    <col min="3847" max="3847" width="13.77734375" style="21" customWidth="1"/>
    <col min="3848" max="3848" width="8.77734375" style="21" customWidth="1"/>
    <col min="3849" max="3849" width="2" style="21" customWidth="1"/>
    <col min="3850" max="3851" width="0" style="21" hidden="1" customWidth="1"/>
    <col min="3852" max="3852" width="48.33203125" style="21" customWidth="1"/>
    <col min="3853" max="3854" width="8.77734375" style="21"/>
    <col min="3855" max="3855" width="12.6640625" style="21" customWidth="1"/>
    <col min="3856" max="4101" width="8.77734375" style="21"/>
    <col min="4102" max="4102" width="47.21875" style="21" customWidth="1"/>
    <col min="4103" max="4103" width="13.77734375" style="21" customWidth="1"/>
    <col min="4104" max="4104" width="8.77734375" style="21" customWidth="1"/>
    <col min="4105" max="4105" width="2" style="21" customWidth="1"/>
    <col min="4106" max="4107" width="0" style="21" hidden="1" customWidth="1"/>
    <col min="4108" max="4108" width="48.33203125" style="21" customWidth="1"/>
    <col min="4109" max="4110" width="8.77734375" style="21"/>
    <col min="4111" max="4111" width="12.6640625" style="21" customWidth="1"/>
    <col min="4112" max="4357" width="8.77734375" style="21"/>
    <col min="4358" max="4358" width="47.21875" style="21" customWidth="1"/>
    <col min="4359" max="4359" width="13.77734375" style="21" customWidth="1"/>
    <col min="4360" max="4360" width="8.77734375" style="21" customWidth="1"/>
    <col min="4361" max="4361" width="2" style="21" customWidth="1"/>
    <col min="4362" max="4363" width="0" style="21" hidden="1" customWidth="1"/>
    <col min="4364" max="4364" width="48.33203125" style="21" customWidth="1"/>
    <col min="4365" max="4366" width="8.77734375" style="21"/>
    <col min="4367" max="4367" width="12.6640625" style="21" customWidth="1"/>
    <col min="4368" max="4613" width="8.77734375" style="21"/>
    <col min="4614" max="4614" width="47.21875" style="21" customWidth="1"/>
    <col min="4615" max="4615" width="13.77734375" style="21" customWidth="1"/>
    <col min="4616" max="4616" width="8.77734375" style="21" customWidth="1"/>
    <col min="4617" max="4617" width="2" style="21" customWidth="1"/>
    <col min="4618" max="4619" width="0" style="21" hidden="1" customWidth="1"/>
    <col min="4620" max="4620" width="48.33203125" style="21" customWidth="1"/>
    <col min="4621" max="4622" width="8.77734375" style="21"/>
    <col min="4623" max="4623" width="12.6640625" style="21" customWidth="1"/>
    <col min="4624" max="4869" width="8.77734375" style="21"/>
    <col min="4870" max="4870" width="47.21875" style="21" customWidth="1"/>
    <col min="4871" max="4871" width="13.77734375" style="21" customWidth="1"/>
    <col min="4872" max="4872" width="8.77734375" style="21" customWidth="1"/>
    <col min="4873" max="4873" width="2" style="21" customWidth="1"/>
    <col min="4874" max="4875" width="0" style="21" hidden="1" customWidth="1"/>
    <col min="4876" max="4876" width="48.33203125" style="21" customWidth="1"/>
    <col min="4877" max="4878" width="8.77734375" style="21"/>
    <col min="4879" max="4879" width="12.6640625" style="21" customWidth="1"/>
    <col min="4880" max="5125" width="8.77734375" style="21"/>
    <col min="5126" max="5126" width="47.21875" style="21" customWidth="1"/>
    <col min="5127" max="5127" width="13.77734375" style="21" customWidth="1"/>
    <col min="5128" max="5128" width="8.77734375" style="21" customWidth="1"/>
    <col min="5129" max="5129" width="2" style="21" customWidth="1"/>
    <col min="5130" max="5131" width="0" style="21" hidden="1" customWidth="1"/>
    <col min="5132" max="5132" width="48.33203125" style="21" customWidth="1"/>
    <col min="5133" max="5134" width="8.77734375" style="21"/>
    <col min="5135" max="5135" width="12.6640625" style="21" customWidth="1"/>
    <col min="5136" max="5381" width="8.77734375" style="21"/>
    <col min="5382" max="5382" width="47.21875" style="21" customWidth="1"/>
    <col min="5383" max="5383" width="13.77734375" style="21" customWidth="1"/>
    <col min="5384" max="5384" width="8.77734375" style="21" customWidth="1"/>
    <col min="5385" max="5385" width="2" style="21" customWidth="1"/>
    <col min="5386" max="5387" width="0" style="21" hidden="1" customWidth="1"/>
    <col min="5388" max="5388" width="48.33203125" style="21" customWidth="1"/>
    <col min="5389" max="5390" width="8.77734375" style="21"/>
    <col min="5391" max="5391" width="12.6640625" style="21" customWidth="1"/>
    <col min="5392" max="5637" width="8.77734375" style="21"/>
    <col min="5638" max="5638" width="47.21875" style="21" customWidth="1"/>
    <col min="5639" max="5639" width="13.77734375" style="21" customWidth="1"/>
    <col min="5640" max="5640" width="8.77734375" style="21" customWidth="1"/>
    <col min="5641" max="5641" width="2" style="21" customWidth="1"/>
    <col min="5642" max="5643" width="0" style="21" hidden="1" customWidth="1"/>
    <col min="5644" max="5644" width="48.33203125" style="21" customWidth="1"/>
    <col min="5645" max="5646" width="8.77734375" style="21"/>
    <col min="5647" max="5647" width="12.6640625" style="21" customWidth="1"/>
    <col min="5648" max="5893" width="8.77734375" style="21"/>
    <col min="5894" max="5894" width="47.21875" style="21" customWidth="1"/>
    <col min="5895" max="5895" width="13.77734375" style="21" customWidth="1"/>
    <col min="5896" max="5896" width="8.77734375" style="21" customWidth="1"/>
    <col min="5897" max="5897" width="2" style="21" customWidth="1"/>
    <col min="5898" max="5899" width="0" style="21" hidden="1" customWidth="1"/>
    <col min="5900" max="5900" width="48.33203125" style="21" customWidth="1"/>
    <col min="5901" max="5902" width="8.77734375" style="21"/>
    <col min="5903" max="5903" width="12.6640625" style="21" customWidth="1"/>
    <col min="5904" max="6149" width="8.77734375" style="21"/>
    <col min="6150" max="6150" width="47.21875" style="21" customWidth="1"/>
    <col min="6151" max="6151" width="13.77734375" style="21" customWidth="1"/>
    <col min="6152" max="6152" width="8.77734375" style="21" customWidth="1"/>
    <col min="6153" max="6153" width="2" style="21" customWidth="1"/>
    <col min="6154" max="6155" width="0" style="21" hidden="1" customWidth="1"/>
    <col min="6156" max="6156" width="48.33203125" style="21" customWidth="1"/>
    <col min="6157" max="6158" width="8.77734375" style="21"/>
    <col min="6159" max="6159" width="12.6640625" style="21" customWidth="1"/>
    <col min="6160" max="6405" width="8.77734375" style="21"/>
    <col min="6406" max="6406" width="47.21875" style="21" customWidth="1"/>
    <col min="6407" max="6407" width="13.77734375" style="21" customWidth="1"/>
    <col min="6408" max="6408" width="8.77734375" style="21" customWidth="1"/>
    <col min="6409" max="6409" width="2" style="21" customWidth="1"/>
    <col min="6410" max="6411" width="0" style="21" hidden="1" customWidth="1"/>
    <col min="6412" max="6412" width="48.33203125" style="21" customWidth="1"/>
    <col min="6413" max="6414" width="8.77734375" style="21"/>
    <col min="6415" max="6415" width="12.6640625" style="21" customWidth="1"/>
    <col min="6416" max="6661" width="8.77734375" style="21"/>
    <col min="6662" max="6662" width="47.21875" style="21" customWidth="1"/>
    <col min="6663" max="6663" width="13.77734375" style="21" customWidth="1"/>
    <col min="6664" max="6664" width="8.77734375" style="21" customWidth="1"/>
    <col min="6665" max="6665" width="2" style="21" customWidth="1"/>
    <col min="6666" max="6667" width="0" style="21" hidden="1" customWidth="1"/>
    <col min="6668" max="6668" width="48.33203125" style="21" customWidth="1"/>
    <col min="6669" max="6670" width="8.77734375" style="21"/>
    <col min="6671" max="6671" width="12.6640625" style="21" customWidth="1"/>
    <col min="6672" max="6917" width="8.77734375" style="21"/>
    <col min="6918" max="6918" width="47.21875" style="21" customWidth="1"/>
    <col min="6919" max="6919" width="13.77734375" style="21" customWidth="1"/>
    <col min="6920" max="6920" width="8.77734375" style="21" customWidth="1"/>
    <col min="6921" max="6921" width="2" style="21" customWidth="1"/>
    <col min="6922" max="6923" width="0" style="21" hidden="1" customWidth="1"/>
    <col min="6924" max="6924" width="48.33203125" style="21" customWidth="1"/>
    <col min="6925" max="6926" width="8.77734375" style="21"/>
    <col min="6927" max="6927" width="12.6640625" style="21" customWidth="1"/>
    <col min="6928" max="7173" width="8.77734375" style="21"/>
    <col min="7174" max="7174" width="47.21875" style="21" customWidth="1"/>
    <col min="7175" max="7175" width="13.77734375" style="21" customWidth="1"/>
    <col min="7176" max="7176" width="8.77734375" style="21" customWidth="1"/>
    <col min="7177" max="7177" width="2" style="21" customWidth="1"/>
    <col min="7178" max="7179" width="0" style="21" hidden="1" customWidth="1"/>
    <col min="7180" max="7180" width="48.33203125" style="21" customWidth="1"/>
    <col min="7181" max="7182" width="8.77734375" style="21"/>
    <col min="7183" max="7183" width="12.6640625" style="21" customWidth="1"/>
    <col min="7184" max="7429" width="8.77734375" style="21"/>
    <col min="7430" max="7430" width="47.21875" style="21" customWidth="1"/>
    <col min="7431" max="7431" width="13.77734375" style="21" customWidth="1"/>
    <col min="7432" max="7432" width="8.77734375" style="21" customWidth="1"/>
    <col min="7433" max="7433" width="2" style="21" customWidth="1"/>
    <col min="7434" max="7435" width="0" style="21" hidden="1" customWidth="1"/>
    <col min="7436" max="7436" width="48.33203125" style="21" customWidth="1"/>
    <col min="7437" max="7438" width="8.77734375" style="21"/>
    <col min="7439" max="7439" width="12.6640625" style="21" customWidth="1"/>
    <col min="7440" max="7685" width="8.77734375" style="21"/>
    <col min="7686" max="7686" width="47.21875" style="21" customWidth="1"/>
    <col min="7687" max="7687" width="13.77734375" style="21" customWidth="1"/>
    <col min="7688" max="7688" width="8.77734375" style="21" customWidth="1"/>
    <col min="7689" max="7689" width="2" style="21" customWidth="1"/>
    <col min="7690" max="7691" width="0" style="21" hidden="1" customWidth="1"/>
    <col min="7692" max="7692" width="48.33203125" style="21" customWidth="1"/>
    <col min="7693" max="7694" width="8.77734375" style="21"/>
    <col min="7695" max="7695" width="12.6640625" style="21" customWidth="1"/>
    <col min="7696" max="7941" width="8.77734375" style="21"/>
    <col min="7942" max="7942" width="47.21875" style="21" customWidth="1"/>
    <col min="7943" max="7943" width="13.77734375" style="21" customWidth="1"/>
    <col min="7944" max="7944" width="8.77734375" style="21" customWidth="1"/>
    <col min="7945" max="7945" width="2" style="21" customWidth="1"/>
    <col min="7946" max="7947" width="0" style="21" hidden="1" customWidth="1"/>
    <col min="7948" max="7948" width="48.33203125" style="21" customWidth="1"/>
    <col min="7949" max="7950" width="8.77734375" style="21"/>
    <col min="7951" max="7951" width="12.6640625" style="21" customWidth="1"/>
    <col min="7952" max="8197" width="8.77734375" style="21"/>
    <col min="8198" max="8198" width="47.21875" style="21" customWidth="1"/>
    <col min="8199" max="8199" width="13.77734375" style="21" customWidth="1"/>
    <col min="8200" max="8200" width="8.77734375" style="21" customWidth="1"/>
    <col min="8201" max="8201" width="2" style="21" customWidth="1"/>
    <col min="8202" max="8203" width="0" style="21" hidden="1" customWidth="1"/>
    <col min="8204" max="8204" width="48.33203125" style="21" customWidth="1"/>
    <col min="8205" max="8206" width="8.77734375" style="21"/>
    <col min="8207" max="8207" width="12.6640625" style="21" customWidth="1"/>
    <col min="8208" max="8453" width="8.77734375" style="21"/>
    <col min="8454" max="8454" width="47.21875" style="21" customWidth="1"/>
    <col min="8455" max="8455" width="13.77734375" style="21" customWidth="1"/>
    <col min="8456" max="8456" width="8.77734375" style="21" customWidth="1"/>
    <col min="8457" max="8457" width="2" style="21" customWidth="1"/>
    <col min="8458" max="8459" width="0" style="21" hidden="1" customWidth="1"/>
    <col min="8460" max="8460" width="48.33203125" style="21" customWidth="1"/>
    <col min="8461" max="8462" width="8.77734375" style="21"/>
    <col min="8463" max="8463" width="12.6640625" style="21" customWidth="1"/>
    <col min="8464" max="8709" width="8.77734375" style="21"/>
    <col min="8710" max="8710" width="47.21875" style="21" customWidth="1"/>
    <col min="8711" max="8711" width="13.77734375" style="21" customWidth="1"/>
    <col min="8712" max="8712" width="8.77734375" style="21" customWidth="1"/>
    <col min="8713" max="8713" width="2" style="21" customWidth="1"/>
    <col min="8714" max="8715" width="0" style="21" hidden="1" customWidth="1"/>
    <col min="8716" max="8716" width="48.33203125" style="21" customWidth="1"/>
    <col min="8717" max="8718" width="8.77734375" style="21"/>
    <col min="8719" max="8719" width="12.6640625" style="21" customWidth="1"/>
    <col min="8720" max="8965" width="8.77734375" style="21"/>
    <col min="8966" max="8966" width="47.21875" style="21" customWidth="1"/>
    <col min="8967" max="8967" width="13.77734375" style="21" customWidth="1"/>
    <col min="8968" max="8968" width="8.77734375" style="21" customWidth="1"/>
    <col min="8969" max="8969" width="2" style="21" customWidth="1"/>
    <col min="8970" max="8971" width="0" style="21" hidden="1" customWidth="1"/>
    <col min="8972" max="8972" width="48.33203125" style="21" customWidth="1"/>
    <col min="8973" max="8974" width="8.77734375" style="21"/>
    <col min="8975" max="8975" width="12.6640625" style="21" customWidth="1"/>
    <col min="8976" max="9221" width="8.77734375" style="21"/>
    <col min="9222" max="9222" width="47.21875" style="21" customWidth="1"/>
    <col min="9223" max="9223" width="13.77734375" style="21" customWidth="1"/>
    <col min="9224" max="9224" width="8.77734375" style="21" customWidth="1"/>
    <col min="9225" max="9225" width="2" style="21" customWidth="1"/>
    <col min="9226" max="9227" width="0" style="21" hidden="1" customWidth="1"/>
    <col min="9228" max="9228" width="48.33203125" style="21" customWidth="1"/>
    <col min="9229" max="9230" width="8.77734375" style="21"/>
    <col min="9231" max="9231" width="12.6640625" style="21" customWidth="1"/>
    <col min="9232" max="9477" width="8.77734375" style="21"/>
    <col min="9478" max="9478" width="47.21875" style="21" customWidth="1"/>
    <col min="9479" max="9479" width="13.77734375" style="21" customWidth="1"/>
    <col min="9480" max="9480" width="8.77734375" style="21" customWidth="1"/>
    <col min="9481" max="9481" width="2" style="21" customWidth="1"/>
    <col min="9482" max="9483" width="0" style="21" hidden="1" customWidth="1"/>
    <col min="9484" max="9484" width="48.33203125" style="21" customWidth="1"/>
    <col min="9485" max="9486" width="8.77734375" style="21"/>
    <col min="9487" max="9487" width="12.6640625" style="21" customWidth="1"/>
    <col min="9488" max="9733" width="8.77734375" style="21"/>
    <col min="9734" max="9734" width="47.21875" style="21" customWidth="1"/>
    <col min="9735" max="9735" width="13.77734375" style="21" customWidth="1"/>
    <col min="9736" max="9736" width="8.77734375" style="21" customWidth="1"/>
    <col min="9737" max="9737" width="2" style="21" customWidth="1"/>
    <col min="9738" max="9739" width="0" style="21" hidden="1" customWidth="1"/>
    <col min="9740" max="9740" width="48.33203125" style="21" customWidth="1"/>
    <col min="9741" max="9742" width="8.77734375" style="21"/>
    <col min="9743" max="9743" width="12.6640625" style="21" customWidth="1"/>
    <col min="9744" max="9989" width="8.77734375" style="21"/>
    <col min="9990" max="9990" width="47.21875" style="21" customWidth="1"/>
    <col min="9991" max="9991" width="13.77734375" style="21" customWidth="1"/>
    <col min="9992" max="9992" width="8.77734375" style="21" customWidth="1"/>
    <col min="9993" max="9993" width="2" style="21" customWidth="1"/>
    <col min="9994" max="9995" width="0" style="21" hidden="1" customWidth="1"/>
    <col min="9996" max="9996" width="48.33203125" style="21" customWidth="1"/>
    <col min="9997" max="9998" width="8.77734375" style="21"/>
    <col min="9999" max="9999" width="12.6640625" style="21" customWidth="1"/>
    <col min="10000" max="10245" width="8.77734375" style="21"/>
    <col min="10246" max="10246" width="47.21875" style="21" customWidth="1"/>
    <col min="10247" max="10247" width="13.77734375" style="21" customWidth="1"/>
    <col min="10248" max="10248" width="8.77734375" style="21" customWidth="1"/>
    <col min="10249" max="10249" width="2" style="21" customWidth="1"/>
    <col min="10250" max="10251" width="0" style="21" hidden="1" customWidth="1"/>
    <col min="10252" max="10252" width="48.33203125" style="21" customWidth="1"/>
    <col min="10253" max="10254" width="8.77734375" style="21"/>
    <col min="10255" max="10255" width="12.6640625" style="21" customWidth="1"/>
    <col min="10256" max="10501" width="8.77734375" style="21"/>
    <col min="10502" max="10502" width="47.21875" style="21" customWidth="1"/>
    <col min="10503" max="10503" width="13.77734375" style="21" customWidth="1"/>
    <col min="10504" max="10504" width="8.77734375" style="21" customWidth="1"/>
    <col min="10505" max="10505" width="2" style="21" customWidth="1"/>
    <col min="10506" max="10507" width="0" style="21" hidden="1" customWidth="1"/>
    <col min="10508" max="10508" width="48.33203125" style="21" customWidth="1"/>
    <col min="10509" max="10510" width="8.77734375" style="21"/>
    <col min="10511" max="10511" width="12.6640625" style="21" customWidth="1"/>
    <col min="10512" max="10757" width="8.77734375" style="21"/>
    <col min="10758" max="10758" width="47.21875" style="21" customWidth="1"/>
    <col min="10759" max="10759" width="13.77734375" style="21" customWidth="1"/>
    <col min="10760" max="10760" width="8.77734375" style="21" customWidth="1"/>
    <col min="10761" max="10761" width="2" style="21" customWidth="1"/>
    <col min="10762" max="10763" width="0" style="21" hidden="1" customWidth="1"/>
    <col min="10764" max="10764" width="48.33203125" style="21" customWidth="1"/>
    <col min="10765" max="10766" width="8.77734375" style="21"/>
    <col min="10767" max="10767" width="12.6640625" style="21" customWidth="1"/>
    <col min="10768" max="11013" width="8.77734375" style="21"/>
    <col min="11014" max="11014" width="47.21875" style="21" customWidth="1"/>
    <col min="11015" max="11015" width="13.77734375" style="21" customWidth="1"/>
    <col min="11016" max="11016" width="8.77734375" style="21" customWidth="1"/>
    <col min="11017" max="11017" width="2" style="21" customWidth="1"/>
    <col min="11018" max="11019" width="0" style="21" hidden="1" customWidth="1"/>
    <col min="11020" max="11020" width="48.33203125" style="21" customWidth="1"/>
    <col min="11021" max="11022" width="8.77734375" style="21"/>
    <col min="11023" max="11023" width="12.6640625" style="21" customWidth="1"/>
    <col min="11024" max="11269" width="8.77734375" style="21"/>
    <col min="11270" max="11270" width="47.21875" style="21" customWidth="1"/>
    <col min="11271" max="11271" width="13.77734375" style="21" customWidth="1"/>
    <col min="11272" max="11272" width="8.77734375" style="21" customWidth="1"/>
    <col min="11273" max="11273" width="2" style="21" customWidth="1"/>
    <col min="11274" max="11275" width="0" style="21" hidden="1" customWidth="1"/>
    <col min="11276" max="11276" width="48.33203125" style="21" customWidth="1"/>
    <col min="11277" max="11278" width="8.77734375" style="21"/>
    <col min="11279" max="11279" width="12.6640625" style="21" customWidth="1"/>
    <col min="11280" max="11525" width="8.77734375" style="21"/>
    <col min="11526" max="11526" width="47.21875" style="21" customWidth="1"/>
    <col min="11527" max="11527" width="13.77734375" style="21" customWidth="1"/>
    <col min="11528" max="11528" width="8.77734375" style="21" customWidth="1"/>
    <col min="11529" max="11529" width="2" style="21" customWidth="1"/>
    <col min="11530" max="11531" width="0" style="21" hidden="1" customWidth="1"/>
    <col min="11532" max="11532" width="48.33203125" style="21" customWidth="1"/>
    <col min="11533" max="11534" width="8.77734375" style="21"/>
    <col min="11535" max="11535" width="12.6640625" style="21" customWidth="1"/>
    <col min="11536" max="11781" width="8.77734375" style="21"/>
    <col min="11782" max="11782" width="47.21875" style="21" customWidth="1"/>
    <col min="11783" max="11783" width="13.77734375" style="21" customWidth="1"/>
    <col min="11784" max="11784" width="8.77734375" style="21" customWidth="1"/>
    <col min="11785" max="11785" width="2" style="21" customWidth="1"/>
    <col min="11786" max="11787" width="0" style="21" hidden="1" customWidth="1"/>
    <col min="11788" max="11788" width="48.33203125" style="21" customWidth="1"/>
    <col min="11789" max="11790" width="8.77734375" style="21"/>
    <col min="11791" max="11791" width="12.6640625" style="21" customWidth="1"/>
    <col min="11792" max="12037" width="8.77734375" style="21"/>
    <col min="12038" max="12038" width="47.21875" style="21" customWidth="1"/>
    <col min="12039" max="12039" width="13.77734375" style="21" customWidth="1"/>
    <col min="12040" max="12040" width="8.77734375" style="21" customWidth="1"/>
    <col min="12041" max="12041" width="2" style="21" customWidth="1"/>
    <col min="12042" max="12043" width="0" style="21" hidden="1" customWidth="1"/>
    <col min="12044" max="12044" width="48.33203125" style="21" customWidth="1"/>
    <col min="12045" max="12046" width="8.77734375" style="21"/>
    <col min="12047" max="12047" width="12.6640625" style="21" customWidth="1"/>
    <col min="12048" max="12293" width="8.77734375" style="21"/>
    <col min="12294" max="12294" width="47.21875" style="21" customWidth="1"/>
    <col min="12295" max="12295" width="13.77734375" style="21" customWidth="1"/>
    <col min="12296" max="12296" width="8.77734375" style="21" customWidth="1"/>
    <col min="12297" max="12297" width="2" style="21" customWidth="1"/>
    <col min="12298" max="12299" width="0" style="21" hidden="1" customWidth="1"/>
    <col min="12300" max="12300" width="48.33203125" style="21" customWidth="1"/>
    <col min="12301" max="12302" width="8.77734375" style="21"/>
    <col min="12303" max="12303" width="12.6640625" style="21" customWidth="1"/>
    <col min="12304" max="12549" width="8.77734375" style="21"/>
    <col min="12550" max="12550" width="47.21875" style="21" customWidth="1"/>
    <col min="12551" max="12551" width="13.77734375" style="21" customWidth="1"/>
    <col min="12552" max="12552" width="8.77734375" style="21" customWidth="1"/>
    <col min="12553" max="12553" width="2" style="21" customWidth="1"/>
    <col min="12554" max="12555" width="0" style="21" hidden="1" customWidth="1"/>
    <col min="12556" max="12556" width="48.33203125" style="21" customWidth="1"/>
    <col min="12557" max="12558" width="8.77734375" style="21"/>
    <col min="12559" max="12559" width="12.6640625" style="21" customWidth="1"/>
    <col min="12560" max="12805" width="8.77734375" style="21"/>
    <col min="12806" max="12806" width="47.21875" style="21" customWidth="1"/>
    <col min="12807" max="12807" width="13.77734375" style="21" customWidth="1"/>
    <col min="12808" max="12808" width="8.77734375" style="21" customWidth="1"/>
    <col min="12809" max="12809" width="2" style="21" customWidth="1"/>
    <col min="12810" max="12811" width="0" style="21" hidden="1" customWidth="1"/>
    <col min="12812" max="12812" width="48.33203125" style="21" customWidth="1"/>
    <col min="12813" max="12814" width="8.77734375" style="21"/>
    <col min="12815" max="12815" width="12.6640625" style="21" customWidth="1"/>
    <col min="12816" max="13061" width="8.77734375" style="21"/>
    <col min="13062" max="13062" width="47.21875" style="21" customWidth="1"/>
    <col min="13063" max="13063" width="13.77734375" style="21" customWidth="1"/>
    <col min="13064" max="13064" width="8.77734375" style="21" customWidth="1"/>
    <col min="13065" max="13065" width="2" style="21" customWidth="1"/>
    <col min="13066" max="13067" width="0" style="21" hidden="1" customWidth="1"/>
    <col min="13068" max="13068" width="48.33203125" style="21" customWidth="1"/>
    <col min="13069" max="13070" width="8.77734375" style="21"/>
    <col min="13071" max="13071" width="12.6640625" style="21" customWidth="1"/>
    <col min="13072" max="13317" width="8.77734375" style="21"/>
    <col min="13318" max="13318" width="47.21875" style="21" customWidth="1"/>
    <col min="13319" max="13319" width="13.77734375" style="21" customWidth="1"/>
    <col min="13320" max="13320" width="8.77734375" style="21" customWidth="1"/>
    <col min="13321" max="13321" width="2" style="21" customWidth="1"/>
    <col min="13322" max="13323" width="0" style="21" hidden="1" customWidth="1"/>
    <col min="13324" max="13324" width="48.33203125" style="21" customWidth="1"/>
    <col min="13325" max="13326" width="8.77734375" style="21"/>
    <col min="13327" max="13327" width="12.6640625" style="21" customWidth="1"/>
    <col min="13328" max="13573" width="8.77734375" style="21"/>
    <col min="13574" max="13574" width="47.21875" style="21" customWidth="1"/>
    <col min="13575" max="13575" width="13.77734375" style="21" customWidth="1"/>
    <col min="13576" max="13576" width="8.77734375" style="21" customWidth="1"/>
    <col min="13577" max="13577" width="2" style="21" customWidth="1"/>
    <col min="13578" max="13579" width="0" style="21" hidden="1" customWidth="1"/>
    <col min="13580" max="13580" width="48.33203125" style="21" customWidth="1"/>
    <col min="13581" max="13582" width="8.77734375" style="21"/>
    <col min="13583" max="13583" width="12.6640625" style="21" customWidth="1"/>
    <col min="13584" max="13829" width="8.77734375" style="21"/>
    <col min="13830" max="13830" width="47.21875" style="21" customWidth="1"/>
    <col min="13831" max="13831" width="13.77734375" style="21" customWidth="1"/>
    <col min="13832" max="13832" width="8.77734375" style="21" customWidth="1"/>
    <col min="13833" max="13833" width="2" style="21" customWidth="1"/>
    <col min="13834" max="13835" width="0" style="21" hidden="1" customWidth="1"/>
    <col min="13836" max="13836" width="48.33203125" style="21" customWidth="1"/>
    <col min="13837" max="13838" width="8.77734375" style="21"/>
    <col min="13839" max="13839" width="12.6640625" style="21" customWidth="1"/>
    <col min="13840" max="14085" width="8.77734375" style="21"/>
    <col min="14086" max="14086" width="47.21875" style="21" customWidth="1"/>
    <col min="14087" max="14087" width="13.77734375" style="21" customWidth="1"/>
    <col min="14088" max="14088" width="8.77734375" style="21" customWidth="1"/>
    <col min="14089" max="14089" width="2" style="21" customWidth="1"/>
    <col min="14090" max="14091" width="0" style="21" hidden="1" customWidth="1"/>
    <col min="14092" max="14092" width="48.33203125" style="21" customWidth="1"/>
    <col min="14093" max="14094" width="8.77734375" style="21"/>
    <col min="14095" max="14095" width="12.6640625" style="21" customWidth="1"/>
    <col min="14096" max="14341" width="8.77734375" style="21"/>
    <col min="14342" max="14342" width="47.21875" style="21" customWidth="1"/>
    <col min="14343" max="14343" width="13.77734375" style="21" customWidth="1"/>
    <col min="14344" max="14344" width="8.77734375" style="21" customWidth="1"/>
    <col min="14345" max="14345" width="2" style="21" customWidth="1"/>
    <col min="14346" max="14347" width="0" style="21" hidden="1" customWidth="1"/>
    <col min="14348" max="14348" width="48.33203125" style="21" customWidth="1"/>
    <col min="14349" max="14350" width="8.77734375" style="21"/>
    <col min="14351" max="14351" width="12.6640625" style="21" customWidth="1"/>
    <col min="14352" max="14597" width="8.77734375" style="21"/>
    <col min="14598" max="14598" width="47.21875" style="21" customWidth="1"/>
    <col min="14599" max="14599" width="13.77734375" style="21" customWidth="1"/>
    <col min="14600" max="14600" width="8.77734375" style="21" customWidth="1"/>
    <col min="14601" max="14601" width="2" style="21" customWidth="1"/>
    <col min="14602" max="14603" width="0" style="21" hidden="1" customWidth="1"/>
    <col min="14604" max="14604" width="48.33203125" style="21" customWidth="1"/>
    <col min="14605" max="14606" width="8.77734375" style="21"/>
    <col min="14607" max="14607" width="12.6640625" style="21" customWidth="1"/>
    <col min="14608" max="14853" width="8.77734375" style="21"/>
    <col min="14854" max="14854" width="47.21875" style="21" customWidth="1"/>
    <col min="14855" max="14855" width="13.77734375" style="21" customWidth="1"/>
    <col min="14856" max="14856" width="8.77734375" style="21" customWidth="1"/>
    <col min="14857" max="14857" width="2" style="21" customWidth="1"/>
    <col min="14858" max="14859" width="0" style="21" hidden="1" customWidth="1"/>
    <col min="14860" max="14860" width="48.33203125" style="21" customWidth="1"/>
    <col min="14861" max="14862" width="8.77734375" style="21"/>
    <col min="14863" max="14863" width="12.6640625" style="21" customWidth="1"/>
    <col min="14864" max="15109" width="8.77734375" style="21"/>
    <col min="15110" max="15110" width="47.21875" style="21" customWidth="1"/>
    <col min="15111" max="15111" width="13.77734375" style="21" customWidth="1"/>
    <col min="15112" max="15112" width="8.77734375" style="21" customWidth="1"/>
    <col min="15113" max="15113" width="2" style="21" customWidth="1"/>
    <col min="15114" max="15115" width="0" style="21" hidden="1" customWidth="1"/>
    <col min="15116" max="15116" width="48.33203125" style="21" customWidth="1"/>
    <col min="15117" max="15118" width="8.77734375" style="21"/>
    <col min="15119" max="15119" width="12.6640625" style="21" customWidth="1"/>
    <col min="15120" max="15365" width="8.77734375" style="21"/>
    <col min="15366" max="15366" width="47.21875" style="21" customWidth="1"/>
    <col min="15367" max="15367" width="13.77734375" style="21" customWidth="1"/>
    <col min="15368" max="15368" width="8.77734375" style="21" customWidth="1"/>
    <col min="15369" max="15369" width="2" style="21" customWidth="1"/>
    <col min="15370" max="15371" width="0" style="21" hidden="1" customWidth="1"/>
    <col min="15372" max="15372" width="48.33203125" style="21" customWidth="1"/>
    <col min="15373" max="15374" width="8.77734375" style="21"/>
    <col min="15375" max="15375" width="12.6640625" style="21" customWidth="1"/>
    <col min="15376" max="15621" width="8.77734375" style="21"/>
    <col min="15622" max="15622" width="47.21875" style="21" customWidth="1"/>
    <col min="15623" max="15623" width="13.77734375" style="21" customWidth="1"/>
    <col min="15624" max="15624" width="8.77734375" style="21" customWidth="1"/>
    <col min="15625" max="15625" width="2" style="21" customWidth="1"/>
    <col min="15626" max="15627" width="0" style="21" hidden="1" customWidth="1"/>
    <col min="15628" max="15628" width="48.33203125" style="21" customWidth="1"/>
    <col min="15629" max="15630" width="8.77734375" style="21"/>
    <col min="15631" max="15631" width="12.6640625" style="21" customWidth="1"/>
    <col min="15632" max="15877" width="8.77734375" style="21"/>
    <col min="15878" max="15878" width="47.21875" style="21" customWidth="1"/>
    <col min="15879" max="15879" width="13.77734375" style="21" customWidth="1"/>
    <col min="15880" max="15880" width="8.77734375" style="21" customWidth="1"/>
    <col min="15881" max="15881" width="2" style="21" customWidth="1"/>
    <col min="15882" max="15883" width="0" style="21" hidden="1" customWidth="1"/>
    <col min="15884" max="15884" width="48.33203125" style="21" customWidth="1"/>
    <col min="15885" max="15886" width="8.77734375" style="21"/>
    <col min="15887" max="15887" width="12.6640625" style="21" customWidth="1"/>
    <col min="15888" max="16133" width="8.77734375" style="21"/>
    <col min="16134" max="16134" width="47.21875" style="21" customWidth="1"/>
    <col min="16135" max="16135" width="13.77734375" style="21" customWidth="1"/>
    <col min="16136" max="16136" width="8.77734375" style="21" customWidth="1"/>
    <col min="16137" max="16137" width="2" style="21" customWidth="1"/>
    <col min="16138" max="16139" width="0" style="21" hidden="1" customWidth="1"/>
    <col min="16140" max="16140" width="48.33203125" style="21" customWidth="1"/>
    <col min="16141" max="16142" width="8.77734375" style="21"/>
    <col min="16143" max="16143" width="12.6640625" style="21" customWidth="1"/>
    <col min="16144" max="16384" width="8.77734375" style="21"/>
  </cols>
  <sheetData>
    <row r="1" spans="1:12" ht="17.399999999999999" x14ac:dyDescent="0.3">
      <c r="A1" s="20" t="s">
        <v>29</v>
      </c>
    </row>
    <row r="3" spans="1:12" x14ac:dyDescent="0.25">
      <c r="A3" s="22"/>
      <c r="B3" s="22"/>
      <c r="C3" s="22"/>
      <c r="D3" s="22"/>
      <c r="E3" s="22"/>
      <c r="F3" s="22"/>
      <c r="G3" s="22"/>
    </row>
    <row r="4" spans="1:12" x14ac:dyDescent="0.25">
      <c r="F4" s="21" t="s">
        <v>30</v>
      </c>
    </row>
    <row r="6" spans="1:12" x14ac:dyDescent="0.25">
      <c r="A6" s="23" t="s">
        <v>3</v>
      </c>
    </row>
    <row r="7" spans="1:12" x14ac:dyDescent="0.25">
      <c r="A7" s="23" t="s">
        <v>31</v>
      </c>
      <c r="B7" s="21" t="s">
        <v>76</v>
      </c>
      <c r="C7" s="21" t="s">
        <v>77</v>
      </c>
      <c r="D7" s="21" t="s">
        <v>32</v>
      </c>
      <c r="E7" s="21" t="s">
        <v>78</v>
      </c>
      <c r="F7" s="21" t="s">
        <v>79</v>
      </c>
      <c r="G7" s="21" t="s">
        <v>80</v>
      </c>
    </row>
    <row r="8" spans="1:12" x14ac:dyDescent="0.25">
      <c r="A8" s="24" t="s">
        <v>33</v>
      </c>
      <c r="B8" s="25">
        <f>'Demand forecast 2022'!H14/260</f>
        <v>86262.518031055355</v>
      </c>
      <c r="C8" s="25">
        <f>'Demand forecast 2022'!J14/260</f>
        <v>178494.70143316107</v>
      </c>
      <c r="D8" s="25">
        <f>'Demand forecast 2022'!F14/260</f>
        <v>23873.268834073326</v>
      </c>
      <c r="E8" s="25">
        <f>'Demand forecast 2022'!I14/260</f>
        <v>69572.938701420382</v>
      </c>
      <c r="F8" s="25">
        <f>'Demand forecast 2022'!E14/260</f>
        <v>46554.369193245235</v>
      </c>
      <c r="G8" s="25">
        <f>'Demand forecast 2022'!G14/260</f>
        <v>35881.806635052308</v>
      </c>
    </row>
    <row r="9" spans="1:12" x14ac:dyDescent="0.25">
      <c r="A9" s="24" t="s">
        <v>34</v>
      </c>
      <c r="B9" s="26">
        <f>'Demand forecast 2022'!H17</f>
        <v>539.41699510810804</v>
      </c>
      <c r="C9" s="26">
        <f>'Demand forecast 2022'!J17</f>
        <v>1027.760125732952</v>
      </c>
      <c r="D9" s="26">
        <f>'Demand forecast 2022'!F17</f>
        <v>146.24483686071702</v>
      </c>
      <c r="E9" s="26">
        <f>'Demand forecast 2022'!I17</f>
        <v>388.28986078840904</v>
      </c>
      <c r="F9" s="26">
        <f>'Demand forecast 2022'!E17</f>
        <v>238.63567137238172</v>
      </c>
      <c r="G9" s="26">
        <f>'Demand forecast 2022'!G17</f>
        <v>201.72679064670396</v>
      </c>
      <c r="H9" s="41" t="s">
        <v>35</v>
      </c>
      <c r="I9" s="41"/>
      <c r="J9" s="41"/>
      <c r="K9" s="41"/>
      <c r="L9" s="41"/>
    </row>
    <row r="10" spans="1:12" x14ac:dyDescent="0.25">
      <c r="A10" s="24" t="s">
        <v>36</v>
      </c>
      <c r="B10" s="27">
        <v>1</v>
      </c>
      <c r="C10" s="27">
        <v>1</v>
      </c>
      <c r="D10" s="27">
        <v>1</v>
      </c>
      <c r="E10" s="27">
        <v>2</v>
      </c>
      <c r="F10" s="27">
        <v>2</v>
      </c>
      <c r="G10" s="27">
        <v>2</v>
      </c>
    </row>
    <row r="11" spans="1:12" ht="15.6" x14ac:dyDescent="0.35">
      <c r="A11" s="24" t="s">
        <v>37</v>
      </c>
      <c r="B11" s="27">
        <v>0.5</v>
      </c>
      <c r="C11" s="27">
        <v>0.5</v>
      </c>
      <c r="D11" s="27">
        <v>0.5</v>
      </c>
      <c r="E11" s="27">
        <v>1</v>
      </c>
      <c r="F11" s="27">
        <v>1</v>
      </c>
      <c r="G11" s="27">
        <v>1</v>
      </c>
      <c r="H11" s="41" t="s">
        <v>38</v>
      </c>
      <c r="I11" s="41"/>
      <c r="J11" s="41"/>
      <c r="K11" s="41"/>
      <c r="L11" s="41"/>
    </row>
    <row r="12" spans="1:12" ht="13.8" thickBot="1" x14ac:dyDescent="0.3">
      <c r="A12" s="28" t="s">
        <v>39</v>
      </c>
      <c r="B12" s="29">
        <v>0.9</v>
      </c>
      <c r="C12" s="29">
        <v>0.9</v>
      </c>
      <c r="D12" s="29">
        <v>0.9</v>
      </c>
      <c r="E12" s="29">
        <v>0.9</v>
      </c>
      <c r="F12" s="29">
        <v>0.9</v>
      </c>
      <c r="G12" s="29">
        <v>0.9</v>
      </c>
      <c r="H12" s="30"/>
    </row>
    <row r="13" spans="1:12" ht="13.8" thickBot="1" x14ac:dyDescent="0.3">
      <c r="A13" s="28" t="s">
        <v>39</v>
      </c>
      <c r="B13" s="29">
        <v>0.95</v>
      </c>
      <c r="C13" s="29">
        <v>0.95</v>
      </c>
      <c r="D13" s="29">
        <v>0.95</v>
      </c>
      <c r="E13" s="29">
        <v>0.95</v>
      </c>
      <c r="F13" s="29">
        <v>0.95</v>
      </c>
      <c r="G13" s="29">
        <v>0.95</v>
      </c>
      <c r="H13" s="30"/>
    </row>
    <row r="14" spans="1:12" ht="13.8" thickBot="1" x14ac:dyDescent="0.3">
      <c r="A14" s="28" t="s">
        <v>39</v>
      </c>
      <c r="B14" s="29">
        <v>0.99</v>
      </c>
      <c r="C14" s="29">
        <v>0.99</v>
      </c>
      <c r="D14" s="29">
        <v>0.99</v>
      </c>
      <c r="E14" s="29">
        <v>0.99</v>
      </c>
      <c r="F14" s="29">
        <v>0.99</v>
      </c>
      <c r="G14" s="29">
        <v>0.99</v>
      </c>
      <c r="H14" s="30"/>
    </row>
    <row r="16" spans="1:12" x14ac:dyDescent="0.25">
      <c r="A16" s="31" t="s">
        <v>10</v>
      </c>
    </row>
    <row r="17" spans="1:8" ht="13.8" thickBot="1" x14ac:dyDescent="0.3">
      <c r="A17" s="31"/>
    </row>
    <row r="18" spans="1:8" ht="13.8" thickBot="1" x14ac:dyDescent="0.3">
      <c r="A18" s="32" t="s">
        <v>40</v>
      </c>
      <c r="B18" s="51">
        <f t="shared" ref="B18:G20" si="0">NORMSINV(B12)</f>
        <v>1.2815515655446006</v>
      </c>
      <c r="C18" s="51">
        <f t="shared" si="0"/>
        <v>1.2815515655446006</v>
      </c>
      <c r="D18" s="51">
        <f t="shared" si="0"/>
        <v>1.2815515655446006</v>
      </c>
      <c r="E18" s="51">
        <f t="shared" si="0"/>
        <v>1.2815515655446006</v>
      </c>
      <c r="F18" s="51">
        <f t="shared" si="0"/>
        <v>1.2815515655446006</v>
      </c>
      <c r="G18" s="51">
        <f t="shared" si="0"/>
        <v>1.2815515655446006</v>
      </c>
    </row>
    <row r="19" spans="1:8" ht="13.8" thickBot="1" x14ac:dyDescent="0.3">
      <c r="A19" s="32" t="s">
        <v>41</v>
      </c>
      <c r="B19" s="51">
        <f>NORMSINV(B13)</f>
        <v>1.6448536269514715</v>
      </c>
      <c r="C19" s="51">
        <f t="shared" si="0"/>
        <v>1.6448536269514715</v>
      </c>
      <c r="D19" s="51">
        <f t="shared" si="0"/>
        <v>1.6448536269514715</v>
      </c>
      <c r="E19" s="51">
        <f t="shared" si="0"/>
        <v>1.6448536269514715</v>
      </c>
      <c r="F19" s="51">
        <f t="shared" si="0"/>
        <v>1.6448536269514715</v>
      </c>
      <c r="G19" s="51">
        <f t="shared" si="0"/>
        <v>1.6448536269514715</v>
      </c>
    </row>
    <row r="20" spans="1:8" x14ac:dyDescent="0.25">
      <c r="A20" s="32" t="s">
        <v>42</v>
      </c>
      <c r="B20" s="51">
        <f>NORMSINV(B14)</f>
        <v>2.3263478740408408</v>
      </c>
      <c r="C20" s="51">
        <f t="shared" si="0"/>
        <v>2.3263478740408408</v>
      </c>
      <c r="D20" s="51">
        <f t="shared" si="0"/>
        <v>2.3263478740408408</v>
      </c>
      <c r="E20" s="51">
        <f t="shared" si="0"/>
        <v>2.3263478740408408</v>
      </c>
      <c r="F20" s="51">
        <f t="shared" si="0"/>
        <v>2.3263478740408408</v>
      </c>
      <c r="G20" s="51">
        <f t="shared" si="0"/>
        <v>2.3263478740408408</v>
      </c>
    </row>
    <row r="21" spans="1:8" x14ac:dyDescent="0.25">
      <c r="A21" s="33" t="s">
        <v>43</v>
      </c>
      <c r="B21" s="52">
        <f t="shared" ref="B21:G21" si="1">B10*B8</f>
        <v>86262.518031055355</v>
      </c>
      <c r="C21" s="52">
        <f t="shared" si="1"/>
        <v>178494.70143316107</v>
      </c>
      <c r="D21" s="52">
        <f t="shared" si="1"/>
        <v>23873.268834073326</v>
      </c>
      <c r="E21" s="52">
        <f t="shared" si="1"/>
        <v>139145.87740284076</v>
      </c>
      <c r="F21" s="52">
        <f t="shared" si="1"/>
        <v>93108.73838649047</v>
      </c>
      <c r="G21" s="52">
        <f t="shared" si="1"/>
        <v>71763.613270104615</v>
      </c>
    </row>
    <row r="22" spans="1:8" ht="15.6" x14ac:dyDescent="0.35">
      <c r="A22" s="34" t="s">
        <v>44</v>
      </c>
      <c r="B22" s="52">
        <f t="shared" ref="B22:G22" si="2">SQRT(B10*B9^2+B8^2*B11^2)</f>
        <v>43134.631967354828</v>
      </c>
      <c r="C22" s="52">
        <f t="shared" si="2"/>
        <v>89253.268292003602</v>
      </c>
      <c r="D22" s="52">
        <f t="shared" si="2"/>
        <v>11937.530262089082</v>
      </c>
      <c r="E22" s="52">
        <f t="shared" si="2"/>
        <v>69575.1057317456</v>
      </c>
      <c r="F22" s="52">
        <f t="shared" si="2"/>
        <v>46555.592413245948</v>
      </c>
      <c r="G22" s="52">
        <f t="shared" si="2"/>
        <v>35882.940721064275</v>
      </c>
    </row>
    <row r="23" spans="1:8" x14ac:dyDescent="0.25">
      <c r="A23" s="33" t="s">
        <v>45</v>
      </c>
      <c r="B23" s="53">
        <f>B22*B18</f>
        <v>55279.255126953758</v>
      </c>
      <c r="C23" s="53">
        <f t="shared" ref="C23:G23" si="3">C22*C18</f>
        <v>114382.66570958948</v>
      </c>
      <c r="D23" s="53">
        <f t="shared" si="3"/>
        <v>15298.560596116309</v>
      </c>
      <c r="E23" s="53">
        <f t="shared" si="3"/>
        <v>89164.085673449692</v>
      </c>
      <c r="F23" s="53">
        <f t="shared" si="3"/>
        <v>59663.392342051673</v>
      </c>
      <c r="G23" s="53">
        <f t="shared" si="3"/>
        <v>45985.838857424023</v>
      </c>
    </row>
    <row r="24" spans="1:8" x14ac:dyDescent="0.25">
      <c r="A24" s="33" t="s">
        <v>46</v>
      </c>
      <c r="B24" s="53">
        <f>B22*B19</f>
        <v>70950.155838720471</v>
      </c>
      <c r="C24" s="53">
        <f t="shared" ref="C24:G24" si="4">C22*C19</f>
        <v>146808.56206737491</v>
      </c>
      <c r="D24" s="53">
        <f t="shared" si="4"/>
        <v>19635.489948440176</v>
      </c>
      <c r="E24" s="53">
        <f t="shared" si="4"/>
        <v>114440.86500839387</v>
      </c>
      <c r="F24" s="53">
        <f t="shared" si="4"/>
        <v>76577.135035802014</v>
      </c>
      <c r="G24" s="53">
        <f t="shared" si="4"/>
        <v>59022.185190727221</v>
      </c>
    </row>
    <row r="25" spans="1:8" x14ac:dyDescent="0.25">
      <c r="A25" s="33" t="s">
        <v>47</v>
      </c>
      <c r="B25" s="53">
        <f>B22*B20</f>
        <v>100346.15937478999</v>
      </c>
      <c r="C25" s="53">
        <f t="shared" ref="C25:G25" si="5">C22*C20</f>
        <v>207634.15094229937</v>
      </c>
      <c r="D25" s="53">
        <f t="shared" si="5"/>
        <v>27770.848146509135</v>
      </c>
      <c r="E25" s="53">
        <f t="shared" si="5"/>
        <v>161855.8993052131</v>
      </c>
      <c r="F25" s="53">
        <f t="shared" si="5"/>
        <v>108304.50343526661</v>
      </c>
      <c r="G25" s="53">
        <f t="shared" si="5"/>
        <v>83476.202860781385</v>
      </c>
      <c r="H25" s="30"/>
    </row>
    <row r="26" spans="1:8" ht="13.8" thickBot="1" x14ac:dyDescent="0.3">
      <c r="A26" s="35" t="s">
        <v>48</v>
      </c>
      <c r="B26" s="54">
        <f t="shared" ref="B26:G26" si="6">B21+B23</f>
        <v>141541.77315800911</v>
      </c>
      <c r="C26" s="54">
        <f t="shared" si="6"/>
        <v>292877.36714275053</v>
      </c>
      <c r="D26" s="54">
        <f t="shared" si="6"/>
        <v>39171.829430189639</v>
      </c>
      <c r="E26" s="54">
        <f t="shared" si="6"/>
        <v>228309.96307629044</v>
      </c>
      <c r="F26" s="54">
        <f t="shared" si="6"/>
        <v>152772.13072854214</v>
      </c>
      <c r="G26" s="54">
        <f t="shared" si="6"/>
        <v>117749.45212752864</v>
      </c>
    </row>
  </sheetData>
  <mergeCells count="2">
    <mergeCell ref="H9:L9"/>
    <mergeCell ref="H11:L11"/>
  </mergeCells>
  <hyperlinks>
    <hyperlink ref="A18" r:id="rId1" xr:uid="{2536D9FA-77A5-4EC9-9A02-80FE56E764CD}"/>
    <hyperlink ref="A19" r:id="rId2" xr:uid="{3A153075-18AD-42AE-8210-15E03AA9310C}"/>
    <hyperlink ref="A20" r:id="rId3" xr:uid="{06DF8481-9CCF-4E50-A051-DD66EE2F1A88}"/>
  </hyperlinks>
  <pageMargins left="0.75" right="0.75" top="1" bottom="1" header="0.5" footer="0.5"/>
  <pageSetup scale="89" orientation="landscape" r:id="rId4"/>
  <headerFooter alignWithMargins="0">
    <oddHeader>&amp;A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Demand forecast 2022</vt:lpstr>
      <vt:lpstr>EOQ -Calgary WH</vt:lpstr>
      <vt:lpstr>EPQ -VAN WH</vt:lpstr>
      <vt:lpstr>Safety Stock </vt:lpstr>
      <vt:lpstr>Graph EOQ F</vt:lpstr>
      <vt:lpstr>Graph EPQ 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Asus VivoBook</cp:lastModifiedBy>
  <dcterms:created xsi:type="dcterms:W3CDTF">2023-03-15T07:03:49Z</dcterms:created>
  <dcterms:modified xsi:type="dcterms:W3CDTF">2023-03-16T08:33:58Z</dcterms:modified>
</cp:coreProperties>
</file>