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issertation\validation_analysis\canada\"/>
    </mc:Choice>
  </mc:AlternateContent>
  <xr:revisionPtr revIDLastSave="0" documentId="13_ncr:1_{D3D234D4-52A4-408D-9BF9-0FF51EE17D3B}" xr6:coauthVersionLast="47" xr6:coauthVersionMax="47" xr10:uidLastSave="{00000000-0000-0000-0000-000000000000}"/>
  <bookViews>
    <workbookView xWindow="0" yWindow="1425" windowWidth="14400" windowHeight="11385" tabRatio="656" firstSheet="1" activeTab="1" xr2:uid="{00000000-000D-0000-FFFF-FFFF00000000}"/>
  </bookViews>
  <sheets>
    <sheet name="AllFuelData" sheetId="10" r:id="rId1"/>
    <sheet name="Aero fits" sheetId="35" r:id="rId2"/>
    <sheet name="AL-S30-T1" sheetId="23" r:id="rId3"/>
    <sheet name="AL-S30-T2" sheetId="24" r:id="rId4"/>
    <sheet name="AL-S40-T1" sheetId="17" r:id="rId5"/>
    <sheet name="AL-S40-T2" sheetId="19" r:id="rId6"/>
    <sheet name="AL-S50-T1" sheetId="25" r:id="rId7"/>
    <sheet name="AL-S50-T2" sheetId="26" r:id="rId8"/>
    <sheet name="AL-S75-T1" sheetId="27" r:id="rId9"/>
    <sheet name="AL-S75-T2" sheetId="28" r:id="rId10"/>
    <sheet name="AL-S150-T1" sheetId="29" r:id="rId11"/>
    <sheet name="AL-S150-T2" sheetId="30" r:id="rId12"/>
    <sheet name="AL-S150-T2_T1Ref" sheetId="33" r:id="rId13"/>
    <sheet name="AL-S258-T1" sheetId="31" r:id="rId14"/>
    <sheet name="AL-S258-T2" sheetId="32" r:id="rId15"/>
    <sheet name="AL-S258-T2_T1Ref" sheetId="34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35" l="1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123" i="35"/>
  <c r="G124" i="35"/>
  <c r="G125" i="35"/>
  <c r="G126" i="35"/>
  <c r="G127" i="35"/>
  <c r="G128" i="35"/>
  <c r="G129" i="35"/>
  <c r="G130" i="35"/>
  <c r="G131" i="35"/>
  <c r="G132" i="35"/>
  <c r="G133" i="35"/>
  <c r="G134" i="35"/>
  <c r="G135" i="35"/>
  <c r="G136" i="35"/>
  <c r="G137" i="35"/>
  <c r="G138" i="35"/>
  <c r="G139" i="35"/>
  <c r="G140" i="35"/>
  <c r="G141" i="35"/>
  <c r="G142" i="35"/>
  <c r="G143" i="35"/>
  <c r="G144" i="35"/>
  <c r="G145" i="35"/>
  <c r="G146" i="35"/>
  <c r="G147" i="35"/>
  <c r="G148" i="35"/>
  <c r="G149" i="35"/>
  <c r="G150" i="35"/>
  <c r="G151" i="35"/>
  <c r="G152" i="35"/>
  <c r="G153" i="35"/>
  <c r="G154" i="35"/>
  <c r="G155" i="35"/>
  <c r="G156" i="35"/>
  <c r="G157" i="35"/>
  <c r="G158" i="35"/>
  <c r="G159" i="35"/>
  <c r="G160" i="35"/>
  <c r="G161" i="35"/>
  <c r="G162" i="35"/>
  <c r="F76" i="35"/>
  <c r="F77" i="35"/>
  <c r="F78" i="35"/>
  <c r="F79" i="35"/>
  <c r="F80" i="35"/>
  <c r="F81" i="35"/>
  <c r="F82" i="35"/>
  <c r="F83" i="35"/>
  <c r="F84" i="35"/>
  <c r="F85" i="35"/>
  <c r="F86" i="35"/>
  <c r="F87" i="35"/>
  <c r="F88" i="35"/>
  <c r="F89" i="35"/>
  <c r="F90" i="35"/>
  <c r="F91" i="35"/>
  <c r="F92" i="35"/>
  <c r="F93" i="35"/>
  <c r="F94" i="35"/>
  <c r="F95" i="35"/>
  <c r="F96" i="35"/>
  <c r="F97" i="35"/>
  <c r="F98" i="35"/>
  <c r="F99" i="35"/>
  <c r="F100" i="35"/>
  <c r="F101" i="35"/>
  <c r="F102" i="35"/>
  <c r="F103" i="35"/>
  <c r="F104" i="35"/>
  <c r="F105" i="35"/>
  <c r="F106" i="35"/>
  <c r="F107" i="35"/>
  <c r="F108" i="35"/>
  <c r="F109" i="35"/>
  <c r="F110" i="35"/>
  <c r="F111" i="35"/>
  <c r="F112" i="35"/>
  <c r="F113" i="35"/>
  <c r="F114" i="35"/>
  <c r="F115" i="35"/>
  <c r="F116" i="35"/>
  <c r="F117" i="35"/>
  <c r="F118" i="35"/>
  <c r="F119" i="35"/>
  <c r="F120" i="35"/>
  <c r="F121" i="35"/>
  <c r="F122" i="35"/>
  <c r="F123" i="35"/>
  <c r="F124" i="35"/>
  <c r="F125" i="35"/>
  <c r="F126" i="35"/>
  <c r="F127" i="35"/>
  <c r="F128" i="35"/>
  <c r="F129" i="35"/>
  <c r="F130" i="35"/>
  <c r="F131" i="35"/>
  <c r="F132" i="35"/>
  <c r="F133" i="35"/>
  <c r="F134" i="35"/>
  <c r="F135" i="35"/>
  <c r="F136" i="35"/>
  <c r="F137" i="35"/>
  <c r="F138" i="35"/>
  <c r="F139" i="35"/>
  <c r="F140" i="35"/>
  <c r="F141" i="35"/>
  <c r="F142" i="35"/>
  <c r="F143" i="35"/>
  <c r="F144" i="35"/>
  <c r="F145" i="35"/>
  <c r="F146" i="35"/>
  <c r="F147" i="35"/>
  <c r="F148" i="35"/>
  <c r="F149" i="35"/>
  <c r="F150" i="35"/>
  <c r="F151" i="35"/>
  <c r="F152" i="35"/>
  <c r="F153" i="35"/>
  <c r="F154" i="35"/>
  <c r="F155" i="35"/>
  <c r="F156" i="35"/>
  <c r="F157" i="35"/>
  <c r="F158" i="35"/>
  <c r="F159" i="35"/>
  <c r="F160" i="35"/>
  <c r="F161" i="35"/>
  <c r="F162" i="35"/>
  <c r="G75" i="35"/>
  <c r="F75" i="35"/>
  <c r="E76" i="35"/>
  <c r="E77" i="35"/>
  <c r="E78" i="35"/>
  <c r="E79" i="35"/>
  <c r="E80" i="35"/>
  <c r="E81" i="35"/>
  <c r="E82" i="35"/>
  <c r="E83" i="35"/>
  <c r="E84" i="35"/>
  <c r="E85" i="35"/>
  <c r="E86" i="35"/>
  <c r="E87" i="35"/>
  <c r="E88" i="35"/>
  <c r="E89" i="35"/>
  <c r="E90" i="35"/>
  <c r="E91" i="35"/>
  <c r="E92" i="35"/>
  <c r="E93" i="35"/>
  <c r="E94" i="35"/>
  <c r="E95" i="35"/>
  <c r="E96" i="35"/>
  <c r="E97" i="35"/>
  <c r="E98" i="35"/>
  <c r="E99" i="35"/>
  <c r="E100" i="35"/>
  <c r="E101" i="35"/>
  <c r="E102" i="35"/>
  <c r="E103" i="35"/>
  <c r="E104" i="35"/>
  <c r="E105" i="35"/>
  <c r="E106" i="35"/>
  <c r="E107" i="35"/>
  <c r="E108" i="35"/>
  <c r="E109" i="35"/>
  <c r="E110" i="35"/>
  <c r="E111" i="35"/>
  <c r="E112" i="35"/>
  <c r="E113" i="35"/>
  <c r="E114" i="35"/>
  <c r="E115" i="35"/>
  <c r="E116" i="35"/>
  <c r="E117" i="35"/>
  <c r="E118" i="35"/>
  <c r="E119" i="35"/>
  <c r="E120" i="35"/>
  <c r="E121" i="35"/>
  <c r="E122" i="35"/>
  <c r="E123" i="35"/>
  <c r="E124" i="35"/>
  <c r="E125" i="35"/>
  <c r="E126" i="35"/>
  <c r="E127" i="35"/>
  <c r="E128" i="35"/>
  <c r="E129" i="35"/>
  <c r="E130" i="35"/>
  <c r="E131" i="35"/>
  <c r="E132" i="35"/>
  <c r="E133" i="35"/>
  <c r="E134" i="35"/>
  <c r="E135" i="35"/>
  <c r="E136" i="35"/>
  <c r="E137" i="35"/>
  <c r="E138" i="35"/>
  <c r="E139" i="35"/>
  <c r="E140" i="35"/>
  <c r="E141" i="35"/>
  <c r="E142" i="35"/>
  <c r="E143" i="35"/>
  <c r="E144" i="35"/>
  <c r="E145" i="35"/>
  <c r="E146" i="35"/>
  <c r="E147" i="35"/>
  <c r="E148" i="35"/>
  <c r="E149" i="35"/>
  <c r="E150" i="35"/>
  <c r="E151" i="35"/>
  <c r="E152" i="35"/>
  <c r="E153" i="35"/>
  <c r="E154" i="35"/>
  <c r="E155" i="35"/>
  <c r="E156" i="35"/>
  <c r="E157" i="35"/>
  <c r="E158" i="35"/>
  <c r="E159" i="35"/>
  <c r="E160" i="35"/>
  <c r="E161" i="35"/>
  <c r="E162" i="35"/>
  <c r="E75" i="35"/>
  <c r="Q8" i="35"/>
  <c r="R8" i="35"/>
  <c r="S8" i="35"/>
  <c r="T8" i="35"/>
  <c r="U8" i="35"/>
  <c r="P8" i="35"/>
  <c r="F8" i="35"/>
  <c r="G8" i="35"/>
  <c r="H8" i="35"/>
  <c r="I8" i="35"/>
  <c r="J8" i="35"/>
  <c r="E8" i="35"/>
  <c r="I6" i="35"/>
  <c r="J6" i="35"/>
  <c r="T6" i="35"/>
  <c r="U6" i="35"/>
  <c r="J7" i="35"/>
  <c r="F6" i="35"/>
  <c r="G6" i="35"/>
  <c r="H6" i="35"/>
  <c r="E6" i="35"/>
  <c r="B10" i="35"/>
  <c r="Q6" i="35"/>
  <c r="R6" i="35"/>
  <c r="S6" i="35"/>
  <c r="P6" i="35"/>
  <c r="M9" i="35"/>
  <c r="F7" i="35"/>
  <c r="G7" i="35"/>
  <c r="H7" i="35"/>
  <c r="I7" i="35"/>
  <c r="E7" i="35"/>
  <c r="Q7" i="35"/>
  <c r="R7" i="35"/>
  <c r="S7" i="35"/>
  <c r="T7" i="35"/>
  <c r="U7" i="35"/>
  <c r="P7" i="35"/>
  <c r="U2" i="35"/>
  <c r="T2" i="35"/>
  <c r="S2" i="35"/>
  <c r="R2" i="35"/>
  <c r="Q2" i="35"/>
  <c r="P2" i="35"/>
  <c r="F2" i="35"/>
  <c r="G2" i="35"/>
  <c r="H2" i="35"/>
  <c r="I2" i="35"/>
  <c r="J2" i="35"/>
  <c r="E2" i="35"/>
  <c r="J21" i="34"/>
  <c r="E21" i="34"/>
  <c r="J20" i="34"/>
  <c r="E20" i="34"/>
  <c r="J19" i="34"/>
  <c r="E19" i="34"/>
  <c r="J18" i="34"/>
  <c r="E18" i="34"/>
  <c r="J17" i="34"/>
  <c r="E17" i="34"/>
  <c r="J16" i="34"/>
  <c r="E16" i="34"/>
  <c r="J15" i="34"/>
  <c r="E15" i="34"/>
  <c r="J14" i="34"/>
  <c r="E14" i="34"/>
  <c r="J13" i="34"/>
  <c r="E13" i="34"/>
  <c r="J12" i="34"/>
  <c r="E12" i="34"/>
  <c r="J11" i="34"/>
  <c r="E11" i="34"/>
  <c r="J10" i="34"/>
  <c r="E10" i="34"/>
  <c r="J9" i="34"/>
  <c r="E9" i="34"/>
  <c r="J8" i="34"/>
  <c r="E8" i="34"/>
  <c r="J7" i="34"/>
  <c r="E7" i="34"/>
  <c r="D26" i="34" s="1"/>
  <c r="J21" i="33"/>
  <c r="E21" i="33"/>
  <c r="J20" i="33"/>
  <c r="E20" i="33"/>
  <c r="J19" i="33"/>
  <c r="E19" i="33"/>
  <c r="J18" i="33"/>
  <c r="E18" i="33"/>
  <c r="J17" i="33"/>
  <c r="E17" i="33"/>
  <c r="J16" i="33"/>
  <c r="E16" i="33"/>
  <c r="J15" i="33"/>
  <c r="E15" i="33"/>
  <c r="J14" i="33"/>
  <c r="E14" i="33"/>
  <c r="J13" i="33"/>
  <c r="E13" i="33"/>
  <c r="J12" i="33"/>
  <c r="E12" i="33"/>
  <c r="J11" i="33"/>
  <c r="E11" i="33"/>
  <c r="J10" i="33"/>
  <c r="E10" i="33"/>
  <c r="J9" i="33"/>
  <c r="E9" i="33"/>
  <c r="J8" i="33"/>
  <c r="E8" i="33"/>
  <c r="J7" i="33"/>
  <c r="E7" i="33"/>
  <c r="J21" i="32"/>
  <c r="E21" i="32"/>
  <c r="J20" i="32"/>
  <c r="E20" i="32"/>
  <c r="J19" i="32"/>
  <c r="E19" i="32"/>
  <c r="J18" i="32"/>
  <c r="E18" i="32"/>
  <c r="J17" i="32"/>
  <c r="E17" i="32"/>
  <c r="J16" i="32"/>
  <c r="E16" i="32"/>
  <c r="J15" i="32"/>
  <c r="E15" i="32"/>
  <c r="J14" i="32"/>
  <c r="E14" i="32"/>
  <c r="J13" i="32"/>
  <c r="E13" i="32"/>
  <c r="J12" i="32"/>
  <c r="E12" i="32"/>
  <c r="J11" i="32"/>
  <c r="E11" i="32"/>
  <c r="J10" i="32"/>
  <c r="E10" i="32"/>
  <c r="J9" i="32"/>
  <c r="E9" i="32"/>
  <c r="J8" i="32"/>
  <c r="E8" i="32"/>
  <c r="J7" i="32"/>
  <c r="E7" i="32"/>
  <c r="D26" i="32" s="1"/>
  <c r="J21" i="31"/>
  <c r="E21" i="31"/>
  <c r="J20" i="31"/>
  <c r="E20" i="31"/>
  <c r="J19" i="31"/>
  <c r="E19" i="31"/>
  <c r="J18" i="31"/>
  <c r="E18" i="31"/>
  <c r="J17" i="31"/>
  <c r="E17" i="31"/>
  <c r="J16" i="31"/>
  <c r="E16" i="31"/>
  <c r="J15" i="31"/>
  <c r="E15" i="31"/>
  <c r="J14" i="31"/>
  <c r="E14" i="31"/>
  <c r="J13" i="31"/>
  <c r="E13" i="31"/>
  <c r="J12" i="31"/>
  <c r="E12" i="31"/>
  <c r="J11" i="31"/>
  <c r="E11" i="31"/>
  <c r="J10" i="31"/>
  <c r="E10" i="31"/>
  <c r="J9" i="31"/>
  <c r="E9" i="31"/>
  <c r="J8" i="31"/>
  <c r="E8" i="31"/>
  <c r="J7" i="31"/>
  <c r="E7" i="31"/>
  <c r="J21" i="30"/>
  <c r="E21" i="30"/>
  <c r="J20" i="30"/>
  <c r="E20" i="30"/>
  <c r="J19" i="30"/>
  <c r="E19" i="30"/>
  <c r="J18" i="30"/>
  <c r="E18" i="30"/>
  <c r="J17" i="30"/>
  <c r="E17" i="30"/>
  <c r="J16" i="30"/>
  <c r="E16" i="30"/>
  <c r="J15" i="30"/>
  <c r="E15" i="30"/>
  <c r="J14" i="30"/>
  <c r="E14" i="30"/>
  <c r="J13" i="30"/>
  <c r="E13" i="30"/>
  <c r="J12" i="30"/>
  <c r="E12" i="30"/>
  <c r="J11" i="30"/>
  <c r="E11" i="30"/>
  <c r="J10" i="30"/>
  <c r="E10" i="30"/>
  <c r="J9" i="30"/>
  <c r="E9" i="30"/>
  <c r="J8" i="30"/>
  <c r="E8" i="30"/>
  <c r="D27" i="30" s="1"/>
  <c r="D28" i="30" s="1"/>
  <c r="J7" i="30"/>
  <c r="E7" i="30"/>
  <c r="J21" i="29"/>
  <c r="E21" i="29"/>
  <c r="J20" i="29"/>
  <c r="E20" i="29"/>
  <c r="J19" i="29"/>
  <c r="E19" i="29"/>
  <c r="J18" i="29"/>
  <c r="E18" i="29"/>
  <c r="J17" i="29"/>
  <c r="E17" i="29"/>
  <c r="J16" i="29"/>
  <c r="E16" i="29"/>
  <c r="J15" i="29"/>
  <c r="E15" i="29"/>
  <c r="J14" i="29"/>
  <c r="E14" i="29"/>
  <c r="J13" i="29"/>
  <c r="E13" i="29"/>
  <c r="J12" i="29"/>
  <c r="E12" i="29"/>
  <c r="J11" i="29"/>
  <c r="E11" i="29"/>
  <c r="J10" i="29"/>
  <c r="E10" i="29"/>
  <c r="J9" i="29"/>
  <c r="E9" i="29"/>
  <c r="J8" i="29"/>
  <c r="E8" i="29"/>
  <c r="J7" i="29"/>
  <c r="E7" i="29"/>
  <c r="J21" i="28"/>
  <c r="E21" i="28"/>
  <c r="J20" i="28"/>
  <c r="E20" i="28"/>
  <c r="J19" i="28"/>
  <c r="E19" i="28"/>
  <c r="J18" i="28"/>
  <c r="E18" i="28"/>
  <c r="J17" i="28"/>
  <c r="E17" i="28"/>
  <c r="J16" i="28"/>
  <c r="E16" i="28"/>
  <c r="J15" i="28"/>
  <c r="E15" i="28"/>
  <c r="J14" i="28"/>
  <c r="E14" i="28"/>
  <c r="J13" i="28"/>
  <c r="E13" i="28"/>
  <c r="J12" i="28"/>
  <c r="E12" i="28"/>
  <c r="J11" i="28"/>
  <c r="E11" i="28"/>
  <c r="J10" i="28"/>
  <c r="E10" i="28"/>
  <c r="J9" i="28"/>
  <c r="E9" i="28"/>
  <c r="J8" i="28"/>
  <c r="E8" i="28"/>
  <c r="D27" i="28" s="1"/>
  <c r="J24" i="28" s="1"/>
  <c r="J7" i="28"/>
  <c r="E7" i="28"/>
  <c r="J21" i="27"/>
  <c r="E21" i="27"/>
  <c r="J20" i="27"/>
  <c r="E20" i="27"/>
  <c r="J19" i="27"/>
  <c r="E19" i="27"/>
  <c r="J18" i="27"/>
  <c r="E18" i="27"/>
  <c r="J17" i="27"/>
  <c r="E17" i="27"/>
  <c r="J16" i="27"/>
  <c r="E16" i="27"/>
  <c r="J15" i="27"/>
  <c r="E15" i="27"/>
  <c r="J14" i="27"/>
  <c r="E14" i="27"/>
  <c r="J13" i="27"/>
  <c r="E13" i="27"/>
  <c r="J12" i="27"/>
  <c r="E12" i="27"/>
  <c r="J11" i="27"/>
  <c r="E11" i="27"/>
  <c r="J10" i="27"/>
  <c r="E10" i="27"/>
  <c r="J9" i="27"/>
  <c r="E9" i="27"/>
  <c r="J8" i="27"/>
  <c r="E8" i="27"/>
  <c r="J7" i="27"/>
  <c r="E7" i="27"/>
  <c r="J21" i="26"/>
  <c r="E21" i="26"/>
  <c r="J20" i="26"/>
  <c r="E20" i="26"/>
  <c r="J19" i="26"/>
  <c r="E19" i="26"/>
  <c r="J18" i="26"/>
  <c r="E18" i="26"/>
  <c r="J17" i="26"/>
  <c r="E17" i="26"/>
  <c r="J16" i="26"/>
  <c r="E16" i="26"/>
  <c r="J15" i="26"/>
  <c r="E15" i="26"/>
  <c r="J14" i="26"/>
  <c r="E14" i="26"/>
  <c r="J13" i="26"/>
  <c r="E13" i="26"/>
  <c r="J12" i="26"/>
  <c r="E12" i="26"/>
  <c r="J11" i="26"/>
  <c r="E11" i="26"/>
  <c r="J10" i="26"/>
  <c r="E10" i="26"/>
  <c r="J9" i="26"/>
  <c r="E9" i="26"/>
  <c r="J8" i="26"/>
  <c r="E8" i="26"/>
  <c r="J7" i="26"/>
  <c r="E7" i="26"/>
  <c r="J21" i="25"/>
  <c r="E21" i="25"/>
  <c r="J20" i="25"/>
  <c r="E20" i="25"/>
  <c r="J19" i="25"/>
  <c r="E19" i="25"/>
  <c r="J18" i="25"/>
  <c r="E18" i="25"/>
  <c r="J17" i="25"/>
  <c r="E17" i="25"/>
  <c r="J16" i="25"/>
  <c r="E16" i="25"/>
  <c r="J15" i="25"/>
  <c r="E15" i="25"/>
  <c r="J14" i="25"/>
  <c r="E14" i="25"/>
  <c r="J13" i="25"/>
  <c r="E13" i="25"/>
  <c r="J12" i="25"/>
  <c r="E12" i="25"/>
  <c r="J11" i="25"/>
  <c r="E11" i="25"/>
  <c r="J10" i="25"/>
  <c r="E10" i="25"/>
  <c r="J9" i="25"/>
  <c r="E9" i="25"/>
  <c r="J8" i="25"/>
  <c r="E8" i="25"/>
  <c r="J7" i="25"/>
  <c r="E7" i="25"/>
  <c r="J21" i="24"/>
  <c r="E21" i="24"/>
  <c r="J20" i="24"/>
  <c r="E20" i="24"/>
  <c r="J19" i="24"/>
  <c r="E19" i="24"/>
  <c r="J18" i="24"/>
  <c r="E18" i="24"/>
  <c r="J17" i="24"/>
  <c r="E17" i="24"/>
  <c r="J16" i="24"/>
  <c r="E16" i="24"/>
  <c r="J15" i="24"/>
  <c r="E15" i="24"/>
  <c r="J14" i="24"/>
  <c r="E14" i="24"/>
  <c r="J13" i="24"/>
  <c r="E13" i="24"/>
  <c r="J12" i="24"/>
  <c r="E12" i="24"/>
  <c r="J11" i="24"/>
  <c r="E11" i="24"/>
  <c r="J10" i="24"/>
  <c r="E10" i="24"/>
  <c r="J9" i="24"/>
  <c r="E9" i="24"/>
  <c r="J8" i="24"/>
  <c r="E8" i="24"/>
  <c r="J7" i="24"/>
  <c r="E7" i="24"/>
  <c r="J21" i="23"/>
  <c r="E21" i="23"/>
  <c r="J20" i="23"/>
  <c r="E20" i="23"/>
  <c r="J19" i="23"/>
  <c r="E19" i="23"/>
  <c r="J18" i="23"/>
  <c r="E18" i="23"/>
  <c r="J17" i="23"/>
  <c r="E17" i="23"/>
  <c r="J16" i="23"/>
  <c r="E16" i="23"/>
  <c r="J15" i="23"/>
  <c r="E15" i="23"/>
  <c r="J14" i="23"/>
  <c r="E14" i="23"/>
  <c r="J13" i="23"/>
  <c r="E13" i="23"/>
  <c r="J12" i="23"/>
  <c r="E12" i="23"/>
  <c r="J11" i="23"/>
  <c r="E11" i="23"/>
  <c r="J10" i="23"/>
  <c r="E10" i="23"/>
  <c r="J9" i="23"/>
  <c r="E9" i="23"/>
  <c r="J8" i="23"/>
  <c r="E8" i="23"/>
  <c r="J7" i="23"/>
  <c r="E7" i="23"/>
  <c r="R11" i="10"/>
  <c r="Q11" i="10"/>
  <c r="T10" i="10"/>
  <c r="S10" i="10"/>
  <c r="R10" i="10"/>
  <c r="Q10" i="10"/>
  <c r="T9" i="10"/>
  <c r="S9" i="10"/>
  <c r="R9" i="10"/>
  <c r="Q9" i="10"/>
  <c r="T8" i="10"/>
  <c r="S8" i="10"/>
  <c r="R8" i="10"/>
  <c r="Q8" i="10"/>
  <c r="T7" i="10"/>
  <c r="S7" i="10"/>
  <c r="R7" i="10"/>
  <c r="Q7" i="10"/>
  <c r="T6" i="10"/>
  <c r="S6" i="10"/>
  <c r="R6" i="10"/>
  <c r="Q6" i="10"/>
  <c r="T5" i="10"/>
  <c r="S5" i="10"/>
  <c r="R5" i="10"/>
  <c r="Q5" i="10"/>
  <c r="C65" i="10"/>
  <c r="D27" i="23" l="1"/>
  <c r="D27" i="27"/>
  <c r="D27" i="29"/>
  <c r="E27" i="27"/>
  <c r="E28" i="27" s="1"/>
  <c r="E26" i="33"/>
  <c r="D26" i="31"/>
  <c r="D26" i="24"/>
  <c r="D26" i="26"/>
  <c r="E26" i="30"/>
  <c r="E27" i="23"/>
  <c r="E28" i="23" s="1"/>
  <c r="E27" i="24"/>
  <c r="D25" i="31"/>
  <c r="D27" i="24"/>
  <c r="D28" i="24" s="1"/>
  <c r="E26" i="26"/>
  <c r="J28" i="26" s="1"/>
  <c r="D27" i="25"/>
  <c r="D27" i="26"/>
  <c r="D28" i="26" s="1"/>
  <c r="D26" i="28"/>
  <c r="E33" i="28" s="1"/>
  <c r="D27" i="31"/>
  <c r="D28" i="31" s="1"/>
  <c r="E26" i="34"/>
  <c r="E26" i="28"/>
  <c r="D26" i="30"/>
  <c r="J27" i="30" s="1"/>
  <c r="D27" i="34"/>
  <c r="J24" i="34" s="1"/>
  <c r="E27" i="34"/>
  <c r="J25" i="34" s="1"/>
  <c r="E28" i="34"/>
  <c r="E33" i="34"/>
  <c r="J28" i="34"/>
  <c r="J27" i="34"/>
  <c r="D25" i="34"/>
  <c r="E25" i="34"/>
  <c r="D26" i="33"/>
  <c r="J28" i="33" s="1"/>
  <c r="D27" i="33"/>
  <c r="D28" i="33" s="1"/>
  <c r="E27" i="33"/>
  <c r="E28" i="33" s="1"/>
  <c r="D25" i="33"/>
  <c r="E25" i="33"/>
  <c r="E26" i="31"/>
  <c r="E33" i="31" s="1"/>
  <c r="E26" i="32"/>
  <c r="E33" i="32" s="1"/>
  <c r="E27" i="32"/>
  <c r="E28" i="32" s="1"/>
  <c r="J24" i="31"/>
  <c r="J28" i="31"/>
  <c r="J27" i="31"/>
  <c r="D25" i="32"/>
  <c r="E27" i="31"/>
  <c r="D27" i="32"/>
  <c r="E25" i="31"/>
  <c r="E25" i="32"/>
  <c r="E26" i="29"/>
  <c r="E27" i="30"/>
  <c r="E28" i="30" s="1"/>
  <c r="E27" i="29"/>
  <c r="E28" i="29" s="1"/>
  <c r="J28" i="30"/>
  <c r="J24" i="29"/>
  <c r="D28" i="29"/>
  <c r="J24" i="30"/>
  <c r="E25" i="29"/>
  <c r="D25" i="30"/>
  <c r="E25" i="30"/>
  <c r="D25" i="29"/>
  <c r="D26" i="29"/>
  <c r="E26" i="27"/>
  <c r="E27" i="28"/>
  <c r="J25" i="28" s="1"/>
  <c r="J26" i="28" s="1"/>
  <c r="D28" i="27"/>
  <c r="J24" i="27"/>
  <c r="E28" i="28"/>
  <c r="J28" i="28"/>
  <c r="J27" i="28"/>
  <c r="E25" i="27"/>
  <c r="D25" i="28"/>
  <c r="J25" i="27"/>
  <c r="E25" i="28"/>
  <c r="D28" i="28"/>
  <c r="D26" i="27"/>
  <c r="D25" i="27"/>
  <c r="E26" i="25"/>
  <c r="J28" i="25" s="1"/>
  <c r="E27" i="26"/>
  <c r="J25" i="26" s="1"/>
  <c r="E27" i="25"/>
  <c r="E28" i="25" s="1"/>
  <c r="J24" i="25"/>
  <c r="D28" i="25"/>
  <c r="E28" i="26"/>
  <c r="D25" i="25"/>
  <c r="E25" i="25"/>
  <c r="D25" i="26"/>
  <c r="E25" i="26"/>
  <c r="D26" i="25"/>
  <c r="E26" i="24"/>
  <c r="E33" i="24" s="1"/>
  <c r="E26" i="23"/>
  <c r="E28" i="24"/>
  <c r="J25" i="24"/>
  <c r="J24" i="23"/>
  <c r="D28" i="23"/>
  <c r="J28" i="24"/>
  <c r="D25" i="23"/>
  <c r="J24" i="24"/>
  <c r="E25" i="23"/>
  <c r="D25" i="24"/>
  <c r="J25" i="23"/>
  <c r="E25" i="24"/>
  <c r="D26" i="23"/>
  <c r="J21" i="19"/>
  <c r="E21" i="19"/>
  <c r="J20" i="19"/>
  <c r="E20" i="19"/>
  <c r="J19" i="19"/>
  <c r="E19" i="19"/>
  <c r="J18" i="19"/>
  <c r="E18" i="19"/>
  <c r="J17" i="19"/>
  <c r="E17" i="19"/>
  <c r="J16" i="19"/>
  <c r="E16" i="19"/>
  <c r="J15" i="19"/>
  <c r="E15" i="19"/>
  <c r="J14" i="19"/>
  <c r="E14" i="19"/>
  <c r="J13" i="19"/>
  <c r="E13" i="19"/>
  <c r="J12" i="19"/>
  <c r="E12" i="19"/>
  <c r="J11" i="19"/>
  <c r="E11" i="19"/>
  <c r="J10" i="19"/>
  <c r="E10" i="19"/>
  <c r="J9" i="19"/>
  <c r="E9" i="19"/>
  <c r="J8" i="19"/>
  <c r="E8" i="19"/>
  <c r="J7" i="19"/>
  <c r="E7" i="19"/>
  <c r="J21" i="17"/>
  <c r="E21" i="17"/>
  <c r="J20" i="17"/>
  <c r="E20" i="17"/>
  <c r="J19" i="17"/>
  <c r="E19" i="17"/>
  <c r="J18" i="17"/>
  <c r="E18" i="17"/>
  <c r="J17" i="17"/>
  <c r="E17" i="17"/>
  <c r="J16" i="17"/>
  <c r="E16" i="17"/>
  <c r="J15" i="17"/>
  <c r="E15" i="17"/>
  <c r="J14" i="17"/>
  <c r="E14" i="17"/>
  <c r="J13" i="17"/>
  <c r="E13" i="17"/>
  <c r="J12" i="17"/>
  <c r="E12" i="17"/>
  <c r="J11" i="17"/>
  <c r="E11" i="17"/>
  <c r="J10" i="17"/>
  <c r="E10" i="17"/>
  <c r="J9" i="17"/>
  <c r="E9" i="17"/>
  <c r="J8" i="17"/>
  <c r="E8" i="17"/>
  <c r="J7" i="17"/>
  <c r="E7" i="17"/>
  <c r="J28" i="23" l="1"/>
  <c r="J26" i="23"/>
  <c r="D29" i="31"/>
  <c r="J26" i="27"/>
  <c r="J27" i="25"/>
  <c r="J32" i="26"/>
  <c r="E32" i="34"/>
  <c r="E32" i="26"/>
  <c r="J27" i="26"/>
  <c r="E32" i="28"/>
  <c r="E33" i="30"/>
  <c r="J32" i="30"/>
  <c r="J33" i="30" s="1"/>
  <c r="J25" i="33"/>
  <c r="J26" i="33" s="1"/>
  <c r="J29" i="33" s="1"/>
  <c r="J27" i="24"/>
  <c r="J24" i="26"/>
  <c r="E33" i="26"/>
  <c r="J32" i="28"/>
  <c r="D28" i="34"/>
  <c r="J26" i="34"/>
  <c r="J29" i="34" s="1"/>
  <c r="D29" i="34"/>
  <c r="J32" i="34"/>
  <c r="J27" i="33"/>
  <c r="J32" i="33"/>
  <c r="J33" i="33" s="1"/>
  <c r="E33" i="33"/>
  <c r="J24" i="33"/>
  <c r="E32" i="33"/>
  <c r="D29" i="33"/>
  <c r="J25" i="32"/>
  <c r="J27" i="32"/>
  <c r="J28" i="32"/>
  <c r="M6" i="31"/>
  <c r="M7" i="31"/>
  <c r="D28" i="32"/>
  <c r="J32" i="32" s="1"/>
  <c r="J24" i="32"/>
  <c r="E32" i="32"/>
  <c r="E28" i="31"/>
  <c r="J34" i="31" s="1"/>
  <c r="J25" i="31"/>
  <c r="J26" i="31" s="1"/>
  <c r="J29" i="31" s="1"/>
  <c r="D29" i="32"/>
  <c r="E32" i="31"/>
  <c r="E34" i="31" s="1"/>
  <c r="J27" i="29"/>
  <c r="E32" i="30"/>
  <c r="J25" i="30"/>
  <c r="J26" i="30" s="1"/>
  <c r="J29" i="30" s="1"/>
  <c r="D44" i="30" s="1"/>
  <c r="J25" i="29"/>
  <c r="J26" i="29" s="1"/>
  <c r="D29" i="29"/>
  <c r="J34" i="29" s="1"/>
  <c r="J28" i="29"/>
  <c r="J32" i="29"/>
  <c r="D29" i="30"/>
  <c r="E32" i="29"/>
  <c r="E33" i="29"/>
  <c r="J27" i="27"/>
  <c r="J33" i="28"/>
  <c r="D29" i="28"/>
  <c r="J29" i="28"/>
  <c r="E32" i="27"/>
  <c r="E33" i="27"/>
  <c r="D29" i="27"/>
  <c r="J28" i="27"/>
  <c r="J32" i="27"/>
  <c r="D29" i="26"/>
  <c r="M6" i="26" s="1"/>
  <c r="J25" i="25"/>
  <c r="J26" i="25" s="1"/>
  <c r="J29" i="25" s="1"/>
  <c r="E37" i="26"/>
  <c r="D29" i="25"/>
  <c r="E32" i="25"/>
  <c r="E33" i="25"/>
  <c r="J26" i="26"/>
  <c r="J29" i="26" s="1"/>
  <c r="J32" i="25"/>
  <c r="J33" i="26"/>
  <c r="E32" i="24"/>
  <c r="J32" i="24"/>
  <c r="J33" i="24" s="1"/>
  <c r="J38" i="24" s="1"/>
  <c r="D29" i="24"/>
  <c r="M6" i="24" s="1"/>
  <c r="J32" i="23"/>
  <c r="J33" i="23" s="1"/>
  <c r="D29" i="23"/>
  <c r="E32" i="23"/>
  <c r="E33" i="23"/>
  <c r="J27" i="23"/>
  <c r="J29" i="23" s="1"/>
  <c r="J26" i="24"/>
  <c r="J29" i="24" s="1"/>
  <c r="J34" i="24"/>
  <c r="D27" i="19"/>
  <c r="D28" i="19" s="1"/>
  <c r="E26" i="19"/>
  <c r="E27" i="19"/>
  <c r="E28" i="19" s="1"/>
  <c r="D25" i="19"/>
  <c r="E25" i="19"/>
  <c r="D26" i="19"/>
  <c r="E27" i="17"/>
  <c r="E28" i="17" s="1"/>
  <c r="D27" i="17"/>
  <c r="D28" i="17" s="1"/>
  <c r="E26" i="17"/>
  <c r="D26" i="17"/>
  <c r="D25" i="17"/>
  <c r="E25" i="17"/>
  <c r="D43" i="25" l="1"/>
  <c r="M7" i="29"/>
  <c r="E37" i="29"/>
  <c r="D29" i="19"/>
  <c r="E34" i="29"/>
  <c r="M7" i="26"/>
  <c r="J37" i="26"/>
  <c r="D44" i="25"/>
  <c r="O7" i="25" s="1"/>
  <c r="J26" i="32"/>
  <c r="J29" i="32" s="1"/>
  <c r="D44" i="32" s="1"/>
  <c r="M6" i="29"/>
  <c r="D44" i="34"/>
  <c r="D43" i="34"/>
  <c r="J33" i="34"/>
  <c r="J38" i="34" s="1"/>
  <c r="M6" i="34"/>
  <c r="E34" i="34"/>
  <c r="J34" i="34"/>
  <c r="J36" i="34" s="1"/>
  <c r="E38" i="34"/>
  <c r="M7" i="34"/>
  <c r="E37" i="34"/>
  <c r="M6" i="33"/>
  <c r="J38" i="33"/>
  <c r="J34" i="33"/>
  <c r="E38" i="33"/>
  <c r="E34" i="33"/>
  <c r="J37" i="33"/>
  <c r="M7" i="33"/>
  <c r="E37" i="33"/>
  <c r="D44" i="33"/>
  <c r="D43" i="33"/>
  <c r="E36" i="31"/>
  <c r="E35" i="31"/>
  <c r="E37" i="31"/>
  <c r="M6" i="32"/>
  <c r="J34" i="32"/>
  <c r="E38" i="32"/>
  <c r="E34" i="32"/>
  <c r="E37" i="32"/>
  <c r="M7" i="32"/>
  <c r="J32" i="31"/>
  <c r="E38" i="31"/>
  <c r="D43" i="31"/>
  <c r="D44" i="31"/>
  <c r="J36" i="32"/>
  <c r="J33" i="32"/>
  <c r="J37" i="32" s="1"/>
  <c r="J29" i="29"/>
  <c r="D44" i="29" s="1"/>
  <c r="D43" i="30"/>
  <c r="O6" i="30" s="1"/>
  <c r="E36" i="29"/>
  <c r="E35" i="29"/>
  <c r="M6" i="30"/>
  <c r="J34" i="30"/>
  <c r="E38" i="30"/>
  <c r="J38" i="30"/>
  <c r="E34" i="30"/>
  <c r="J37" i="30"/>
  <c r="M7" i="30"/>
  <c r="E37" i="30"/>
  <c r="E38" i="29"/>
  <c r="J33" i="29"/>
  <c r="D43" i="29" s="1"/>
  <c r="J36" i="29"/>
  <c r="J29" i="27"/>
  <c r="D43" i="27" s="1"/>
  <c r="M6" i="27"/>
  <c r="J34" i="27"/>
  <c r="J36" i="27" s="1"/>
  <c r="E38" i="27"/>
  <c r="E34" i="27"/>
  <c r="M7" i="27"/>
  <c r="E37" i="27"/>
  <c r="D44" i="28"/>
  <c r="D43" i="28"/>
  <c r="M6" i="28"/>
  <c r="J34" i="28"/>
  <c r="E34" i="28"/>
  <c r="J38" i="28"/>
  <c r="E38" i="28"/>
  <c r="J37" i="28"/>
  <c r="M7" i="28"/>
  <c r="E37" i="28"/>
  <c r="J33" i="27"/>
  <c r="J38" i="27" s="1"/>
  <c r="E34" i="26"/>
  <c r="E35" i="26" s="1"/>
  <c r="E38" i="26"/>
  <c r="J34" i="26"/>
  <c r="J36" i="26" s="1"/>
  <c r="O6" i="25"/>
  <c r="J38" i="26"/>
  <c r="M6" i="25"/>
  <c r="J34" i="25"/>
  <c r="E38" i="25"/>
  <c r="E34" i="25"/>
  <c r="M7" i="25"/>
  <c r="E37" i="25"/>
  <c r="J33" i="25"/>
  <c r="J38" i="25" s="1"/>
  <c r="D44" i="26"/>
  <c r="D43" i="26"/>
  <c r="E34" i="24"/>
  <c r="E35" i="24" s="1"/>
  <c r="E37" i="24"/>
  <c r="M7" i="24"/>
  <c r="E38" i="24"/>
  <c r="D44" i="23"/>
  <c r="D43" i="23"/>
  <c r="J37" i="24"/>
  <c r="J35" i="24"/>
  <c r="J34" i="23"/>
  <c r="M6" i="23"/>
  <c r="J38" i="23"/>
  <c r="E38" i="23"/>
  <c r="E34" i="23"/>
  <c r="J37" i="23"/>
  <c r="M7" i="23"/>
  <c r="E37" i="23"/>
  <c r="D44" i="24"/>
  <c r="D43" i="24"/>
  <c r="J36" i="24"/>
  <c r="J27" i="19"/>
  <c r="J24" i="19"/>
  <c r="E33" i="17"/>
  <c r="J25" i="17"/>
  <c r="J28" i="17"/>
  <c r="E32" i="17"/>
  <c r="J25" i="19"/>
  <c r="J26" i="19" s="1"/>
  <c r="M6" i="19"/>
  <c r="M7" i="19"/>
  <c r="J34" i="19"/>
  <c r="J32" i="19"/>
  <c r="E33" i="19"/>
  <c r="E32" i="19"/>
  <c r="E34" i="19" s="1"/>
  <c r="J28" i="19"/>
  <c r="J27" i="17"/>
  <c r="J32" i="17"/>
  <c r="J33" i="17" s="1"/>
  <c r="J24" i="17"/>
  <c r="D29" i="17"/>
  <c r="M6" i="17" s="1"/>
  <c r="E36" i="24" l="1"/>
  <c r="E37" i="19"/>
  <c r="D44" i="27"/>
  <c r="O7" i="27" s="1"/>
  <c r="D43" i="32"/>
  <c r="O7" i="32" s="1"/>
  <c r="J35" i="34"/>
  <c r="E36" i="34"/>
  <c r="E35" i="34"/>
  <c r="J37" i="34"/>
  <c r="O7" i="34"/>
  <c r="O6" i="34"/>
  <c r="E35" i="33"/>
  <c r="E36" i="33"/>
  <c r="J35" i="33"/>
  <c r="J36" i="33"/>
  <c r="O7" i="33"/>
  <c r="O6" i="33"/>
  <c r="J35" i="32"/>
  <c r="O6" i="31"/>
  <c r="O7" i="31"/>
  <c r="J38" i="32"/>
  <c r="J33" i="31"/>
  <c r="J36" i="31"/>
  <c r="O6" i="32"/>
  <c r="E36" i="32"/>
  <c r="E35" i="32"/>
  <c r="O7" i="30"/>
  <c r="J37" i="29"/>
  <c r="J38" i="29"/>
  <c r="O6" i="29"/>
  <c r="O7" i="29"/>
  <c r="E35" i="30"/>
  <c r="E36" i="30"/>
  <c r="J35" i="30"/>
  <c r="J36" i="30"/>
  <c r="J35" i="29"/>
  <c r="J35" i="28"/>
  <c r="J36" i="28"/>
  <c r="O7" i="28"/>
  <c r="O6" i="28"/>
  <c r="J37" i="27"/>
  <c r="E36" i="28"/>
  <c r="E35" i="28"/>
  <c r="E36" i="27"/>
  <c r="E35" i="27"/>
  <c r="J35" i="27"/>
  <c r="O6" i="27"/>
  <c r="E36" i="26"/>
  <c r="J35" i="26"/>
  <c r="O7" i="26"/>
  <c r="O6" i="26"/>
  <c r="J37" i="25"/>
  <c r="J35" i="25"/>
  <c r="J36" i="25"/>
  <c r="E36" i="25"/>
  <c r="E35" i="25"/>
  <c r="O6" i="24"/>
  <c r="O7" i="24"/>
  <c r="J35" i="23"/>
  <c r="J36" i="23"/>
  <c r="O6" i="23"/>
  <c r="O7" i="23"/>
  <c r="E36" i="23"/>
  <c r="E35" i="23"/>
  <c r="J26" i="17"/>
  <c r="J29" i="17" s="1"/>
  <c r="D44" i="17" s="1"/>
  <c r="J29" i="19"/>
  <c r="D44" i="19" s="1"/>
  <c r="J33" i="19"/>
  <c r="J35" i="19" s="1"/>
  <c r="J36" i="19"/>
  <c r="E38" i="19"/>
  <c r="E35" i="19"/>
  <c r="E36" i="19"/>
  <c r="E37" i="17"/>
  <c r="E34" i="17"/>
  <c r="E36" i="17" s="1"/>
  <c r="E38" i="17"/>
  <c r="J34" i="17"/>
  <c r="J36" i="17" s="1"/>
  <c r="M7" i="17"/>
  <c r="J37" i="17"/>
  <c r="J38" i="17"/>
  <c r="J38" i="31" l="1"/>
  <c r="J37" i="31"/>
  <c r="J35" i="31"/>
  <c r="D43" i="17"/>
  <c r="O7" i="17" s="1"/>
  <c r="J37" i="19"/>
  <c r="J38" i="19"/>
  <c r="D43" i="19"/>
  <c r="J35" i="17"/>
  <c r="E35" i="17"/>
  <c r="O6" i="17" l="1"/>
  <c r="O7" i="19"/>
  <c r="O6" i="19"/>
  <c r="J113" i="10" l="1"/>
  <c r="I113" i="10"/>
  <c r="H113" i="10"/>
  <c r="J112" i="10"/>
  <c r="I112" i="10"/>
  <c r="H112" i="10"/>
  <c r="J111" i="10"/>
  <c r="I111" i="10"/>
  <c r="H111" i="10"/>
  <c r="J110" i="10"/>
  <c r="I110" i="10"/>
  <c r="H110" i="10"/>
  <c r="J109" i="10"/>
  <c r="I109" i="10"/>
  <c r="H109" i="10"/>
  <c r="J108" i="10"/>
  <c r="I108" i="10"/>
  <c r="H108" i="10"/>
  <c r="J107" i="10"/>
  <c r="I107" i="10"/>
  <c r="H107" i="10"/>
  <c r="J106" i="10" l="1"/>
  <c r="I106" i="10"/>
  <c r="H106" i="10"/>
  <c r="J105" i="10"/>
  <c r="I105" i="10"/>
  <c r="H105" i="10"/>
  <c r="J104" i="10" l="1"/>
  <c r="I104" i="10"/>
  <c r="H104" i="10"/>
  <c r="J103" i="10"/>
  <c r="I103" i="10"/>
  <c r="H103" i="10"/>
  <c r="J102" i="10"/>
  <c r="I102" i="10"/>
  <c r="H102" i="10"/>
  <c r="J101" i="10"/>
  <c r="I101" i="10"/>
  <c r="H101" i="10"/>
  <c r="J100" i="10"/>
  <c r="I100" i="10"/>
  <c r="H100" i="10"/>
  <c r="J99" i="10"/>
  <c r="I99" i="10"/>
  <c r="H99" i="10"/>
  <c r="J98" i="10"/>
  <c r="I98" i="10"/>
  <c r="H98" i="10"/>
  <c r="J97" i="10"/>
  <c r="I97" i="10"/>
  <c r="H97" i="10"/>
  <c r="J96" i="10"/>
  <c r="I96" i="10"/>
  <c r="H96" i="10"/>
  <c r="J95" i="10" l="1"/>
  <c r="I95" i="10"/>
  <c r="H95" i="10"/>
  <c r="J94" i="10"/>
  <c r="I94" i="10"/>
  <c r="H94" i="10"/>
  <c r="I91" i="10"/>
  <c r="J93" i="10"/>
  <c r="I93" i="10"/>
  <c r="H93" i="10"/>
  <c r="J92" i="10"/>
  <c r="I92" i="10"/>
  <c r="H92" i="10"/>
  <c r="H91" i="10"/>
  <c r="I90" i="10"/>
  <c r="H90" i="10"/>
  <c r="I89" i="10"/>
  <c r="H89" i="10"/>
  <c r="I88" i="10"/>
  <c r="H88" i="10"/>
  <c r="I87" i="10"/>
  <c r="H87" i="10"/>
  <c r="I86" i="10"/>
  <c r="H86" i="10"/>
  <c r="O87" i="10" s="1"/>
  <c r="J81" i="10" l="1"/>
  <c r="I81" i="10"/>
  <c r="H81" i="10"/>
  <c r="J80" i="10"/>
  <c r="I80" i="10"/>
  <c r="H80" i="10"/>
  <c r="J79" i="10"/>
  <c r="I79" i="10"/>
  <c r="H79" i="10"/>
  <c r="J72" i="10" l="1"/>
  <c r="I72" i="10"/>
  <c r="H72" i="10"/>
  <c r="J85" i="10" l="1"/>
  <c r="I85" i="10"/>
  <c r="H85" i="10"/>
  <c r="J84" i="10"/>
  <c r="I84" i="10"/>
  <c r="H84" i="10"/>
  <c r="J83" i="10"/>
  <c r="I83" i="10"/>
  <c r="H83" i="10"/>
  <c r="J82" i="10"/>
  <c r="I82" i="10"/>
  <c r="H82" i="10"/>
  <c r="J78" i="10" l="1"/>
  <c r="I78" i="10"/>
  <c r="H78" i="10"/>
  <c r="J77" i="10"/>
  <c r="I77" i="10"/>
  <c r="H77" i="10"/>
  <c r="J76" i="10"/>
  <c r="I76" i="10"/>
  <c r="H76" i="10"/>
  <c r="J75" i="10"/>
  <c r="I75" i="10"/>
  <c r="H75" i="10"/>
  <c r="J74" i="10"/>
  <c r="I74" i="10"/>
  <c r="H74" i="10"/>
  <c r="J73" i="10"/>
  <c r="I73" i="10"/>
  <c r="H73" i="10"/>
  <c r="E71" i="10" l="1"/>
  <c r="D71" i="10"/>
  <c r="C71" i="10"/>
  <c r="I71" i="10" s="1"/>
  <c r="E70" i="10"/>
  <c r="D70" i="10"/>
  <c r="C70" i="10"/>
  <c r="H70" i="10" s="1"/>
  <c r="E69" i="10"/>
  <c r="D69" i="10"/>
  <c r="C69" i="10"/>
  <c r="E68" i="10"/>
  <c r="D68" i="10"/>
  <c r="J68" i="10" s="1"/>
  <c r="C68" i="10"/>
  <c r="E67" i="10"/>
  <c r="D67" i="10"/>
  <c r="J67" i="10" s="1"/>
  <c r="C67" i="10"/>
  <c r="E66" i="10"/>
  <c r="D66" i="10"/>
  <c r="C66" i="10"/>
  <c r="E65" i="10"/>
  <c r="I65" i="10" s="1"/>
  <c r="D65" i="10"/>
  <c r="E64" i="10"/>
  <c r="D64" i="10"/>
  <c r="C64" i="10"/>
  <c r="E63" i="10"/>
  <c r="D63" i="10"/>
  <c r="C63" i="10"/>
  <c r="J65" i="10" l="1"/>
  <c r="I64" i="10"/>
  <c r="J63" i="10"/>
  <c r="H66" i="10"/>
  <c r="H64" i="10"/>
  <c r="I63" i="10"/>
  <c r="H67" i="10"/>
  <c r="J64" i="10"/>
  <c r="H65" i="10"/>
  <c r="J69" i="10"/>
  <c r="H63" i="10"/>
  <c r="J70" i="10"/>
  <c r="H71" i="10"/>
  <c r="J71" i="10"/>
  <c r="I70" i="10"/>
  <c r="I69" i="10"/>
  <c r="H69" i="10"/>
  <c r="I68" i="10"/>
  <c r="H68" i="10"/>
  <c r="I67" i="10"/>
  <c r="I66" i="10"/>
  <c r="J66" i="10"/>
  <c r="J62" i="10" l="1"/>
  <c r="I62" i="10"/>
  <c r="H62" i="10"/>
  <c r="J61" i="10"/>
  <c r="I61" i="10"/>
  <c r="H61" i="10"/>
  <c r="J60" i="10"/>
  <c r="I60" i="10"/>
  <c r="H60" i="10"/>
  <c r="J59" i="10"/>
  <c r="I59" i="10"/>
  <c r="H59" i="10"/>
  <c r="J58" i="10"/>
  <c r="I58" i="10"/>
  <c r="H58" i="10"/>
  <c r="J57" i="10"/>
  <c r="I57" i="10"/>
  <c r="H57" i="10"/>
  <c r="J56" i="10"/>
  <c r="I56" i="10"/>
  <c r="H56" i="10"/>
  <c r="J55" i="10"/>
  <c r="I55" i="10"/>
  <c r="H55" i="10"/>
  <c r="J54" i="10"/>
  <c r="I54" i="10"/>
  <c r="H54" i="10"/>
  <c r="J53" i="10"/>
  <c r="I53" i="10"/>
  <c r="H53" i="10"/>
  <c r="J52" i="10" l="1"/>
  <c r="I52" i="10"/>
  <c r="H52" i="10"/>
  <c r="J51" i="10"/>
  <c r="I51" i="10"/>
  <c r="H51" i="10"/>
  <c r="J50" i="10"/>
  <c r="I50" i="10"/>
  <c r="H50" i="10"/>
  <c r="J49" i="10" l="1"/>
  <c r="I49" i="10"/>
  <c r="H49" i="10"/>
  <c r="J48" i="10"/>
  <c r="I48" i="10"/>
  <c r="H48" i="10"/>
  <c r="J47" i="10"/>
  <c r="I47" i="10"/>
  <c r="H47" i="10"/>
  <c r="J46" i="10"/>
  <c r="I46" i="10"/>
  <c r="H46" i="10"/>
  <c r="J45" i="10"/>
  <c r="I45" i="10"/>
  <c r="H45" i="10"/>
  <c r="J44" i="10"/>
  <c r="I44" i="10"/>
  <c r="H44" i="10"/>
  <c r="J43" i="10"/>
  <c r="I43" i="10"/>
  <c r="H43" i="10"/>
  <c r="J42" i="10"/>
  <c r="I42" i="10"/>
  <c r="H42" i="10"/>
  <c r="J41" i="10"/>
  <c r="I41" i="10"/>
  <c r="H41" i="10"/>
  <c r="J40" i="10" l="1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8" i="10"/>
  <c r="J7" i="10"/>
  <c r="J6" i="10"/>
  <c r="J5" i="10"/>
  <c r="J4" i="10"/>
  <c r="I40" i="10"/>
  <c r="H40" i="10"/>
  <c r="I39" i="10"/>
  <c r="H39" i="10"/>
  <c r="I38" i="10"/>
  <c r="H38" i="10"/>
  <c r="I37" i="10"/>
  <c r="H37" i="10"/>
  <c r="I36" i="10"/>
  <c r="H36" i="10"/>
  <c r="I35" i="10"/>
  <c r="H35" i="10"/>
  <c r="I34" i="10"/>
  <c r="H34" i="10"/>
  <c r="P87" i="10" l="1"/>
  <c r="Q87" i="10" s="1"/>
  <c r="I33" i="10"/>
  <c r="H33" i="10"/>
  <c r="I32" i="10"/>
  <c r="H32" i="10"/>
  <c r="I31" i="10"/>
  <c r="H31" i="10"/>
  <c r="I30" i="10" l="1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H12" i="10"/>
  <c r="H11" i="10"/>
  <c r="H10" i="10"/>
  <c r="H9" i="10"/>
  <c r="I8" i="10"/>
  <c r="H8" i="10"/>
  <c r="I7" i="10"/>
  <c r="H7" i="10"/>
  <c r="I6" i="10"/>
  <c r="H6" i="10"/>
  <c r="I5" i="10"/>
  <c r="H5" i="10"/>
  <c r="I4" i="10"/>
  <c r="H4" i="10"/>
  <c r="H2" i="10" l="1"/>
  <c r="H1" i="10"/>
  <c r="I2" i="10"/>
  <c r="I1" i="10"/>
</calcChain>
</file>

<file path=xl/sharedStrings.xml><?xml version="1.0" encoding="utf-8"?>
<sst xmlns="http://schemas.openxmlformats.org/spreadsheetml/2006/main" count="1294" uniqueCount="244">
  <si>
    <t xml:space="preserve">nominal value is and indicates the reliability of the nominal value. </t>
  </si>
  <si>
    <t xml:space="preserve"> the measured change in fuel consumed resulting from the modification to the test vehicle.</t>
  </si>
  <si>
    <t>4) For statistically justified fuel economy improvement,the appropriate t-test must show</t>
  </si>
  <si>
    <t>CI t-critical</t>
  </si>
  <si>
    <t>Baseline</t>
  </si>
  <si>
    <t>Test</t>
  </si>
  <si>
    <t>Gallons or Lbs</t>
  </si>
  <si>
    <t>Run</t>
  </si>
  <si>
    <t>T/C</t>
  </si>
  <si>
    <t>Mean T/C</t>
  </si>
  <si>
    <t>Number of Data Points</t>
  </si>
  <si>
    <t>Standard Deviations</t>
  </si>
  <si>
    <t>Difference in Means</t>
  </si>
  <si>
    <t>Summary Stats</t>
  </si>
  <si>
    <t>F-Test for Equal Variances</t>
  </si>
  <si>
    <t>Baseline T/C Variance</t>
  </si>
  <si>
    <t>Test T/C Variance</t>
  </si>
  <si>
    <t>F test stat (test/baseline)</t>
  </si>
  <si>
    <t>F low</t>
  </si>
  <si>
    <t>F high</t>
  </si>
  <si>
    <t>Are Variances Equal ?</t>
  </si>
  <si>
    <t>t-crit</t>
  </si>
  <si>
    <t>P-value</t>
  </si>
  <si>
    <t>df (nu)</t>
  </si>
  <si>
    <t>Variances</t>
  </si>
  <si>
    <t>Nominal</t>
  </si>
  <si>
    <t>CI std err term</t>
  </si>
  <si>
    <t>Pooled St dev</t>
  </si>
  <si>
    <t>SAE 1321 Data Analysis - Fuel Economy Improvement Testing</t>
  </si>
  <si>
    <t>t-stat</t>
  </si>
  <si>
    <t>Fuel Saved</t>
  </si>
  <si>
    <t>Improvement</t>
  </si>
  <si>
    <t>Is Fuel Economy Improved ?</t>
  </si>
  <si>
    <t>T-Test with Equal Variances (2-tailed)</t>
  </si>
  <si>
    <t>T-Test with Unequal Variances (2-tailed)</t>
  </si>
  <si>
    <t xml:space="preserve"> lower CI bound</t>
  </si>
  <si>
    <t xml:space="preserve"> upper CI bound</t>
  </si>
  <si>
    <t xml:space="preserve">lower CI bound  </t>
  </si>
  <si>
    <t xml:space="preserve">upper CI bound  </t>
  </si>
  <si>
    <t>Instructions</t>
  </si>
  <si>
    <t>Test Result</t>
  </si>
  <si>
    <t>Description</t>
  </si>
  <si>
    <t>This worksheet provides an analysis for the comparison of mean fuel consumption</t>
  </si>
  <si>
    <t>between a Test and Control vehicle.  The chosen confidence level is 95%.</t>
  </si>
  <si>
    <t>t-test for difference in means.</t>
  </si>
  <si>
    <t>The outcome of an f-test for equal variance is used to choose the appropriate</t>
  </si>
  <si>
    <t>.</t>
  </si>
  <si>
    <r>
      <rPr>
        <sz val="11"/>
        <rFont val="Calibri"/>
        <family val="2"/>
      </rPr>
      <t xml:space="preserve">Baseline </t>
    </r>
    <r>
      <rPr>
        <sz val="11"/>
        <rFont val="Calibri"/>
        <family val="2"/>
      </rPr>
      <t>Segment</t>
    </r>
  </si>
  <si>
    <r>
      <rPr>
        <sz val="11"/>
        <rFont val="Calibri"/>
        <family val="2"/>
      </rPr>
      <t xml:space="preserve">Test </t>
    </r>
    <r>
      <rPr>
        <sz val="11"/>
        <rFont val="Calibri"/>
        <family val="2"/>
      </rPr>
      <t>Segment</t>
    </r>
  </si>
  <si>
    <t xml:space="preserve">Control </t>
  </si>
  <si>
    <t>Control</t>
  </si>
  <si>
    <t>Confidence Interval</t>
  </si>
  <si>
    <t>±</t>
  </si>
  <si>
    <t xml:space="preserve">1) Conduct a minimum of 3 Baseline segment runs entering Test and Control fuel consumption values, </t>
  </si>
  <si>
    <r>
      <t xml:space="preserve">in the </t>
    </r>
    <r>
      <rPr>
        <sz val="11"/>
        <rFont val="Calibri"/>
        <family val="2"/>
      </rPr>
      <t>Test and Control</t>
    </r>
    <r>
      <rPr>
        <sz val="11"/>
        <rFont val="Calibri"/>
        <family val="2"/>
      </rPr>
      <t xml:space="preserve"> columns </t>
    </r>
    <r>
      <rPr>
        <sz val="11"/>
        <rFont val="Calibri"/>
        <family val="2"/>
      </rPr>
      <t>of the Baseline</t>
    </r>
    <r>
      <rPr>
        <sz val="11"/>
        <rFont val="Calibri"/>
        <family val="2"/>
      </rPr>
      <t xml:space="preserve"> </t>
    </r>
    <r>
      <rPr>
        <sz val="11"/>
        <rFont val="Calibri"/>
        <family val="2"/>
      </rPr>
      <t>table.</t>
    </r>
    <r>
      <rPr>
        <sz val="11"/>
        <rFont val="Calibri"/>
        <family val="2"/>
      </rPr>
      <t xml:space="preserve">  T/C values are computed in the gray column.</t>
    </r>
  </si>
  <si>
    <t xml:space="preserve">2) Conduct a minimum of 3 Test segment runs entering Test and Control fuel consumption values, </t>
  </si>
  <si>
    <r>
      <t xml:space="preserve">in the </t>
    </r>
    <r>
      <rPr>
        <sz val="11"/>
        <rFont val="Calibri"/>
        <family val="2"/>
      </rPr>
      <t xml:space="preserve">Test and Control </t>
    </r>
    <r>
      <rPr>
        <sz val="11"/>
        <rFont val="Calibri"/>
        <family val="2"/>
      </rPr>
      <t xml:space="preserve">columns </t>
    </r>
    <r>
      <rPr>
        <sz val="11"/>
        <rFont val="Calibri"/>
        <family val="2"/>
      </rPr>
      <t>of the Test table</t>
    </r>
    <r>
      <rPr>
        <sz val="11"/>
        <rFont val="Calibri"/>
        <family val="2"/>
      </rPr>
      <t>.  T/C values are computed in the gray column.</t>
    </r>
  </si>
  <si>
    <t>The nominal value is determined from an analysis of the measured fuel consumption data only and reflects</t>
  </si>
  <si>
    <t xml:space="preserve">The confidence interval value is determined from the variation (scatter) in the measured fuel consumption data, </t>
  </si>
  <si>
    <t xml:space="preserve">about the nominal value. A confidence interval is a range around the nominal value that conveys how precise the </t>
  </si>
  <si>
    <r>
      <t xml:space="preserve">5) </t>
    </r>
    <r>
      <rPr>
        <sz val="11"/>
        <rFont val="Calibri"/>
        <family val="2"/>
      </rPr>
      <t>Now review the Test Result box at the top of the worksheet.</t>
    </r>
    <r>
      <rPr>
        <strike/>
        <sz val="11"/>
        <rFont val="Calibri"/>
        <family val="2"/>
      </rPr>
      <t xml:space="preserve"> </t>
    </r>
  </si>
  <si>
    <t>relative to the nominal value, and the number of data values obtained.  The confidence interval is shown as a ± value</t>
  </si>
  <si>
    <r>
      <t xml:space="preserve">a "YES" </t>
    </r>
    <r>
      <rPr>
        <sz val="11"/>
        <rFont val="Calibri"/>
        <family val="2"/>
      </rPr>
      <t>in the box  for "Is Fuel Economy Improved?" question.</t>
    </r>
  </si>
  <si>
    <t xml:space="preserve">A desirable result is to have the confidence interval column value that is significantly less than the nominal value column. </t>
  </si>
  <si>
    <r>
      <t>3) Review the F-test results - if variances are equal -</t>
    </r>
    <r>
      <rPr>
        <sz val="11"/>
        <rFont val="Calibri"/>
        <family val="2"/>
      </rPr>
      <t xml:space="preserve"> the information shown in the</t>
    </r>
    <r>
      <rPr>
        <sz val="11"/>
        <rFont val="Calibri"/>
        <family val="2"/>
      </rPr>
      <t xml:space="preserve"> T-Test with equal variance results </t>
    </r>
  </si>
  <si>
    <r>
      <t xml:space="preserve">table are used.  If variances are unequal -  </t>
    </r>
    <r>
      <rPr>
        <sz val="11"/>
        <rFont val="Calibri"/>
        <family val="2"/>
      </rPr>
      <t>the information shown in the</t>
    </r>
    <r>
      <rPr>
        <sz val="11"/>
        <rFont val="Calibri"/>
        <family val="2"/>
      </rPr>
      <t xml:space="preserve"> T-Test with unequal variance results </t>
    </r>
    <r>
      <rPr>
        <sz val="11"/>
        <rFont val="Calibri"/>
        <family val="2"/>
      </rPr>
      <t>table are used.</t>
    </r>
  </si>
  <si>
    <t>A Nominal positive value for Fuel Saved or Improvement is only valid if the minimum value is also positive.</t>
  </si>
  <si>
    <t>Case</t>
  </si>
  <si>
    <t>T1</t>
  </si>
  <si>
    <t>T2</t>
  </si>
  <si>
    <t>C</t>
  </si>
  <si>
    <t>Date</t>
  </si>
  <si>
    <t>DV-RF-1</t>
  </si>
  <si>
    <t>DV-RF-2</t>
  </si>
  <si>
    <t>DV-RF-3</t>
  </si>
  <si>
    <t>AL-S150-1</t>
  </si>
  <si>
    <t>AL-S150-2</t>
  </si>
  <si>
    <t>FT1-RF-1</t>
  </si>
  <si>
    <t>FT1-RF-2</t>
  </si>
  <si>
    <t>FT1-RF-4</t>
  </si>
  <si>
    <t>FT1-RF-3</t>
  </si>
  <si>
    <t>FT1-S150-1</t>
  </si>
  <si>
    <t>FT1-S150-4</t>
  </si>
  <si>
    <t>FT1-S150-3</t>
  </si>
  <si>
    <t>FT1-S150-2</t>
  </si>
  <si>
    <t>FT1-S50-1</t>
  </si>
  <si>
    <t>FT1-S50-2</t>
  </si>
  <si>
    <t>FT1-S50-3</t>
  </si>
  <si>
    <t>FT1-S30-1</t>
  </si>
  <si>
    <t>FT1-S30-2</t>
  </si>
  <si>
    <t>FT1-S30-3</t>
  </si>
  <si>
    <t>AL-S150-3</t>
  </si>
  <si>
    <t>DV-RF-4</t>
  </si>
  <si>
    <t>AL-S50-3</t>
  </si>
  <si>
    <t>AL-S75-1</t>
  </si>
  <si>
    <t>AL-S75-2</t>
  </si>
  <si>
    <t>AL-S75-3</t>
  </si>
  <si>
    <t>AL-S50-1</t>
  </si>
  <si>
    <t>AL-S50-2</t>
  </si>
  <si>
    <t>T1/C</t>
  </si>
  <si>
    <t>T2/C</t>
  </si>
  <si>
    <t>AL-S40-1</t>
  </si>
  <si>
    <t>AL-S40-2</t>
  </si>
  <si>
    <t>AL-S40-3</t>
  </si>
  <si>
    <t>AL-S30-1</t>
  </si>
  <si>
    <t>AL-S30-2</t>
  </si>
  <si>
    <t>AL-S30-3</t>
  </si>
  <si>
    <t>AL-S40-4</t>
  </si>
  <si>
    <t>DV-RF-5</t>
  </si>
  <si>
    <t>DV-RF-6</t>
  </si>
  <si>
    <t>DV-RF-7</t>
  </si>
  <si>
    <t>T1/T2</t>
  </si>
  <si>
    <t>MO-S30-1</t>
  </si>
  <si>
    <t>MO-S40-1</t>
  </si>
  <si>
    <t>MO-S50-1</t>
  </si>
  <si>
    <t>MO-S30-2</t>
  </si>
  <si>
    <t>MO-S30-3</t>
  </si>
  <si>
    <t>MO-S40-2</t>
  </si>
  <si>
    <t>MO-S40-3</t>
  </si>
  <si>
    <t>MO-S50-2</t>
  </si>
  <si>
    <t>MO-S50-3</t>
  </si>
  <si>
    <t>HO-S30-1</t>
  </si>
  <si>
    <t>HO-S30-2</t>
  </si>
  <si>
    <t>HO-S30-3</t>
  </si>
  <si>
    <t>AL-S287-1</t>
  </si>
  <si>
    <t>AL-S258-1</t>
  </si>
  <si>
    <t>AL-S258-2</t>
  </si>
  <si>
    <t>AL-S258-3</t>
  </si>
  <si>
    <t>3T-S258/258-1</t>
  </si>
  <si>
    <t>3T-S258/258-2</t>
  </si>
  <si>
    <t>3T-S258/258-3</t>
  </si>
  <si>
    <t>MO-S75-1</t>
  </si>
  <si>
    <t>MO-S75-2</t>
  </si>
  <si>
    <t>MO-S75-3</t>
  </si>
  <si>
    <t>HO-S75-1</t>
  </si>
  <si>
    <t>HO-S75-2</t>
  </si>
  <si>
    <t>HO-S75-3</t>
  </si>
  <si>
    <t>HO-S50-1</t>
  </si>
  <si>
    <t>HO-S50-2</t>
  </si>
  <si>
    <t>HO-S50-3</t>
  </si>
  <si>
    <t>HO-S40-1</t>
  </si>
  <si>
    <t>HO-S40-2</t>
  </si>
  <si>
    <t>HO-S40-3</t>
  </si>
  <si>
    <t>start</t>
  </si>
  <si>
    <t>finish</t>
  </si>
  <si>
    <t>RF-8</t>
  </si>
  <si>
    <t>OTF-S150-1</t>
  </si>
  <si>
    <t>OTF-S150-2</t>
  </si>
  <si>
    <t>OTF-S150-3</t>
  </si>
  <si>
    <t>OTF-S50-1</t>
  </si>
  <si>
    <t>OTF-S50-2</t>
  </si>
  <si>
    <t>OTF-S50-3</t>
  </si>
  <si>
    <t>OTF-S150-4</t>
  </si>
  <si>
    <t>OTF-S258-3</t>
  </si>
  <si>
    <t>OTF-S258-2</t>
  </si>
  <si>
    <t>OTF-S258-1</t>
  </si>
  <si>
    <t>OTF-S30-1</t>
  </si>
  <si>
    <t>OTF-S30-2</t>
  </si>
  <si>
    <t>OTF-S30-3</t>
  </si>
  <si>
    <t>OTF1-RF-1</t>
  </si>
  <si>
    <t>OTF1-RF-2</t>
  </si>
  <si>
    <t>OTF1-RF-3</t>
  </si>
  <si>
    <t>FT2-RF-1</t>
  </si>
  <si>
    <t>FT2-RF-2</t>
  </si>
  <si>
    <t>FT2-RF-3</t>
  </si>
  <si>
    <t>OTTR-S50-1</t>
  </si>
  <si>
    <t>OTTR-S50-2</t>
  </si>
  <si>
    <t>OT-CI-S75</t>
  </si>
  <si>
    <t>RF-9</t>
  </si>
  <si>
    <t>OTR1vg</t>
  </si>
  <si>
    <t>T1/T2avg</t>
  </si>
  <si>
    <t>OTF1guess</t>
  </si>
  <si>
    <t>OTF-S75-1</t>
  </si>
  <si>
    <t>OTF-S75-2</t>
  </si>
  <si>
    <t>OTF-S75-3</t>
  </si>
  <si>
    <t>3T-S258/S50-2</t>
  </si>
  <si>
    <t>3T-S258/S50-3</t>
  </si>
  <si>
    <t>OTF2-RF-1</t>
  </si>
  <si>
    <t>OTF2-RF-2</t>
  </si>
  <si>
    <t>OTS-1</t>
  </si>
  <si>
    <t>OTS-2</t>
  </si>
  <si>
    <t>OTF2-RF-3</t>
  </si>
  <si>
    <t>OTS-3</t>
  </si>
  <si>
    <t>FT2-S50-1</t>
  </si>
  <si>
    <t>FT2-S50-2</t>
  </si>
  <si>
    <t>FT2-S50-3</t>
  </si>
  <si>
    <t>FT2-S30-1</t>
  </si>
  <si>
    <t>FT2-S30-2</t>
  </si>
  <si>
    <t>FT2-S30-3</t>
  </si>
  <si>
    <t>FT2-S150-1</t>
  </si>
  <si>
    <t>DV-T1,T2</t>
  </si>
  <si>
    <t>DV-T1</t>
  </si>
  <si>
    <t>FT1-T1</t>
  </si>
  <si>
    <t>FT2-T2</t>
  </si>
  <si>
    <t>Ref Run Num</t>
  </si>
  <si>
    <t>dry-van: proper reference case</t>
  </si>
  <si>
    <t>flat-bed: reference case for T1</t>
  </si>
  <si>
    <t>flat-bed: reference case for T2</t>
  </si>
  <si>
    <t>Other Traffic: reference case for T1</t>
  </si>
  <si>
    <t>dry-van: large separation so T1 may be assumed in isolation</t>
  </si>
  <si>
    <t>Other Traffic: large separation so T1 may be assumed in isolation</t>
  </si>
  <si>
    <t>Other Traffic: reference case for T2</t>
  </si>
  <si>
    <t>OT-T1</t>
  </si>
  <si>
    <t>OT-T2</t>
  </si>
  <si>
    <t>Use as refernce for:</t>
  </si>
  <si>
    <t>Reference T1</t>
  </si>
  <si>
    <t>Reference t2</t>
  </si>
  <si>
    <t>meters</t>
  </si>
  <si>
    <t>feet</t>
  </si>
  <si>
    <t>DRR Schmid</t>
  </si>
  <si>
    <t>DRR Hussein</t>
  </si>
  <si>
    <t>run1</t>
  </si>
  <si>
    <t>run2</t>
  </si>
  <si>
    <t>run3</t>
  </si>
  <si>
    <t>Leader</t>
  </si>
  <si>
    <t>Follower</t>
  </si>
  <si>
    <t>a</t>
  </si>
  <si>
    <t>b</t>
  </si>
  <si>
    <t>c</t>
  </si>
  <si>
    <t>g0</t>
  </si>
  <si>
    <t>Hussein</t>
  </si>
  <si>
    <t>Average</t>
  </si>
  <si>
    <t>average</t>
  </si>
  <si>
    <t>DRR Mcauliffe</t>
  </si>
  <si>
    <t>DRR Hussein Rational</t>
  </si>
  <si>
    <t>Hussein Rational</t>
  </si>
  <si>
    <t>a3</t>
  </si>
  <si>
    <t>a2</t>
  </si>
  <si>
    <t>a1</t>
  </si>
  <si>
    <t>a0</t>
  </si>
  <si>
    <t>b3</t>
  </si>
  <si>
    <t>b2</t>
  </si>
  <si>
    <t>b1</t>
  </si>
  <si>
    <t>b0</t>
  </si>
  <si>
    <t>G0</t>
  </si>
  <si>
    <t>DRR_h_power</t>
  </si>
  <si>
    <t>DRR_h_poly</t>
  </si>
  <si>
    <t>DRR_s</t>
  </si>
  <si>
    <t>DRR_m</t>
  </si>
  <si>
    <t>y</t>
  </si>
  <si>
    <t>Regressors</t>
  </si>
  <si>
    <t>Lead</t>
  </si>
  <si>
    <t>Mid</t>
  </si>
  <si>
    <t>Follow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</si>
</sst>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00"/>
    <numFmt numFmtId="167" formatCode="0.0000000"/>
    <numFmt numFmtId="168" formatCode="0.000000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name val="Calibri"/>
      <family val="2"/>
    </font>
    <font>
      <b/>
      <sz val="14"/>
      <color indexed="8"/>
      <name val="Calibri"/>
      <family val="2"/>
    </font>
    <font>
      <b/>
      <sz val="14"/>
      <color indexed="10"/>
      <name val="Calibri"/>
      <family val="2"/>
    </font>
    <font>
      <b/>
      <u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strike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0" fontId="11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0" fillId="2" borderId="0" xfId="0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3" fillId="3" borderId="4" xfId="0" applyFont="1" applyFill="1" applyBorder="1" applyAlignment="1">
      <alignment horizontal="left"/>
    </xf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2" fillId="3" borderId="3" xfId="0" applyFont="1" applyFill="1" applyBorder="1"/>
    <xf numFmtId="1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/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164" fontId="0" fillId="2" borderId="6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165" fontId="0" fillId="2" borderId="12" xfId="0" applyNumberFormat="1" applyFill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0" fontId="0" fillId="2" borderId="8" xfId="0" applyFill="1" applyBorder="1"/>
    <xf numFmtId="166" fontId="0" fillId="2" borderId="12" xfId="0" applyNumberFormat="1" applyFill="1" applyBorder="1" applyAlignment="1">
      <alignment horizontal="center"/>
    </xf>
    <xf numFmtId="166" fontId="0" fillId="2" borderId="13" xfId="0" applyNumberFormat="1" applyFill="1" applyBorder="1" applyAlignment="1">
      <alignment horizontal="center"/>
    </xf>
    <xf numFmtId="0" fontId="0" fillId="2" borderId="9" xfId="0" applyFill="1" applyBorder="1"/>
    <xf numFmtId="0" fontId="4" fillId="2" borderId="0" xfId="0" applyFont="1" applyFill="1"/>
    <xf numFmtId="0" fontId="0" fillId="2" borderId="15" xfId="0" applyFill="1" applyBorder="1" applyAlignment="1">
      <alignment horizontal="right"/>
    </xf>
    <xf numFmtId="165" fontId="0" fillId="2" borderId="15" xfId="0" applyNumberFormat="1" applyFill="1" applyBorder="1"/>
    <xf numFmtId="166" fontId="0" fillId="2" borderId="15" xfId="0" applyNumberFormat="1" applyFill="1" applyBorder="1"/>
    <xf numFmtId="167" fontId="0" fillId="2" borderId="6" xfId="0" applyNumberFormat="1" applyFill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0" fillId="2" borderId="7" xfId="0" applyFill="1" applyBorder="1"/>
    <xf numFmtId="168" fontId="0" fillId="2" borderId="12" xfId="0" applyNumberFormat="1" applyFill="1" applyBorder="1" applyAlignment="1">
      <alignment horizontal="center"/>
    </xf>
    <xf numFmtId="168" fontId="0" fillId="2" borderId="14" xfId="0" applyNumberFormat="1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20" xfId="0" applyFill="1" applyBorder="1"/>
    <xf numFmtId="0" fontId="0" fillId="2" borderId="21" xfId="0" applyFill="1" applyBorder="1"/>
    <xf numFmtId="165" fontId="5" fillId="2" borderId="22" xfId="0" applyNumberFormat="1" applyFont="1" applyFill="1" applyBorder="1" applyAlignment="1">
      <alignment horizontal="center"/>
    </xf>
    <xf numFmtId="164" fontId="0" fillId="4" borderId="23" xfId="0" applyNumberFormat="1" applyFill="1" applyBorder="1" applyAlignment="1">
      <alignment horizontal="center"/>
    </xf>
    <xf numFmtId="164" fontId="0" fillId="4" borderId="24" xfId="0" applyNumberFormat="1" applyFill="1" applyBorder="1" applyAlignment="1">
      <alignment horizontal="center"/>
    </xf>
    <xf numFmtId="164" fontId="0" fillId="4" borderId="25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/>
    <xf numFmtId="0" fontId="6" fillId="2" borderId="0" xfId="0" applyFont="1" applyFill="1"/>
    <xf numFmtId="0" fontId="7" fillId="5" borderId="0" xfId="0" applyFont="1" applyFill="1" applyAlignment="1">
      <alignment horizontal="center"/>
    </xf>
    <xf numFmtId="0" fontId="8" fillId="6" borderId="3" xfId="0" applyFont="1" applyFill="1" applyBorder="1"/>
    <xf numFmtId="0" fontId="8" fillId="6" borderId="4" xfId="0" applyFont="1" applyFill="1" applyBorder="1"/>
    <xf numFmtId="0" fontId="7" fillId="6" borderId="4" xfId="0" applyFont="1" applyFill="1" applyBorder="1"/>
    <xf numFmtId="0" fontId="8" fillId="6" borderId="5" xfId="0" applyFont="1" applyFill="1" applyBorder="1"/>
    <xf numFmtId="0" fontId="7" fillId="6" borderId="7" xfId="0" applyFont="1" applyFill="1" applyBorder="1"/>
    <xf numFmtId="0" fontId="7" fillId="6" borderId="23" xfId="0" applyFont="1" applyFill="1" applyBorder="1"/>
    <xf numFmtId="0" fontId="9" fillId="7" borderId="26" xfId="0" applyFont="1" applyFill="1" applyBorder="1" applyAlignment="1">
      <alignment horizontal="left"/>
    </xf>
    <xf numFmtId="10" fontId="9" fillId="7" borderId="27" xfId="3" applyNumberFormat="1" applyFont="1" applyFill="1" applyBorder="1" applyAlignment="1">
      <alignment horizontal="center"/>
    </xf>
    <xf numFmtId="10" fontId="9" fillId="7" borderId="7" xfId="3" applyNumberFormat="1" applyFont="1" applyFill="1" applyBorder="1" applyAlignment="1">
      <alignment horizontal="center"/>
    </xf>
    <xf numFmtId="10" fontId="9" fillId="7" borderId="18" xfId="3" applyNumberFormat="1" applyFont="1" applyFill="1" applyBorder="1" applyAlignment="1">
      <alignment horizontal="center"/>
    </xf>
    <xf numFmtId="0" fontId="9" fillId="7" borderId="9" xfId="0" applyFont="1" applyFill="1" applyBorder="1" applyAlignment="1">
      <alignment horizontal="left"/>
    </xf>
    <xf numFmtId="10" fontId="9" fillId="7" borderId="25" xfId="3" applyNumberFormat="1" applyFont="1" applyFill="1" applyBorder="1" applyAlignment="1">
      <alignment horizontal="center"/>
    </xf>
    <xf numFmtId="10" fontId="9" fillId="7" borderId="28" xfId="3" applyNumberFormat="1" applyFont="1" applyFill="1" applyBorder="1" applyAlignment="1">
      <alignment horizontal="center"/>
    </xf>
    <xf numFmtId="10" fontId="9" fillId="7" borderId="29" xfId="3" applyNumberFormat="1" applyFont="1" applyFill="1" applyBorder="1" applyAlignment="1">
      <alignment horizontal="center"/>
    </xf>
    <xf numFmtId="0" fontId="12" fillId="2" borderId="0" xfId="0" applyFont="1" applyFill="1"/>
    <xf numFmtId="0" fontId="12" fillId="0" borderId="0" xfId="0" applyFont="1"/>
    <xf numFmtId="0" fontId="7" fillId="2" borderId="0" xfId="0" applyFont="1" applyFill="1"/>
    <xf numFmtId="0" fontId="7" fillId="10" borderId="0" xfId="0" applyFont="1" applyFill="1"/>
    <xf numFmtId="0" fontId="12" fillId="10" borderId="0" xfId="0" applyFont="1" applyFill="1"/>
    <xf numFmtId="0" fontId="0" fillId="10" borderId="0" xfId="0" applyFill="1"/>
    <xf numFmtId="2" fontId="0" fillId="2" borderId="23" xfId="0" applyNumberFormat="1" applyFill="1" applyBorder="1" applyAlignment="1" applyProtection="1">
      <alignment horizontal="center"/>
      <protection locked="0"/>
    </xf>
    <xf numFmtId="2" fontId="0" fillId="2" borderId="11" xfId="0" applyNumberFormat="1" applyFill="1" applyBorder="1" applyAlignment="1" applyProtection="1">
      <alignment horizontal="center"/>
      <protection locked="0"/>
    </xf>
    <xf numFmtId="2" fontId="0" fillId="2" borderId="24" xfId="0" applyNumberFormat="1" applyFill="1" applyBorder="1" applyAlignment="1" applyProtection="1">
      <alignment horizontal="center"/>
      <protection locked="0"/>
    </xf>
    <xf numFmtId="2" fontId="0" fillId="2" borderId="0" xfId="0" applyNumberFormat="1" applyFill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24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5" xfId="0" applyFill="1" applyBorder="1" applyProtection="1">
      <protection locked="0"/>
    </xf>
    <xf numFmtId="0" fontId="0" fillId="2" borderId="10" xfId="0" applyFill="1" applyBorder="1" applyProtection="1">
      <protection locked="0"/>
    </xf>
    <xf numFmtId="15" fontId="0" fillId="0" borderId="0" xfId="0" applyNumberFormat="1"/>
    <xf numFmtId="165" fontId="0" fillId="0" borderId="0" xfId="0" applyNumberForma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14" fillId="0" borderId="30" xfId="0" applyFont="1" applyBorder="1"/>
    <xf numFmtId="0" fontId="13" fillId="0" borderId="0" xfId="0" applyFont="1"/>
    <xf numFmtId="0" fontId="12" fillId="8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2" fillId="9" borderId="3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5" fillId="0" borderId="0" xfId="0" applyFont="1" applyAlignment="1">
      <alignment horizontal="left" vertical="center" indent="3"/>
    </xf>
    <xf numFmtId="0" fontId="0" fillId="0" borderId="0" xfId="0" quotePrefix="1"/>
    <xf numFmtId="11" fontId="0" fillId="0" borderId="0" xfId="0" applyNumberForma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AllFuelData!$H$3</c:f>
              <c:strCache>
                <c:ptCount val="1"/>
                <c:pt idx="0">
                  <c:v>T1/C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(AllFuelData!$L$4:$L$6,AllFuelData!$L$24,AllFuelData!$L$38:$L$40,AllFuelData!$L$72,AllFuelData!$L$95,AllFuelData!$L$7:$L$8,AllFuelData!$L$23,AllFuelData!$L$25:$L$27)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(AllFuelData!$H$4:$H$6,AllFuelData!$H$24,AllFuelData!$H$38:$H$40,AllFuelData!$H$72,AllFuelData!$H$95,AllFuelData!$H$7:$H$8,AllFuelData!$H$23,AllFuelData!$H$25:$H$27)</c:f>
              <c:numCache>
                <c:formatCode>0.000</c:formatCode>
                <c:ptCount val="15"/>
                <c:pt idx="0">
                  <c:v>1.0337394564198688</c:v>
                </c:pt>
                <c:pt idx="1">
                  <c:v>1.0099637681159421</c:v>
                </c:pt>
                <c:pt idx="2">
                  <c:v>1.0435588507877664</c:v>
                </c:pt>
                <c:pt idx="3">
                  <c:v>1.0232558139534884</c:v>
                </c:pt>
                <c:pt idx="4">
                  <c:v>1.0292112950340799</c:v>
                </c:pt>
                <c:pt idx="5">
                  <c:v>1.0497076023391814</c:v>
                </c:pt>
                <c:pt idx="6">
                  <c:v>1.0282926829268293</c:v>
                </c:pt>
                <c:pt idx="7">
                  <c:v>1.0352045670789725</c:v>
                </c:pt>
                <c:pt idx="8">
                  <c:v>1.0347826086956522</c:v>
                </c:pt>
                <c:pt idx="9">
                  <c:v>1.0297121634168989</c:v>
                </c:pt>
                <c:pt idx="10">
                  <c:v>1.0162748643761301</c:v>
                </c:pt>
                <c:pt idx="11">
                  <c:v>1.0437956204379562</c:v>
                </c:pt>
                <c:pt idx="12">
                  <c:v>1.0138888888888888</c:v>
                </c:pt>
                <c:pt idx="13">
                  <c:v>1.0198863636363635</c:v>
                </c:pt>
                <c:pt idx="14">
                  <c:v>1.0009354536950421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E-49C6-9C87-2942B7484CF4}"/>
            </c:ext>
          </c:extLst>
        </c:ser>
        <c:ser>
          <c:idx val="1"/>
          <c:order val="1"/>
          <c:tx>
            <c:strRef>
              <c:f>AllFuelData!$I$3</c:f>
              <c:strCache>
                <c:ptCount val="1"/>
                <c:pt idx="0">
                  <c:v>T2/C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(AllFuelData!$L$4:$L$6,AllFuelData!$L$24,AllFuelData!$L$38:$L$40,AllFuelData!$L$72,AllFuelData!$L$95)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(AllFuelData!$I$4:$I$6,AllFuelData!$I$24,AllFuelData!$I$38:$I$40,AllFuelData!$I$72,AllFuelData!$I$95)</c:f>
              <c:numCache>
                <c:formatCode>0.000</c:formatCode>
                <c:ptCount val="9"/>
                <c:pt idx="0">
                  <c:v>1.0309278350515465</c:v>
                </c:pt>
                <c:pt idx="1">
                  <c:v>1.0172101449275364</c:v>
                </c:pt>
                <c:pt idx="2">
                  <c:v>1.0176088971269694</c:v>
                </c:pt>
                <c:pt idx="3">
                  <c:v>0.99813953488372098</c:v>
                </c:pt>
                <c:pt idx="4">
                  <c:v>1.0107108081791627</c:v>
                </c:pt>
                <c:pt idx="5">
                  <c:v>1.0165692007797271</c:v>
                </c:pt>
                <c:pt idx="6">
                  <c:v>1.0087804878048781</c:v>
                </c:pt>
                <c:pt idx="7">
                  <c:v>1.1693625118934348</c:v>
                </c:pt>
                <c:pt idx="8">
                  <c:v>1.0096618357487923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E-49C6-9C87-2942B7484CF4}"/>
            </c:ext>
          </c:extLst>
        </c:ser>
        <c:ser>
          <c:idx val="2"/>
          <c:order val="2"/>
          <c:tx>
            <c:v>T1F/C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AllFuelData!$L$9:$L$12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AllFuelData!$H$9:$H$12</c:f>
              <c:numCache>
                <c:formatCode>0.000</c:formatCode>
                <c:ptCount val="4"/>
                <c:pt idx="0">
                  <c:v>1.15205223880597</c:v>
                </c:pt>
                <c:pt idx="1">
                  <c:v>1.1635514018691588</c:v>
                </c:pt>
                <c:pt idx="2">
                  <c:v>1.1537001897533208</c:v>
                </c:pt>
                <c:pt idx="3">
                  <c:v>1.1471153846153845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EE-49C6-9C87-2942B7484CF4}"/>
            </c:ext>
          </c:extLst>
        </c:ser>
        <c:ser>
          <c:idx val="5"/>
          <c:order val="3"/>
          <c:tx>
            <c:v>T2F/C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AllFuelData!$L$89:$L$91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AllFuelData!$I$89:$I$91</c:f>
              <c:numCache>
                <c:formatCode>0.000</c:formatCode>
                <c:ptCount val="3"/>
                <c:pt idx="0">
                  <c:v>1.1233521657250471</c:v>
                </c:pt>
                <c:pt idx="1">
                  <c:v>1.1343984962406015</c:v>
                </c:pt>
                <c:pt idx="2">
                  <c:v>1.1383177570093459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EE-49C6-9C87-2942B7484CF4}"/>
            </c:ext>
          </c:extLst>
        </c:ser>
        <c:ser>
          <c:idx val="3"/>
          <c:order val="4"/>
          <c:tx>
            <c:v>T1/T2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(AllFuelData!$L$4:$L$6,AllFuelData!$L$24,AllFuelData!$L$38:$L$40,AllFuelData!$L$72,AllFuelData!$L$95)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(AllFuelData!$J$4:$J$6,AllFuelData!$J$24,AllFuelData!$J$38:$J$40,AllFuelData!$J$72,AllFuelData!$J$95)</c:f>
              <c:numCache>
                <c:formatCode>0.000</c:formatCode>
                <c:ptCount val="9"/>
                <c:pt idx="0">
                  <c:v>1.0027272727272727</c:v>
                </c:pt>
                <c:pt idx="1">
                  <c:v>0.99287622439893142</c:v>
                </c:pt>
                <c:pt idx="2">
                  <c:v>1.0255009107468123</c:v>
                </c:pt>
                <c:pt idx="3">
                  <c:v>1.0251630941286114</c:v>
                </c:pt>
                <c:pt idx="4">
                  <c:v>1.0183044315992293</c:v>
                </c:pt>
                <c:pt idx="5">
                  <c:v>1.0325982742090125</c:v>
                </c:pt>
                <c:pt idx="6">
                  <c:v>1.0193423597678917</c:v>
                </c:pt>
                <c:pt idx="7">
                  <c:v>0.88527257933279102</c:v>
                </c:pt>
                <c:pt idx="8">
                  <c:v>1.0248803827751198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EE-49C6-9C87-2942B7484CF4}"/>
            </c:ext>
          </c:extLst>
        </c:ser>
        <c:ser>
          <c:idx val="4"/>
          <c:order val="5"/>
          <c:tx>
            <c:v>T1OT/C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(AllFuelData!$L$86:$L$88,AllFuelData!$L$73:$L$75,AllFuelData!$L$82:$L$85)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(AllFuelData!$H$86:$H$88,AllFuelData!$H$73:$H$75,AllFuelData!$H$82:$H$85)</c:f>
              <c:numCache>
                <c:formatCode>0.000</c:formatCode>
                <c:ptCount val="10"/>
                <c:pt idx="0">
                  <c:v>0.96421845574387954</c:v>
                </c:pt>
                <c:pt idx="1">
                  <c:v>0.98120300751879685</c:v>
                </c:pt>
                <c:pt idx="2">
                  <c:v>0.97196261682243001</c:v>
                </c:pt>
                <c:pt idx="3">
                  <c:v>0.96228150873965057</c:v>
                </c:pt>
                <c:pt idx="4">
                  <c:v>0.97206703910614523</c:v>
                </c:pt>
                <c:pt idx="5">
                  <c:v>0.96519285042333014</c:v>
                </c:pt>
                <c:pt idx="6">
                  <c:v>0.96752626552053489</c:v>
                </c:pt>
                <c:pt idx="7">
                  <c:v>0.95119617224880382</c:v>
                </c:pt>
                <c:pt idx="8">
                  <c:v>0.9375</c:v>
                </c:pt>
                <c:pt idx="9">
                  <c:v>0.95152091254752857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EE-49C6-9C87-2942B7484CF4}"/>
            </c:ext>
          </c:extLst>
        </c:ser>
        <c:ser>
          <c:idx val="6"/>
          <c:order val="6"/>
          <c:tx>
            <c:v>T2OT/C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(AllFuelData!$L$101:$L$102,AllFuelData!$L$105)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(AllFuelData!$I$101:$I$102,AllFuelData!$I$105)</c:f>
              <c:numCache>
                <c:formatCode>0.000</c:formatCode>
                <c:ptCount val="3"/>
                <c:pt idx="0">
                  <c:v>0.97227533460803051</c:v>
                </c:pt>
                <c:pt idx="1">
                  <c:v>0.96057692307692311</c:v>
                </c:pt>
                <c:pt idx="2">
                  <c:v>0.96000000000000008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EE-49C6-9C87-2942B7484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8720"/>
        <c:axId val="143575760"/>
      </c:scatterChart>
      <c:valAx>
        <c:axId val="3182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 Run 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5760"/>
        <c:crosses val="autoZero"/>
        <c:crossBetween val="midCat"/>
      </c:valAx>
      <c:valAx>
        <c:axId val="14357576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Hussein</c:v>
          </c:tx>
          <c:spPr>
            <a:ln w="2540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30928827646544182"/>
                  <c:y val="2.6273694954797318E-2"/>
                </c:manualLayout>
              </c:layout>
              <c:numFmt formatCode="General" sourceLinked="0"/>
            </c:trendlineLbl>
          </c:trendline>
          <c:xVal>
            <c:numRef>
              <c:f>'Aero fits'!$N$15:$N$32</c:f>
              <c:numCache>
                <c:formatCode>General</c:formatCode>
                <c:ptCount val="18"/>
                <c:pt idx="0">
                  <c:v>0.81586073127991066</c:v>
                </c:pt>
                <c:pt idx="1">
                  <c:v>0.79939524851089283</c:v>
                </c:pt>
                <c:pt idx="2">
                  <c:v>0.79558411228870962</c:v>
                </c:pt>
                <c:pt idx="3">
                  <c:v>0.80491669106848818</c:v>
                </c:pt>
                <c:pt idx="4">
                  <c:v>0.84501404359477261</c:v>
                </c:pt>
                <c:pt idx="5">
                  <c:v>0.89199566024237242</c:v>
                </c:pt>
                <c:pt idx="6">
                  <c:v>0.81586073127991066</c:v>
                </c:pt>
                <c:pt idx="7">
                  <c:v>0.79939524851089283</c:v>
                </c:pt>
                <c:pt idx="8">
                  <c:v>0.79558411228870962</c:v>
                </c:pt>
                <c:pt idx="9">
                  <c:v>0.80491669106848818</c:v>
                </c:pt>
                <c:pt idx="10">
                  <c:v>0.84501404359477261</c:v>
                </c:pt>
                <c:pt idx="11">
                  <c:v>0.89199566024237242</c:v>
                </c:pt>
                <c:pt idx="12">
                  <c:v>0.81586073127991066</c:v>
                </c:pt>
                <c:pt idx="13">
                  <c:v>0.79939524851089283</c:v>
                </c:pt>
                <c:pt idx="14">
                  <c:v>0.79558411228870962</c:v>
                </c:pt>
                <c:pt idx="15">
                  <c:v>0.80491669106848818</c:v>
                </c:pt>
                <c:pt idx="16">
                  <c:v>0.84501404359477261</c:v>
                </c:pt>
                <c:pt idx="17">
                  <c:v>0.89199566024237242</c:v>
                </c:pt>
              </c:numCache>
            </c:numRef>
          </c:xVal>
          <c:yVal>
            <c:numRef>
              <c:f>'Aero fits'!$Q$15:$Q$32</c:f>
              <c:numCache>
                <c:formatCode>General</c:formatCode>
                <c:ptCount val="18"/>
                <c:pt idx="0">
                  <c:v>0.89275833896630108</c:v>
                </c:pt>
                <c:pt idx="1">
                  <c:v>0.8914406903066826</c:v>
                </c:pt>
                <c:pt idx="2">
                  <c:v>0.87976991508121105</c:v>
                </c:pt>
                <c:pt idx="3">
                  <c:v>0.8959138411323645</c:v>
                </c:pt>
                <c:pt idx="4">
                  <c:v>0.93103707965191951</c:v>
                </c:pt>
                <c:pt idx="5">
                  <c:v>0.93864312411222139</c:v>
                </c:pt>
                <c:pt idx="6">
                  <c:v>0.90064810494357284</c:v>
                </c:pt>
                <c:pt idx="7">
                  <c:v>0.87126248407915441</c:v>
                </c:pt>
                <c:pt idx="8">
                  <c:v>0.88917921898582286</c:v>
                </c:pt>
                <c:pt idx="9">
                  <c:v>0.89987160978651815</c:v>
                </c:pt>
                <c:pt idx="10">
                  <c:v>0.92720948147623505</c:v>
                </c:pt>
                <c:pt idx="11">
                  <c:v>0.93873930373034897</c:v>
                </c:pt>
                <c:pt idx="12">
                  <c:v>0.89590285676157289</c:v>
                </c:pt>
                <c:pt idx="13">
                  <c:v>0.88410869997120078</c:v>
                </c:pt>
                <c:pt idx="14">
                  <c:v>0.88322956094966543</c:v>
                </c:pt>
                <c:pt idx="15">
                  <c:v>0.88429852767141015</c:v>
                </c:pt>
                <c:pt idx="16">
                  <c:v>0.92889575340508879</c:v>
                </c:pt>
                <c:pt idx="17">
                  <c:v>0.95045207088636707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E62-4DF9-84A0-3115373933E2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16335476815398076"/>
                  <c:y val="0.32729294254884805"/>
                </c:manualLayout>
              </c:layout>
              <c:numFmt formatCode="General" sourceLinked="0"/>
            </c:trendlineLbl>
          </c:trendline>
          <c:xVal>
            <c:numRef>
              <c:f>'Aero fits'!$M$15:$M$32</c:f>
              <c:numCache>
                <c:formatCode>General</c:formatCode>
                <c:ptCount val="18"/>
                <c:pt idx="0">
                  <c:v>0.80500407166420263</c:v>
                </c:pt>
                <c:pt idx="1">
                  <c:v>0.8171916599669633</c:v>
                </c:pt>
                <c:pt idx="2">
                  <c:v>0.82698123148631764</c:v>
                </c:pt>
                <c:pt idx="3">
                  <c:v>0.84555322976250324</c:v>
                </c:pt>
                <c:pt idx="4">
                  <c:v>0.87979031099243465</c:v>
                </c:pt>
                <c:pt idx="5">
                  <c:v>0.9089373584201994</c:v>
                </c:pt>
                <c:pt idx="6">
                  <c:v>0.80500407166420263</c:v>
                </c:pt>
                <c:pt idx="7">
                  <c:v>0.8171916599669633</c:v>
                </c:pt>
                <c:pt idx="8">
                  <c:v>0.82698123148631764</c:v>
                </c:pt>
                <c:pt idx="9">
                  <c:v>0.84555322976250324</c:v>
                </c:pt>
                <c:pt idx="10">
                  <c:v>0.87979031099243465</c:v>
                </c:pt>
                <c:pt idx="11">
                  <c:v>0.9089373584201994</c:v>
                </c:pt>
                <c:pt idx="12">
                  <c:v>0.80500407166420263</c:v>
                </c:pt>
                <c:pt idx="13">
                  <c:v>0.8171916599669633</c:v>
                </c:pt>
                <c:pt idx="14">
                  <c:v>0.82698123148631764</c:v>
                </c:pt>
                <c:pt idx="15">
                  <c:v>0.84555322976250324</c:v>
                </c:pt>
                <c:pt idx="16">
                  <c:v>0.87979031099243465</c:v>
                </c:pt>
                <c:pt idx="17">
                  <c:v>0.9089373584201994</c:v>
                </c:pt>
              </c:numCache>
            </c:numRef>
          </c:xVal>
          <c:yVal>
            <c:numRef>
              <c:f>'Aero fits'!$Q$15:$Q$32</c:f>
              <c:numCache>
                <c:formatCode>General</c:formatCode>
                <c:ptCount val="18"/>
                <c:pt idx="0">
                  <c:v>0.89275833896630108</c:v>
                </c:pt>
                <c:pt idx="1">
                  <c:v>0.8914406903066826</c:v>
                </c:pt>
                <c:pt idx="2">
                  <c:v>0.87976991508121105</c:v>
                </c:pt>
                <c:pt idx="3">
                  <c:v>0.8959138411323645</c:v>
                </c:pt>
                <c:pt idx="4">
                  <c:v>0.93103707965191951</c:v>
                </c:pt>
                <c:pt idx="5">
                  <c:v>0.93864312411222139</c:v>
                </c:pt>
                <c:pt idx="6">
                  <c:v>0.90064810494357284</c:v>
                </c:pt>
                <c:pt idx="7">
                  <c:v>0.87126248407915441</c:v>
                </c:pt>
                <c:pt idx="8">
                  <c:v>0.88917921898582286</c:v>
                </c:pt>
                <c:pt idx="9">
                  <c:v>0.89987160978651815</c:v>
                </c:pt>
                <c:pt idx="10">
                  <c:v>0.92720948147623505</c:v>
                </c:pt>
                <c:pt idx="11">
                  <c:v>0.93873930373034897</c:v>
                </c:pt>
                <c:pt idx="12">
                  <c:v>0.89590285676157289</c:v>
                </c:pt>
                <c:pt idx="13">
                  <c:v>0.88410869997120078</c:v>
                </c:pt>
                <c:pt idx="14">
                  <c:v>0.88322956094966543</c:v>
                </c:pt>
                <c:pt idx="15">
                  <c:v>0.88429852767141015</c:v>
                </c:pt>
                <c:pt idx="16">
                  <c:v>0.92889575340508879</c:v>
                </c:pt>
                <c:pt idx="17">
                  <c:v>0.95045207088636707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E62-4DF9-84A0-3115373933E2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4.929068241469816E-2"/>
                  <c:y val="0.50153470399533395"/>
                </c:manualLayout>
              </c:layout>
              <c:numFmt formatCode="General" sourceLinked="0"/>
            </c:trendlineLbl>
          </c:trendline>
          <c:xVal>
            <c:numRef>
              <c:f>'Aero fits'!$O$15:$O$32</c:f>
              <c:numCache>
                <c:formatCode>General</c:formatCode>
                <c:ptCount val="18"/>
                <c:pt idx="0">
                  <c:v>0.83409999999999995</c:v>
                </c:pt>
                <c:pt idx="1">
                  <c:v>0.83030000000000004</c:v>
                </c:pt>
                <c:pt idx="2">
                  <c:v>0.83550000000000002</c:v>
                </c:pt>
                <c:pt idx="3">
                  <c:v>0.85650000000000004</c:v>
                </c:pt>
                <c:pt idx="4">
                  <c:v>0.90110000000000001</c:v>
                </c:pt>
                <c:pt idx="5">
                  <c:v>0.92959999999999998</c:v>
                </c:pt>
                <c:pt idx="6">
                  <c:v>0.83409999999999995</c:v>
                </c:pt>
                <c:pt idx="7">
                  <c:v>0.83030000000000004</c:v>
                </c:pt>
                <c:pt idx="8">
                  <c:v>0.83550000000000002</c:v>
                </c:pt>
                <c:pt idx="9">
                  <c:v>0.85650000000000004</c:v>
                </c:pt>
                <c:pt idx="10">
                  <c:v>0.90110000000000001</c:v>
                </c:pt>
                <c:pt idx="11">
                  <c:v>0.92959999999999998</c:v>
                </c:pt>
                <c:pt idx="12">
                  <c:v>0.83409999999999995</c:v>
                </c:pt>
                <c:pt idx="13">
                  <c:v>0.83030000000000004</c:v>
                </c:pt>
                <c:pt idx="14">
                  <c:v>0.83550000000000002</c:v>
                </c:pt>
                <c:pt idx="15">
                  <c:v>0.85650000000000004</c:v>
                </c:pt>
                <c:pt idx="16">
                  <c:v>0.90110000000000001</c:v>
                </c:pt>
                <c:pt idx="17">
                  <c:v>0.92959999999999998</c:v>
                </c:pt>
              </c:numCache>
            </c:numRef>
          </c:xVal>
          <c:yVal>
            <c:numRef>
              <c:f>'Aero fits'!$Q$15:$Q$32</c:f>
              <c:numCache>
                <c:formatCode>General</c:formatCode>
                <c:ptCount val="18"/>
                <c:pt idx="0">
                  <c:v>0.89275833896630108</c:v>
                </c:pt>
                <c:pt idx="1">
                  <c:v>0.8914406903066826</c:v>
                </c:pt>
                <c:pt idx="2">
                  <c:v>0.87976991508121105</c:v>
                </c:pt>
                <c:pt idx="3">
                  <c:v>0.8959138411323645</c:v>
                </c:pt>
                <c:pt idx="4">
                  <c:v>0.93103707965191951</c:v>
                </c:pt>
                <c:pt idx="5">
                  <c:v>0.93864312411222139</c:v>
                </c:pt>
                <c:pt idx="6">
                  <c:v>0.90064810494357284</c:v>
                </c:pt>
                <c:pt idx="7">
                  <c:v>0.87126248407915441</c:v>
                </c:pt>
                <c:pt idx="8">
                  <c:v>0.88917921898582286</c:v>
                </c:pt>
                <c:pt idx="9">
                  <c:v>0.89987160978651815</c:v>
                </c:pt>
                <c:pt idx="10">
                  <c:v>0.92720948147623505</c:v>
                </c:pt>
                <c:pt idx="11">
                  <c:v>0.93873930373034897</c:v>
                </c:pt>
                <c:pt idx="12">
                  <c:v>0.89590285676157289</c:v>
                </c:pt>
                <c:pt idx="13">
                  <c:v>0.88410869997120078</c:v>
                </c:pt>
                <c:pt idx="14">
                  <c:v>0.88322956094966543</c:v>
                </c:pt>
                <c:pt idx="15">
                  <c:v>0.88429852767141015</c:v>
                </c:pt>
                <c:pt idx="16">
                  <c:v>0.92889575340508879</c:v>
                </c:pt>
                <c:pt idx="17">
                  <c:v>0.95045207088636707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E62-4DF9-84A0-31153739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07663"/>
        <c:axId val="1389710559"/>
      </c:scatterChart>
      <c:valAx>
        <c:axId val="45220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10559"/>
        <c:crosses val="autoZero"/>
        <c:crossBetween val="midCat"/>
      </c:valAx>
      <c:valAx>
        <c:axId val="13897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076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7388670166229225"/>
                  <c:y val="-0.1682363662875474"/>
                </c:manualLayout>
              </c:layout>
              <c:numFmt formatCode="General" sourceLinked="0"/>
            </c:trendlineLbl>
          </c:trendline>
          <c:xVal>
            <c:numRef>
              <c:f>'Aero fits'!$G$15:$G$32</c:f>
              <c:numCache>
                <c:formatCode>General</c:formatCode>
                <c:ptCount val="18"/>
                <c:pt idx="0">
                  <c:v>0.89449256593047477</c:v>
                </c:pt>
                <c:pt idx="1">
                  <c:v>0.93289705278394053</c:v>
                </c:pt>
                <c:pt idx="2">
                  <c:v>0.96692598495554827</c:v>
                </c:pt>
                <c:pt idx="3">
                  <c:v>0.99952767835710365</c:v>
                </c:pt>
                <c:pt idx="4">
                  <c:v>1.0019979063225524</c:v>
                </c:pt>
                <c:pt idx="5">
                  <c:v>0.99778388128552797</c:v>
                </c:pt>
                <c:pt idx="6">
                  <c:v>0.89449256593047477</c:v>
                </c:pt>
                <c:pt idx="7">
                  <c:v>0.93289705278394053</c:v>
                </c:pt>
                <c:pt idx="8">
                  <c:v>0.96692598495554827</c:v>
                </c:pt>
                <c:pt idx="9">
                  <c:v>0.99952767835710365</c:v>
                </c:pt>
                <c:pt idx="10">
                  <c:v>1.0019979063225524</c:v>
                </c:pt>
                <c:pt idx="11">
                  <c:v>0.99778388128552797</c:v>
                </c:pt>
                <c:pt idx="12">
                  <c:v>0.89449256593047477</c:v>
                </c:pt>
                <c:pt idx="13">
                  <c:v>0.93289705278394053</c:v>
                </c:pt>
                <c:pt idx="14">
                  <c:v>0.96692598495554827</c:v>
                </c:pt>
                <c:pt idx="15">
                  <c:v>0.99952767835710365</c:v>
                </c:pt>
                <c:pt idx="16">
                  <c:v>1.0019979063225524</c:v>
                </c:pt>
                <c:pt idx="17">
                  <c:v>0.99778388128552797</c:v>
                </c:pt>
              </c:numCache>
            </c:numRef>
          </c:xVal>
          <c:yVal>
            <c:numRef>
              <c:f>'Aero fits'!$J$15:$J$32</c:f>
              <c:numCache>
                <c:formatCode>General</c:formatCode>
                <c:ptCount val="18"/>
                <c:pt idx="0">
                  <c:v>0.94146705752952498</c:v>
                </c:pt>
                <c:pt idx="1">
                  <c:v>0.95892460595727436</c:v>
                </c:pt>
                <c:pt idx="2">
                  <c:v>0.95988530794973326</c:v>
                </c:pt>
                <c:pt idx="3">
                  <c:v>0.9797362055995178</c:v>
                </c:pt>
                <c:pt idx="4">
                  <c:v>0.99502647568347269</c:v>
                </c:pt>
                <c:pt idx="5">
                  <c:v>0.98904129437033761</c:v>
                </c:pt>
                <c:pt idx="6">
                  <c:v>0.94037381506472062</c:v>
                </c:pt>
                <c:pt idx="7">
                  <c:v>0.94170147360648415</c:v>
                </c:pt>
                <c:pt idx="8">
                  <c:v>0.96998936382288858</c:v>
                </c:pt>
                <c:pt idx="9">
                  <c:v>0.98553165637983864</c:v>
                </c:pt>
                <c:pt idx="10">
                  <c:v>0.98204180988825296</c:v>
                </c:pt>
                <c:pt idx="11">
                  <c:v>0.97901789620702717</c:v>
                </c:pt>
                <c:pt idx="12">
                  <c:v>0.93110904841383679</c:v>
                </c:pt>
                <c:pt idx="13">
                  <c:v>0.9486443358238108</c:v>
                </c:pt>
                <c:pt idx="14">
                  <c:v>0.96355162928961557</c:v>
                </c:pt>
                <c:pt idx="15">
                  <c:v>0.96721910477577111</c:v>
                </c:pt>
                <c:pt idx="16">
                  <c:v>1.0086355337318902</c:v>
                </c:pt>
                <c:pt idx="17">
                  <c:v>0.99470925648558717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933-4FA5-BEA9-A2FE36D7E690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25590551181102"/>
                  <c:y val="-1.9527559055118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'Aero fits'!$F$15:$F$32</c:f>
              <c:numCache>
                <c:formatCode>General</c:formatCode>
                <c:ptCount val="18"/>
                <c:pt idx="0">
                  <c:v>0.88618986712322079</c:v>
                </c:pt>
                <c:pt idx="1">
                  <c:v>0.90993139547758473</c:v>
                </c:pt>
                <c:pt idx="2">
                  <c:v>0.92878390316796966</c:v>
                </c:pt>
                <c:pt idx="3">
                  <c:v>0.96404535560332683</c:v>
                </c:pt>
                <c:pt idx="4">
                  <c:v>1</c:v>
                </c:pt>
                <c:pt idx="5">
                  <c:v>1</c:v>
                </c:pt>
                <c:pt idx="6">
                  <c:v>0.88618986712322079</c:v>
                </c:pt>
                <c:pt idx="7">
                  <c:v>0.90993139547758473</c:v>
                </c:pt>
                <c:pt idx="8">
                  <c:v>0.92878390316796966</c:v>
                </c:pt>
                <c:pt idx="9">
                  <c:v>0.96404535560332683</c:v>
                </c:pt>
                <c:pt idx="10">
                  <c:v>1</c:v>
                </c:pt>
                <c:pt idx="11">
                  <c:v>1</c:v>
                </c:pt>
                <c:pt idx="12">
                  <c:v>0.88618986712322079</c:v>
                </c:pt>
                <c:pt idx="13">
                  <c:v>0.90993139547758473</c:v>
                </c:pt>
                <c:pt idx="14">
                  <c:v>0.92878390316796966</c:v>
                </c:pt>
                <c:pt idx="15">
                  <c:v>0.96404535560332683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'Aero fits'!$J$15:$J$32</c:f>
              <c:numCache>
                <c:formatCode>General</c:formatCode>
                <c:ptCount val="18"/>
                <c:pt idx="0">
                  <c:v>0.94146705752952498</c:v>
                </c:pt>
                <c:pt idx="1">
                  <c:v>0.95892460595727436</c:v>
                </c:pt>
                <c:pt idx="2">
                  <c:v>0.95988530794973326</c:v>
                </c:pt>
                <c:pt idx="3">
                  <c:v>0.9797362055995178</c:v>
                </c:pt>
                <c:pt idx="4">
                  <c:v>0.99502647568347269</c:v>
                </c:pt>
                <c:pt idx="5">
                  <c:v>0.98904129437033761</c:v>
                </c:pt>
                <c:pt idx="6">
                  <c:v>0.94037381506472062</c:v>
                </c:pt>
                <c:pt idx="7">
                  <c:v>0.94170147360648415</c:v>
                </c:pt>
                <c:pt idx="8">
                  <c:v>0.96998936382288858</c:v>
                </c:pt>
                <c:pt idx="9">
                  <c:v>0.98553165637983864</c:v>
                </c:pt>
                <c:pt idx="10">
                  <c:v>0.98204180988825296</c:v>
                </c:pt>
                <c:pt idx="11">
                  <c:v>0.97901789620702717</c:v>
                </c:pt>
                <c:pt idx="12">
                  <c:v>0.93110904841383679</c:v>
                </c:pt>
                <c:pt idx="13">
                  <c:v>0.9486443358238108</c:v>
                </c:pt>
                <c:pt idx="14">
                  <c:v>0.96355162928961557</c:v>
                </c:pt>
                <c:pt idx="15">
                  <c:v>0.96721910477577111</c:v>
                </c:pt>
                <c:pt idx="16">
                  <c:v>1.0086355337318902</c:v>
                </c:pt>
                <c:pt idx="17">
                  <c:v>0.99470925648558717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33-4FA5-BEA9-A2FE36D7E690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82174103237096"/>
                  <c:y val="0.4395162583843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'Aero fits'!$H$15:$H$32</c:f>
              <c:numCache>
                <c:formatCode>General</c:formatCode>
                <c:ptCount val="18"/>
                <c:pt idx="0">
                  <c:v>0.93969999999999998</c:v>
                </c:pt>
                <c:pt idx="1">
                  <c:v>0.96260000000000001</c:v>
                </c:pt>
                <c:pt idx="2">
                  <c:v>0.97519999999999996</c:v>
                </c:pt>
                <c:pt idx="3">
                  <c:v>0.98929999999999996</c:v>
                </c:pt>
                <c:pt idx="4">
                  <c:v>0.99790000000000001</c:v>
                </c:pt>
                <c:pt idx="5">
                  <c:v>0.99950000000000006</c:v>
                </c:pt>
                <c:pt idx="6">
                  <c:v>0.93969999999999998</c:v>
                </c:pt>
                <c:pt idx="7">
                  <c:v>0.96260000000000001</c:v>
                </c:pt>
                <c:pt idx="8">
                  <c:v>0.97519999999999996</c:v>
                </c:pt>
                <c:pt idx="9">
                  <c:v>0.98929999999999996</c:v>
                </c:pt>
                <c:pt idx="10">
                  <c:v>0.99790000000000001</c:v>
                </c:pt>
                <c:pt idx="11">
                  <c:v>0.99950000000000006</c:v>
                </c:pt>
                <c:pt idx="12">
                  <c:v>0.93969999999999998</c:v>
                </c:pt>
                <c:pt idx="13">
                  <c:v>0.96260000000000001</c:v>
                </c:pt>
                <c:pt idx="14">
                  <c:v>0.97519999999999996</c:v>
                </c:pt>
                <c:pt idx="15">
                  <c:v>0.98929999999999996</c:v>
                </c:pt>
                <c:pt idx="16">
                  <c:v>0.99790000000000001</c:v>
                </c:pt>
                <c:pt idx="17">
                  <c:v>0.99950000000000006</c:v>
                </c:pt>
              </c:numCache>
            </c:numRef>
          </c:xVal>
          <c:yVal>
            <c:numRef>
              <c:f>'Aero fits'!$J$15:$J$32</c:f>
              <c:numCache>
                <c:formatCode>General</c:formatCode>
                <c:ptCount val="18"/>
                <c:pt idx="0">
                  <c:v>0.94146705752952498</c:v>
                </c:pt>
                <c:pt idx="1">
                  <c:v>0.95892460595727436</c:v>
                </c:pt>
                <c:pt idx="2">
                  <c:v>0.95988530794973326</c:v>
                </c:pt>
                <c:pt idx="3">
                  <c:v>0.9797362055995178</c:v>
                </c:pt>
                <c:pt idx="4">
                  <c:v>0.99502647568347269</c:v>
                </c:pt>
                <c:pt idx="5">
                  <c:v>0.98904129437033761</c:v>
                </c:pt>
                <c:pt idx="6">
                  <c:v>0.94037381506472062</c:v>
                </c:pt>
                <c:pt idx="7">
                  <c:v>0.94170147360648415</c:v>
                </c:pt>
                <c:pt idx="8">
                  <c:v>0.96998936382288858</c:v>
                </c:pt>
                <c:pt idx="9">
                  <c:v>0.98553165637983864</c:v>
                </c:pt>
                <c:pt idx="10">
                  <c:v>0.98204180988825296</c:v>
                </c:pt>
                <c:pt idx="11">
                  <c:v>0.97901789620702717</c:v>
                </c:pt>
                <c:pt idx="12">
                  <c:v>0.93110904841383679</c:v>
                </c:pt>
                <c:pt idx="13">
                  <c:v>0.9486443358238108</c:v>
                </c:pt>
                <c:pt idx="14">
                  <c:v>0.96355162928961557</c:v>
                </c:pt>
                <c:pt idx="15">
                  <c:v>0.96721910477577111</c:v>
                </c:pt>
                <c:pt idx="16">
                  <c:v>1.0086355337318902</c:v>
                </c:pt>
                <c:pt idx="17">
                  <c:v>0.99470925648558717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933-4FA5-BEA9-A2FE36D7E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07663"/>
        <c:axId val="1389710559"/>
      </c:scatterChart>
      <c:valAx>
        <c:axId val="45220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10559"/>
        <c:crosses val="autoZero"/>
        <c:crossBetween val="midCat"/>
      </c:valAx>
      <c:valAx>
        <c:axId val="13897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076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'Aero fits'!$E$75:$E$162</c:f>
              <c:numCache>
                <c:formatCode>0.00E+00</c:formatCode>
                <c:ptCount val="88"/>
                <c:pt idx="0">
                  <c:v>0.71139333288583739</c:v>
                </c:pt>
                <c:pt idx="1">
                  <c:v>0.74598460873154715</c:v>
                </c:pt>
                <c:pt idx="2">
                  <c:v>0.77448423871047556</c:v>
                </c:pt>
                <c:pt idx="3">
                  <c:v>0.7986198288954619</c:v>
                </c:pt>
                <c:pt idx="4">
                  <c:v>0.81959771061516917</c:v>
                </c:pt>
                <c:pt idx="5">
                  <c:v>0.8382980243551571</c:v>
                </c:pt>
                <c:pt idx="6">
                  <c:v>0.8553839285521333</c:v>
                </c:pt>
                <c:pt idx="7">
                  <c:v>0.87135891552785527</c:v>
                </c:pt>
                <c:pt idx="8">
                  <c:v>0.88658796250223915</c:v>
                </c:pt>
                <c:pt idx="9">
                  <c:v>0.90129112869637662</c:v>
                </c:pt>
                <c:pt idx="10">
                  <c:v>0.91551952459453834</c:v>
                </c:pt>
                <c:pt idx="11">
                  <c:v>0.92913256161413282</c:v>
                </c:pt>
                <c:pt idx="12">
                  <c:v>0.94180688696778281</c:v>
                </c:pt>
                <c:pt idx="13">
                  <c:v>0.95310681713855105</c:v>
                </c:pt>
                <c:pt idx="14">
                  <c:v>0.96261699138447576</c:v>
                </c:pt>
                <c:pt idx="15">
                  <c:v>0.97008831591169498</c:v>
                </c:pt>
                <c:pt idx="16">
                  <c:v>0.97552252724977728</c:v>
                </c:pt>
                <c:pt idx="17">
                  <c:v>0.97915484419179033</c:v>
                </c:pt>
                <c:pt idx="18">
                  <c:v>0.98136024516624454</c:v>
                </c:pt>
                <c:pt idx="19">
                  <c:v>0.98254461280455418</c:v>
                </c:pt>
                <c:pt idx="20">
                  <c:v>0.98306723883176683</c:v>
                </c:pt>
                <c:pt idx="21">
                  <c:v>0.98320656725482136</c:v>
                </c:pt>
                <c:pt idx="22">
                  <c:v>0.98315809134202481</c:v>
                </c:pt>
                <c:pt idx="23">
                  <c:v>0.9830482268935673</c:v>
                </c:pt>
                <c:pt idx="24">
                  <c:v>0.98295236319308055</c:v>
                </c:pt>
                <c:pt idx="25">
                  <c:v>0.98291111985881108</c:v>
                </c:pt>
                <c:pt idx="26">
                  <c:v>0.98294285089320477</c:v>
                </c:pt>
                <c:pt idx="27">
                  <c:v>0.98305243468904169</c:v>
                </c:pt>
                <c:pt idx="28">
                  <c:v>0.98323709732103914</c:v>
                </c:pt>
                <c:pt idx="29">
                  <c:v>0.9834901024849082</c:v>
                </c:pt>
                <c:pt idx="30">
                  <c:v>0.98380299982114883</c:v>
                </c:pt>
                <c:pt idx="31">
                  <c:v>0.98416693857590187</c:v>
                </c:pt>
                <c:pt idx="32">
                  <c:v>0.98457339381956155</c:v>
                </c:pt>
                <c:pt idx="33">
                  <c:v>0.98501453333706734</c:v>
                </c:pt>
                <c:pt idx="34">
                  <c:v>0.98548337088000537</c:v>
                </c:pt>
                <c:pt idx="35">
                  <c:v>0.98597379685881814</c:v>
                </c:pt>
                <c:pt idx="36">
                  <c:v>0.9864805423546863</c:v>
                </c:pt>
                <c:pt idx="37">
                  <c:v>0.98699911007156182</c:v>
                </c:pt>
                <c:pt idx="38">
                  <c:v>0.98752569197608775</c:v>
                </c:pt>
                <c:pt idx="39">
                  <c:v>0.98805708483776122</c:v>
                </c:pt>
                <c:pt idx="40">
                  <c:v>0.98859060970068713</c:v>
                </c:pt>
                <c:pt idx="41">
                  <c:v>0.98912403822489536</c:v>
                </c:pt>
                <c:pt idx="42">
                  <c:v>0.98965552702985748</c:v>
                </c:pt>
                <c:pt idx="43">
                  <c:v>0.99018356015483833</c:v>
                </c:pt>
                <c:pt idx="44">
                  <c:v>0.99070689920850852</c:v>
                </c:pt>
                <c:pt idx="45">
                  <c:v>0.99122454052108933</c:v>
                </c:pt>
                <c:pt idx="46">
                  <c:v>0.99173567851767874</c:v>
                </c:pt>
                <c:pt idx="47">
                  <c:v>0.99223967452906314</c:v>
                </c:pt>
                <c:pt idx="48">
                  <c:v>0.99273603030260926</c:v>
                </c:pt>
                <c:pt idx="49">
                  <c:v>0.99322436554487936</c:v>
                </c:pt>
                <c:pt idx="50">
                  <c:v>0.99370439890440476</c:v>
                </c:pt>
                <c:pt idx="51">
                  <c:v>0.9941759318792186</c:v>
                </c:pt>
                <c:pt idx="52">
                  <c:v>0.99463883520492258</c:v>
                </c:pt>
                <c:pt idx="53">
                  <c:v>0.99509303734325738</c:v>
                </c:pt>
                <c:pt idx="54">
                  <c:v>0.99553851474776711</c:v>
                </c:pt>
                <c:pt idx="55">
                  <c:v>0.99597528363225829</c:v>
                </c:pt>
                <c:pt idx="56">
                  <c:v>0.99640339301003211</c:v>
                </c:pt>
                <c:pt idx="57">
                  <c:v>0.99682291880785701</c:v>
                </c:pt>
                <c:pt idx="58">
                  <c:v>0.99723395888924515</c:v>
                </c:pt>
                <c:pt idx="59">
                  <c:v>0.9976366288474311</c:v>
                </c:pt>
                <c:pt idx="60">
                  <c:v>0.99803105845027629</c:v>
                </c:pt>
                <c:pt idx="61">
                  <c:v>0.99841738863769058</c:v>
                </c:pt>
                <c:pt idx="62">
                  <c:v>0.99879576898762201</c:v>
                </c:pt>
                <c:pt idx="63">
                  <c:v>0.99916635557968447</c:v>
                </c:pt>
                <c:pt idx="64">
                  <c:v>0.99952930919643257</c:v>
                </c:pt>
                <c:pt idx="65">
                  <c:v>0.99988479381151218</c:v>
                </c:pt>
                <c:pt idx="66">
                  <c:v>1.0002329753216652</c:v>
                </c:pt>
                <c:pt idx="67">
                  <c:v>1.00057402048612</c:v>
                </c:pt>
                <c:pt idx="68">
                  <c:v>1.0009080960423919</c:v>
                </c:pt>
                <c:pt idx="69">
                  <c:v>1.0012353679721984</c:v>
                </c:pt>
                <c:pt idx="70">
                  <c:v>1.0015560008951065</c:v>
                </c:pt>
                <c:pt idx="71">
                  <c:v>1.0018701575708706</c:v>
                </c:pt>
                <c:pt idx="72">
                  <c:v>1.0021779984942385</c:v>
                </c:pt>
                <c:pt idx="73">
                  <c:v>1.0024796815683821</c:v>
                </c:pt>
                <c:pt idx="74">
                  <c:v>1.0027753618451538</c:v>
                </c:pt>
                <c:pt idx="75">
                  <c:v>1.0030651913220847</c:v>
                </c:pt>
                <c:pt idx="76">
                  <c:v>1.0033493187875033</c:v>
                </c:pt>
                <c:pt idx="77">
                  <c:v>1.0036278897064173</c:v>
                </c:pt>
                <c:pt idx="78">
                  <c:v>1.0039010461408482</c:v>
                </c:pt>
                <c:pt idx="79">
                  <c:v>1.00416892669924</c:v>
                </c:pt>
                <c:pt idx="80">
                  <c:v>1.0044316665103057</c:v>
                </c:pt>
                <c:pt idx="81">
                  <c:v>1.0046893972173849</c:v>
                </c:pt>
                <c:pt idx="82">
                  <c:v>1.0049422469899068</c:v>
                </c:pt>
                <c:pt idx="83">
                  <c:v>1.0051903405490799</c:v>
                </c:pt>
                <c:pt idx="84">
                  <c:v>1.0054337992053155</c:v>
                </c:pt>
                <c:pt idx="85">
                  <c:v>1.0056727409052737</c:v>
                </c:pt>
                <c:pt idx="86">
                  <c:v>1.0059072802867175</c:v>
                </c:pt>
                <c:pt idx="87">
                  <c:v>1.0061375287396153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FC-4BC7-8E5B-8DB693D72B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'Aero fits'!$F$75:$F$162</c:f>
              <c:numCache>
                <c:formatCode>0.00E+00</c:formatCode>
                <c:ptCount val="88"/>
                <c:pt idx="0">
                  <c:v>0.60297794052199027</c:v>
                </c:pt>
                <c:pt idx="1">
                  <c:v>0.60439605786257777</c:v>
                </c:pt>
                <c:pt idx="2">
                  <c:v>0.61590840305898686</c:v>
                </c:pt>
                <c:pt idx="3">
                  <c:v>0.63243946865398581</c:v>
                </c:pt>
                <c:pt idx="4">
                  <c:v>0.65058809788281058</c:v>
                </c:pt>
                <c:pt idx="5">
                  <c:v>0.66845193006953019</c:v>
                </c:pt>
                <c:pt idx="6">
                  <c:v>0.68512472886283449</c:v>
                </c:pt>
                <c:pt idx="7">
                  <c:v>0.70026967402116547</c:v>
                </c:pt>
                <c:pt idx="8">
                  <c:v>0.71384363996915334</c:v>
                </c:pt>
                <c:pt idx="9">
                  <c:v>0.72593999120027819</c:v>
                </c:pt>
                <c:pt idx="10">
                  <c:v>0.73670539201361251</c:v>
                </c:pt>
                <c:pt idx="11">
                  <c:v>0.74629838039919949</c:v>
                </c:pt>
                <c:pt idx="12">
                  <c:v>0.75487022411637983</c:v>
                </c:pt>
                <c:pt idx="13">
                  <c:v>0.7625572014155988</c:v>
                </c:pt>
                <c:pt idx="14">
                  <c:v>0.76947850677448359</c:v>
                </c:pt>
                <c:pt idx="15">
                  <c:v>0.77573676671751468</c:v>
                </c:pt>
                <c:pt idx="16">
                  <c:v>0.7814196355655133</c:v>
                </c:pt>
                <c:pt idx="17">
                  <c:v>0.7866017179698519</c:v>
                </c:pt>
                <c:pt idx="18">
                  <c:v>0.79134646587305235</c:v>
                </c:pt>
                <c:pt idx="19">
                  <c:v>0.79570790085367749</c:v>
                </c:pt>
                <c:pt idx="20">
                  <c:v>0.79973211334404981</c:v>
                </c:pt>
                <c:pt idx="21">
                  <c:v>0.80345853770102071</c:v>
                </c:pt>
                <c:pt idx="22">
                  <c:v>0.80692102259007636</c:v>
                </c:pt>
                <c:pt idx="23">
                  <c:v>0.81014872317872344</c:v>
                </c:pt>
                <c:pt idx="24">
                  <c:v>0.81316684225593328</c:v>
                </c:pt>
                <c:pt idx="25">
                  <c:v>0.81599724520119987</c:v>
                </c:pt>
                <c:pt idx="26">
                  <c:v>0.81865897052479086</c:v>
                </c:pt>
                <c:pt idx="27">
                  <c:v>0.82116865435981989</c:v>
                </c:pt>
                <c:pt idx="28">
                  <c:v>0.82354088419424321</c:v>
                </c:pt>
                <c:pt idx="29">
                  <c:v>0.82578849443065561</c:v>
                </c:pt>
                <c:pt idx="30">
                  <c:v>0.82792281407916246</c:v>
                </c:pt>
                <c:pt idx="31">
                  <c:v>0.82995387499554341</c:v>
                </c:pt>
                <c:pt idx="32">
                  <c:v>0.83189058752481815</c:v>
                </c:pt>
                <c:pt idx="33">
                  <c:v>0.83374088914632927</c:v>
                </c:pt>
                <c:pt idx="34">
                  <c:v>0.83551187069093491</c:v>
                </c:pt>
                <c:pt idx="35">
                  <c:v>0.8372098838702029</c:v>
                </c:pt>
                <c:pt idx="36">
                  <c:v>0.83884063318483393</c:v>
                </c:pt>
                <c:pt idx="37">
                  <c:v>0.84040925473436856</c:v>
                </c:pt>
                <c:pt idx="38">
                  <c:v>0.84192038400781999</c:v>
                </c:pt>
                <c:pt idx="39">
                  <c:v>0.84337821437509086</c:v>
                </c:pt>
                <c:pt idx="40">
                  <c:v>0.84478654770582162</c:v>
                </c:pt>
                <c:pt idx="41">
                  <c:v>0.84614883830269338</c:v>
                </c:pt>
                <c:pt idx="42">
                  <c:v>0.84746823113991376</c:v>
                </c:pt>
                <c:pt idx="43">
                  <c:v>0.84874759523627652</c:v>
                </c:pt>
                <c:pt idx="44">
                  <c:v>0.84998955285926781</c:v>
                </c:pt>
                <c:pt idx="45">
                  <c:v>0.85119650514681022</c:v>
                </c:pt>
                <c:pt idx="46">
                  <c:v>0.85237065464215667</c:v>
                </c:pt>
                <c:pt idx="47">
                  <c:v>0.85351402516172847</c:v>
                </c:pt>
                <c:pt idx="48">
                  <c:v>0.85462847935253727</c:v>
                </c:pt>
                <c:pt idx="49">
                  <c:v>0.85571573424304392</c:v>
                </c:pt>
                <c:pt idx="50">
                  <c:v>0.85677737504700546</c:v>
                </c:pt>
                <c:pt idx="51">
                  <c:v>0.85781486744263835</c:v>
                </c:pt>
                <c:pt idx="52">
                  <c:v>0.85882956851800019</c:v>
                </c:pt>
                <c:pt idx="53">
                  <c:v>0.85982273654694996</c:v>
                </c:pt>
                <c:pt idx="54">
                  <c:v>0.86079553973752021</c:v>
                </c:pt>
                <c:pt idx="55">
                  <c:v>0.86174906407540042</c:v>
                </c:pt>
                <c:pt idx="56">
                  <c:v>0.86268432036891673</c:v>
                </c:pt>
                <c:pt idx="57">
                  <c:v>0.86360225058796214</c:v>
                </c:pt>
                <c:pt idx="58">
                  <c:v>0.8645037335773964</c:v>
                </c:pt>
                <c:pt idx="59">
                  <c:v>0.86538959021520168</c:v>
                </c:pt>
                <c:pt idx="60">
                  <c:v>0.86626058807685435</c:v>
                </c:pt>
                <c:pt idx="61">
                  <c:v>0.86711744565979076</c:v>
                </c:pt>
                <c:pt idx="62">
                  <c:v>0.86796083621527031</c:v>
                </c:pt>
                <c:pt idx="63">
                  <c:v>0.86879139122925964</c:v>
                </c:pt>
                <c:pt idx="64">
                  <c:v>0.86960970358902312</c:v>
                </c:pt>
                <c:pt idx="65">
                  <c:v>0.87041633046782585</c:v>
                </c:pt>
                <c:pt idx="66">
                  <c:v>0.8712117959563983</c:v>
                </c:pt>
                <c:pt idx="67">
                  <c:v>0.87199659346657732</c:v>
                </c:pt>
                <c:pt idx="68">
                  <c:v>0.87277118792965847</c:v>
                </c:pt>
                <c:pt idx="69">
                  <c:v>0.8735360178095144</c:v>
                </c:pt>
                <c:pt idx="70">
                  <c:v>0.8742914969483282</c:v>
                </c:pt>
                <c:pt idx="71">
                  <c:v>0.87503801626086886</c:v>
                </c:pt>
                <c:pt idx="72">
                  <c:v>0.87577594529153302</c:v>
                </c:pt>
                <c:pt idx="73">
                  <c:v>0.87650563364688205</c:v>
                </c:pt>
                <c:pt idx="74">
                  <c:v>0.87722741231507351</c:v>
                </c:pt>
                <c:pt idx="75">
                  <c:v>0.87794159488242041</c:v>
                </c:pt>
                <c:pt idx="76">
                  <c:v>0.87864847865627005</c:v>
                </c:pt>
                <c:pt idx="77">
                  <c:v>0.87934834570246723</c:v>
                </c:pt>
                <c:pt idx="78">
                  <c:v>0.88004146380485915</c:v>
                </c:pt>
                <c:pt idx="79">
                  <c:v>0.88072808735355168</c:v>
                </c:pt>
                <c:pt idx="80">
                  <c:v>0.88140845816799351</c:v>
                </c:pt>
                <c:pt idx="81">
                  <c:v>0.88208280626037328</c:v>
                </c:pt>
                <c:pt idx="82">
                  <c:v>0.88275135054429243</c:v>
                </c:pt>
                <c:pt idx="83">
                  <c:v>0.88341429949322581</c:v>
                </c:pt>
                <c:pt idx="84">
                  <c:v>0.88407185175284775</c:v>
                </c:pt>
                <c:pt idx="85">
                  <c:v>0.88472419671094005</c:v>
                </c:pt>
                <c:pt idx="86">
                  <c:v>0.88537151502825739</c:v>
                </c:pt>
                <c:pt idx="87">
                  <c:v>0.88601397913342006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FC-4BC7-8E5B-8DB693D72BB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'Aero fits'!$G$75:$G$162</c:f>
              <c:numCache>
                <c:formatCode>0.00E+00</c:formatCode>
                <c:ptCount val="88"/>
                <c:pt idx="0">
                  <c:v>0.77446735968520664</c:v>
                </c:pt>
                <c:pt idx="1">
                  <c:v>0.77328783329051332</c:v>
                </c:pt>
                <c:pt idx="2">
                  <c:v>0.77141232728819509</c:v>
                </c:pt>
                <c:pt idx="3">
                  <c:v>0.76874989552458461</c:v>
                </c:pt>
                <c:pt idx="4">
                  <c:v>0.76525677198630804</c:v>
                </c:pt>
                <c:pt idx="5">
                  <c:v>0.76097578563555823</c:v>
                </c:pt>
                <c:pt idx="6">
                  <c:v>0.75607506360535526</c:v>
                </c:pt>
                <c:pt idx="7">
                  <c:v>0.75086584574362814</c:v>
                </c:pt>
                <c:pt idx="8">
                  <c:v>0.74577629799818901</c:v>
                </c:pt>
                <c:pt idx="9">
                  <c:v>0.74127318761248506</c:v>
                </c:pt>
                <c:pt idx="10">
                  <c:v>0.73775445813094265</c:v>
                </c:pt>
                <c:pt idx="11">
                  <c:v>0.73545994773040035</c:v>
                </c:pt>
                <c:pt idx="12">
                  <c:v>0.73443962657343986</c:v>
                </c:pt>
                <c:pt idx="13">
                  <c:v>0.7345834242302457</c:v>
                </c:pt>
                <c:pt idx="14">
                  <c:v>0.7356852221317618</c:v>
                </c:pt>
                <c:pt idx="15">
                  <c:v>0.73750754818870556</c:v>
                </c:pt>
                <c:pt idx="16">
                  <c:v>0.73982719633742822</c:v>
                </c:pt>
                <c:pt idx="17">
                  <c:v>0.74245827788612906</c:v>
                </c:pt>
                <c:pt idx="18">
                  <c:v>0.74525828593369647</c:v>
                </c:pt>
                <c:pt idx="19">
                  <c:v>0.74812459950946797</c:v>
                </c:pt>
                <c:pt idx="20">
                  <c:v>0.75098713529063132</c:v>
                </c:pt>
                <c:pt idx="21">
                  <c:v>0.75380047491941427</c:v>
                </c:pt>
                <c:pt idx="22">
                  <c:v>0.75653698451090468</c:v>
                </c:pt>
                <c:pt idx="23">
                  <c:v>0.75918138092189413</c:v>
                </c:pt>
                <c:pt idx="24">
                  <c:v>0.76172669064072662</c:v>
                </c:pt>
                <c:pt idx="25">
                  <c:v>0.76417135985901774</c:v>
                </c:pt>
                <c:pt idx="26">
                  <c:v>0.76651724424333412</c:v>
                </c:pt>
                <c:pt idx="27">
                  <c:v>0.7687682403440198</c:v>
                </c:pt>
                <c:pt idx="28">
                  <c:v>0.77092937121088612</c:v>
                </c:pt>
                <c:pt idx="29">
                  <c:v>0.77300618702601576</c:v>
                </c:pt>
                <c:pt idx="30">
                  <c:v>0.77500438095760826</c:v>
                </c:pt>
                <c:pt idx="31">
                  <c:v>0.77692955027017763</c:v>
                </c:pt>
                <c:pt idx="32">
                  <c:v>0.77878705437022955</c:v>
                </c:pt>
                <c:pt idx="33">
                  <c:v>0.78058193676507082</c:v>
                </c:pt>
                <c:pt idx="34">
                  <c:v>0.78231888854797416</c:v>
                </c:pt>
                <c:pt idx="35">
                  <c:v>0.78400223833700167</c:v>
                </c:pt>
                <c:pt idx="36">
                  <c:v>0.78563595858812618</c:v>
                </c:pt>
                <c:pt idx="37">
                  <c:v>0.78722368159460776</c:v>
                </c:pt>
                <c:pt idx="38">
                  <c:v>0.78876872077849969</c:v>
                </c:pt>
                <c:pt idx="39">
                  <c:v>0.79027409442599728</c:v>
                </c:pt>
                <c:pt idx="40">
                  <c:v>0.79174255005588834</c:v>
                </c:pt>
                <c:pt idx="41">
                  <c:v>0.79317658830318161</c:v>
                </c:pt>
                <c:pt idx="42">
                  <c:v>0.7945784856595739</c:v>
                </c:pt>
                <c:pt idx="43">
                  <c:v>0.79595031571432995</c:v>
                </c:pt>
                <c:pt idx="44">
                  <c:v>0.79729396873483471</c:v>
                </c:pt>
                <c:pt idx="45">
                  <c:v>0.79861116955035649</c:v>
                </c:pt>
                <c:pt idx="46">
                  <c:v>0.79990349377911718</c:v>
                </c:pt>
                <c:pt idx="47">
                  <c:v>0.80117238248356537</c:v>
                </c:pt>
                <c:pt idx="48">
                  <c:v>0.80241915536274444</c:v>
                </c:pt>
                <c:pt idx="49">
                  <c:v>0.80364502260106374</c:v>
                </c:pt>
                <c:pt idx="50">
                  <c:v>0.8048510954946656</c:v>
                </c:pt>
                <c:pt idx="51">
                  <c:v>0.80603839597316451</c:v>
                </c:pt>
                <c:pt idx="52">
                  <c:v>0.80720786512806986</c:v>
                </c:pt>
                <c:pt idx="53">
                  <c:v>0.80836037085112333</c:v>
                </c:pt>
                <c:pt idx="54">
                  <c:v>0.80949671467703865</c:v>
                </c:pt>
                <c:pt idx="55">
                  <c:v>0.81061763791629426</c:v>
                </c:pt>
                <c:pt idx="56">
                  <c:v>0.81172382715511926</c:v>
                </c:pt>
                <c:pt idx="57">
                  <c:v>0.812815919191754</c:v>
                </c:pt>
                <c:pt idx="58">
                  <c:v>0.81389450547067199</c:v>
                </c:pt>
                <c:pt idx="59">
                  <c:v>0.81496013606965811</c:v>
                </c:pt>
                <c:pt idx="60">
                  <c:v>0.8160133232885306</c:v>
                </c:pt>
                <c:pt idx="61">
                  <c:v>0.81705454488280405</c:v>
                </c:pt>
                <c:pt idx="62">
                  <c:v>0.81808424698067472</c:v>
                </c:pt>
                <c:pt idx="63">
                  <c:v>0.81910284671736933</c:v>
                </c:pt>
                <c:pt idx="64">
                  <c:v>0.82011073461700834</c:v>
                </c:pt>
                <c:pt idx="65">
                  <c:v>0.82110827674872289</c:v>
                </c:pt>
                <c:pt idx="66">
                  <c:v>0.82209581668073317</c:v>
                </c:pt>
                <c:pt idx="67">
                  <c:v>0.82307367725341762</c:v>
                </c:pt>
                <c:pt idx="68">
                  <c:v>0.82404216219004855</c:v>
                </c:pt>
                <c:pt idx="69">
                  <c:v>0.82500155756177684</c:v>
                </c:pt>
                <c:pt idx="70">
                  <c:v>0.82595213312161764</c:v>
                </c:pt>
                <c:pt idx="71">
                  <c:v>0.82689414352055712</c:v>
                </c:pt>
                <c:pt idx="72">
                  <c:v>0.82782782941747313</c:v>
                </c:pt>
                <c:pt idx="73">
                  <c:v>0.8287534184932922</c:v>
                </c:pt>
                <c:pt idx="74">
                  <c:v>0.82967112637868268</c:v>
                </c:pt>
                <c:pt idx="75">
                  <c:v>0.83058115750359585</c:v>
                </c:pt>
                <c:pt idx="76">
                  <c:v>0.83148370587608811</c:v>
                </c:pt>
                <c:pt idx="77">
                  <c:v>0.83237895579707899</c:v>
                </c:pt>
                <c:pt idx="78">
                  <c:v>0.83326708251700909</c:v>
                </c:pt>
                <c:pt idx="79">
                  <c:v>0.83414825283974625</c:v>
                </c:pt>
                <c:pt idx="80">
                  <c:v>0.83502262567855401</c:v>
                </c:pt>
                <c:pt idx="81">
                  <c:v>0.83589035256843669</c:v>
                </c:pt>
                <c:pt idx="82">
                  <c:v>0.83675157813875667</c:v>
                </c:pt>
                <c:pt idx="83">
                  <c:v>0.83760644054962829</c:v>
                </c:pt>
                <c:pt idx="84">
                  <c:v>0.83845507189525048</c:v>
                </c:pt>
                <c:pt idx="85">
                  <c:v>0.83929759857703601</c:v>
                </c:pt>
                <c:pt idx="86">
                  <c:v>0.84013414164911548</c:v>
                </c:pt>
                <c:pt idx="87">
                  <c:v>0.84096481713855598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FC-4BC7-8E5B-8DB693D72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89087"/>
        <c:axId val="1457355455"/>
      </c:scatterChart>
      <c:valAx>
        <c:axId val="128378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55455"/>
        <c:crosses val="autoZero"/>
        <c:crossBetween val="midCat"/>
      </c:valAx>
      <c:valAx>
        <c:axId val="14573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78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1038225</xdr:colOff>
      <xdr:row>16</xdr:row>
      <xdr:rowOff>9525</xdr:rowOff>
    </xdr:from>
    <xdr:to>
      <xdr:col>15</xdr:col>
      <xdr:colOff>228600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704850</xdr:colOff>
      <xdr:row>33</xdr:row>
      <xdr:rowOff>42862</xdr:rowOff>
    </xdr:from>
    <xdr:to>
      <xdr:col>21</xdr:col>
      <xdr:colOff>285750</xdr:colOff>
      <xdr:row>47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D494C-B686-3A34-2B2C-6BFC8F3E6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33</xdr:row>
      <xdr:rowOff>76200</xdr:rowOff>
    </xdr:from>
    <xdr:to>
      <xdr:col>13</xdr:col>
      <xdr:colOff>180975</xdr:colOff>
      <xdr:row>47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03FE92-DAD1-46A9-BCB0-98F691F9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142875</xdr:colOff>
      <xdr:row>33</xdr:row>
      <xdr:rowOff>19049</xdr:rowOff>
    </xdr:from>
    <xdr:to>
      <xdr:col>5</xdr:col>
      <xdr:colOff>442208</xdr:colOff>
      <xdr:row>40</xdr:row>
      <xdr:rowOff>181378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4D8020-B409-9F05-F9C6-48A7CADBA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6305549"/>
          <a:ext cx="3537833" cy="1495829"/>
        </a:xfrm>
        <a:prstGeom prst="rect">
          <a:avLst/>
        </a:prstGeom>
      </xdr:spPr>
    </xdr:pic>
    <xdr:clientData/>
  </xdr:twoCellAnchor>
  <xdr:twoCellAnchor editAs="oneCell">
    <xdr:from>
      <xdr:col>3</xdr:col>
      <xdr:colOff>771525</xdr:colOff>
      <xdr:row>49</xdr:row>
      <xdr:rowOff>9525</xdr:rowOff>
    </xdr:from>
    <xdr:to>
      <xdr:col>10</xdr:col>
      <xdr:colOff>85725</xdr:colOff>
      <xdr:row>59</xdr:row>
      <xdr:rowOff>57423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C84057A-EB68-D30F-D8B7-61C80230D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00325" y="9344025"/>
          <a:ext cx="3771900" cy="1952898"/>
        </a:xfrm>
        <a:prstGeom prst="rect">
          <a:avLst/>
        </a:prstGeom>
      </xdr:spPr>
    </xdr:pic>
    <xdr:clientData/>
  </xdr:twoCellAnchor>
  <xdr:twoCellAnchor>
    <xdr:from>
      <xdr:col>11</xdr:col>
      <xdr:colOff>309562</xdr:colOff>
      <xdr:row>51</xdr:row>
      <xdr:rowOff>185737</xdr:rowOff>
    </xdr:from>
    <xdr:to>
      <xdr:col>18</xdr:col>
      <xdr:colOff>319087</xdr:colOff>
      <xdr:row>66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942796-2DEE-DC01-64D9-8B1DFA7EE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13"/>
  <sheetViews>
    <sheetView workbookViewId="0">
      <selection activeCell="B3" sqref="B3"/>
    </sheetView>
  </sheetViews>
  <sheetFormatPr defaultRowHeight="15" x14ac:dyDescent="0.25"/>
  <cols>
    <col min="2" max="2" width="13.28515625" customWidth="1"/>
    <col min="6" max="6" width="9.42578125" bestFit="1" customWidth="1"/>
    <col min="12" max="12" width="15" customWidth="1"/>
    <col min="13" max="13" width="18.7109375" customWidth="1"/>
    <col min="14" max="14" width="57.85546875" customWidth="1"/>
    <col min="15" max="15" width="5.5703125" customWidth="1"/>
  </cols>
  <sheetData>
    <row r="1" spans="2:20" x14ac:dyDescent="0.25">
      <c r="H1" s="84">
        <f>MIN(H4:H130)</f>
        <v>0</v>
      </c>
      <c r="I1" s="84">
        <f>MIN(I4:I130)</f>
        <v>0</v>
      </c>
    </row>
    <row r="2" spans="2:20" x14ac:dyDescent="0.25">
      <c r="H2" s="84">
        <f>MAX(H4:H130)</f>
        <v>1.1875</v>
      </c>
      <c r="I2" s="84">
        <f>MAX(I4:I130)</f>
        <v>1.1693625118934348</v>
      </c>
    </row>
    <row r="3" spans="2:20" x14ac:dyDescent="0.25">
      <c r="B3" t="s">
        <v>67</v>
      </c>
      <c r="C3" t="s">
        <v>70</v>
      </c>
      <c r="D3" t="s">
        <v>68</v>
      </c>
      <c r="E3" t="s">
        <v>69</v>
      </c>
      <c r="F3" t="s">
        <v>71</v>
      </c>
      <c r="H3" t="s">
        <v>99</v>
      </c>
      <c r="I3" t="s">
        <v>100</v>
      </c>
      <c r="J3" t="s">
        <v>111</v>
      </c>
      <c r="L3" s="94" t="s">
        <v>194</v>
      </c>
      <c r="M3" s="94" t="s">
        <v>204</v>
      </c>
    </row>
    <row r="4" spans="2:20" x14ac:dyDescent="0.25">
      <c r="B4" t="s">
        <v>72</v>
      </c>
      <c r="C4">
        <v>21.34</v>
      </c>
      <c r="D4">
        <v>22.06</v>
      </c>
      <c r="E4">
        <v>22</v>
      </c>
      <c r="F4" s="83">
        <v>43626</v>
      </c>
      <c r="H4" s="84">
        <f>D4/C4</f>
        <v>1.0337394564198688</v>
      </c>
      <c r="I4" s="84">
        <f>E4/C4</f>
        <v>1.0309278350515465</v>
      </c>
      <c r="J4" s="84">
        <f>D4/E4</f>
        <v>1.0027272727272727</v>
      </c>
      <c r="L4" s="85">
        <v>1</v>
      </c>
      <c r="N4" s="85" t="s">
        <v>195</v>
      </c>
      <c r="Q4" t="s">
        <v>68</v>
      </c>
      <c r="R4" t="s">
        <v>70</v>
      </c>
      <c r="S4" t="s">
        <v>69</v>
      </c>
      <c r="T4" t="s">
        <v>70</v>
      </c>
    </row>
    <row r="5" spans="2:20" x14ac:dyDescent="0.25">
      <c r="B5" t="s">
        <v>73</v>
      </c>
      <c r="C5">
        <v>22.08</v>
      </c>
      <c r="D5">
        <v>22.3</v>
      </c>
      <c r="E5">
        <v>22.46</v>
      </c>
      <c r="F5" s="83">
        <v>43627</v>
      </c>
      <c r="H5" s="84">
        <f t="shared" ref="H5:H30" si="0">D5/C5</f>
        <v>1.0099637681159421</v>
      </c>
      <c r="I5" s="84">
        <f t="shared" ref="I5:I30" si="1">E5/C5</f>
        <v>1.0172101449275364</v>
      </c>
      <c r="J5" s="84">
        <f t="shared" ref="J5:J40" si="2">D5/E5</f>
        <v>0.99287622439893142</v>
      </c>
      <c r="L5" s="85">
        <v>2</v>
      </c>
      <c r="N5" s="86" t="s">
        <v>199</v>
      </c>
      <c r="P5">
        <v>3</v>
      </c>
      <c r="Q5">
        <f>D6</f>
        <v>22.52</v>
      </c>
      <c r="R5">
        <f>C6</f>
        <v>21.58</v>
      </c>
      <c r="S5">
        <f>E6</f>
        <v>21.96</v>
      </c>
      <c r="T5">
        <f>C6</f>
        <v>21.58</v>
      </c>
    </row>
    <row r="6" spans="2:20" x14ac:dyDescent="0.25">
      <c r="B6" t="s">
        <v>74</v>
      </c>
      <c r="C6">
        <v>21.58</v>
      </c>
      <c r="D6">
        <v>22.52</v>
      </c>
      <c r="E6">
        <v>21.96</v>
      </c>
      <c r="F6" s="83">
        <v>43627</v>
      </c>
      <c r="H6" s="84">
        <f t="shared" si="0"/>
        <v>1.0435588507877664</v>
      </c>
      <c r="I6" s="84">
        <f t="shared" si="1"/>
        <v>1.0176088971269694</v>
      </c>
      <c r="J6" s="84">
        <f t="shared" si="2"/>
        <v>1.0255009107468123</v>
      </c>
      <c r="L6" s="85">
        <v>3</v>
      </c>
      <c r="M6" t="s">
        <v>190</v>
      </c>
      <c r="N6" s="91" t="s">
        <v>196</v>
      </c>
      <c r="P6">
        <v>4</v>
      </c>
      <c r="Q6">
        <f>D24</f>
        <v>22</v>
      </c>
      <c r="R6">
        <f>C24</f>
        <v>21.5</v>
      </c>
      <c r="S6">
        <f>E24</f>
        <v>21.46</v>
      </c>
      <c r="T6">
        <f>C24</f>
        <v>21.5</v>
      </c>
    </row>
    <row r="7" spans="2:20" x14ac:dyDescent="0.25">
      <c r="B7" t="s">
        <v>75</v>
      </c>
      <c r="C7">
        <v>21.54</v>
      </c>
      <c r="D7">
        <v>22.18</v>
      </c>
      <c r="E7">
        <v>20.260000000000002</v>
      </c>
      <c r="F7" s="83">
        <v>43627</v>
      </c>
      <c r="H7" s="84">
        <f t="shared" si="0"/>
        <v>1.0297121634168989</v>
      </c>
      <c r="I7" s="84">
        <f t="shared" si="1"/>
        <v>0.9405756731662025</v>
      </c>
      <c r="J7" s="84">
        <f t="shared" si="2"/>
        <v>1.0947680157946691</v>
      </c>
      <c r="L7" s="86">
        <v>10</v>
      </c>
      <c r="N7" s="90" t="s">
        <v>197</v>
      </c>
      <c r="P7">
        <v>5</v>
      </c>
      <c r="Q7">
        <f>D38</f>
        <v>21.14</v>
      </c>
      <c r="R7">
        <f>C38</f>
        <v>20.54</v>
      </c>
      <c r="S7">
        <f>E38</f>
        <v>20.76</v>
      </c>
      <c r="T7">
        <f>C38</f>
        <v>20.54</v>
      </c>
    </row>
    <row r="8" spans="2:20" x14ac:dyDescent="0.25">
      <c r="B8" t="s">
        <v>76</v>
      </c>
      <c r="C8">
        <v>22.12</v>
      </c>
      <c r="D8">
        <v>22.48</v>
      </c>
      <c r="E8">
        <v>20.72</v>
      </c>
      <c r="F8" s="83">
        <v>43628</v>
      </c>
      <c r="H8" s="84">
        <f t="shared" si="0"/>
        <v>1.0162748643761301</v>
      </c>
      <c r="I8" s="84">
        <f t="shared" si="1"/>
        <v>0.93670886075949356</v>
      </c>
      <c r="J8" s="84">
        <f t="shared" si="2"/>
        <v>1.084942084942085</v>
      </c>
      <c r="L8" s="86">
        <v>11</v>
      </c>
      <c r="N8" s="92" t="s">
        <v>198</v>
      </c>
      <c r="P8">
        <v>6</v>
      </c>
      <c r="Q8">
        <f>D39</f>
        <v>21.54</v>
      </c>
      <c r="R8">
        <f>C39</f>
        <v>20.52</v>
      </c>
      <c r="S8">
        <f>E39</f>
        <v>20.86</v>
      </c>
      <c r="T8">
        <f>C39</f>
        <v>20.52</v>
      </c>
    </row>
    <row r="9" spans="2:20" x14ac:dyDescent="0.25">
      <c r="B9" t="s">
        <v>77</v>
      </c>
      <c r="C9">
        <v>21.44</v>
      </c>
      <c r="D9">
        <v>24.7</v>
      </c>
      <c r="E9">
        <v>0</v>
      </c>
      <c r="F9" s="83">
        <v>43628</v>
      </c>
      <c r="H9" s="84">
        <f t="shared" si="0"/>
        <v>1.15205223880597</v>
      </c>
      <c r="I9" s="84"/>
      <c r="J9" s="84"/>
      <c r="L9" s="87">
        <v>1</v>
      </c>
      <c r="M9" t="s">
        <v>192</v>
      </c>
      <c r="N9" s="89" t="s">
        <v>200</v>
      </c>
      <c r="P9">
        <v>7</v>
      </c>
      <c r="Q9">
        <f>D40</f>
        <v>21.08</v>
      </c>
      <c r="R9">
        <f>C40</f>
        <v>20.5</v>
      </c>
      <c r="S9">
        <f>E40</f>
        <v>20.68</v>
      </c>
      <c r="T9">
        <f>C40</f>
        <v>20.5</v>
      </c>
    </row>
    <row r="10" spans="2:20" x14ac:dyDescent="0.25">
      <c r="B10" t="s">
        <v>78</v>
      </c>
      <c r="C10">
        <v>21.4</v>
      </c>
      <c r="D10">
        <v>24.9</v>
      </c>
      <c r="E10">
        <v>0</v>
      </c>
      <c r="F10" s="83">
        <v>43628</v>
      </c>
      <c r="H10" s="84">
        <f t="shared" si="0"/>
        <v>1.1635514018691588</v>
      </c>
      <c r="I10" s="84"/>
      <c r="J10" s="84"/>
      <c r="L10" s="87">
        <v>2</v>
      </c>
      <c r="M10" t="s">
        <v>192</v>
      </c>
      <c r="N10" s="93" t="s">
        <v>201</v>
      </c>
      <c r="P10">
        <v>9</v>
      </c>
      <c r="Q10">
        <f>D95</f>
        <v>21.42</v>
      </c>
      <c r="R10">
        <f>C95</f>
        <v>20.7</v>
      </c>
      <c r="S10">
        <f>E95</f>
        <v>20.9</v>
      </c>
      <c r="T10">
        <f>C95</f>
        <v>20.7</v>
      </c>
    </row>
    <row r="11" spans="2:20" x14ac:dyDescent="0.25">
      <c r="B11" t="s">
        <v>80</v>
      </c>
      <c r="C11">
        <v>21.08</v>
      </c>
      <c r="D11">
        <v>24.32</v>
      </c>
      <c r="E11">
        <v>0</v>
      </c>
      <c r="F11" s="83">
        <v>43628</v>
      </c>
      <c r="H11" s="84">
        <f t="shared" si="0"/>
        <v>1.1537001897533208</v>
      </c>
      <c r="I11" s="84"/>
      <c r="J11" s="84"/>
      <c r="L11" s="87">
        <v>3</v>
      </c>
      <c r="M11" t="s">
        <v>192</v>
      </c>
      <c r="P11">
        <v>8</v>
      </c>
      <c r="Q11">
        <f>D72</f>
        <v>21.76</v>
      </c>
      <c r="R11">
        <f>C72</f>
        <v>21.02</v>
      </c>
    </row>
    <row r="12" spans="2:20" x14ac:dyDescent="0.25">
      <c r="B12" t="s">
        <v>79</v>
      </c>
      <c r="C12">
        <v>20.8</v>
      </c>
      <c r="D12">
        <v>23.86</v>
      </c>
      <c r="E12">
        <v>0</v>
      </c>
      <c r="F12" s="83">
        <v>43628</v>
      </c>
      <c r="H12" s="84">
        <f t="shared" si="0"/>
        <v>1.1471153846153845</v>
      </c>
      <c r="I12" s="84"/>
      <c r="J12" s="84"/>
      <c r="L12" s="87">
        <v>4</v>
      </c>
      <c r="M12" t="s">
        <v>192</v>
      </c>
    </row>
    <row r="13" spans="2:20" x14ac:dyDescent="0.25">
      <c r="B13" t="s">
        <v>81</v>
      </c>
      <c r="C13">
        <v>21.44</v>
      </c>
      <c r="D13">
        <v>25.46</v>
      </c>
      <c r="E13">
        <v>19.920000000000002</v>
      </c>
      <c r="F13" s="83">
        <v>43629</v>
      </c>
      <c r="H13" s="84">
        <f t="shared" si="0"/>
        <v>1.1875</v>
      </c>
      <c r="I13" s="84">
        <f t="shared" si="1"/>
        <v>0.92910447761194037</v>
      </c>
      <c r="J13" s="84">
        <f t="shared" si="2"/>
        <v>1.2781124497991967</v>
      </c>
    </row>
    <row r="14" spans="2:20" x14ac:dyDescent="0.25">
      <c r="B14" t="s">
        <v>84</v>
      </c>
      <c r="C14">
        <v>21.84</v>
      </c>
      <c r="D14">
        <v>25.54</v>
      </c>
      <c r="E14">
        <v>20.420000000000002</v>
      </c>
      <c r="F14" s="83">
        <v>43629</v>
      </c>
      <c r="H14" s="84">
        <f t="shared" si="0"/>
        <v>1.1694139194139195</v>
      </c>
      <c r="I14" s="84">
        <f t="shared" si="1"/>
        <v>0.9349816849816851</v>
      </c>
      <c r="J14" s="84">
        <f t="shared" si="2"/>
        <v>1.2507345739471105</v>
      </c>
    </row>
    <row r="15" spans="2:20" x14ac:dyDescent="0.25">
      <c r="B15" t="s">
        <v>83</v>
      </c>
      <c r="C15">
        <v>21.74</v>
      </c>
      <c r="D15">
        <v>25.68</v>
      </c>
      <c r="E15">
        <v>20.76</v>
      </c>
      <c r="F15" s="83">
        <v>43629</v>
      </c>
      <c r="H15" s="84">
        <f t="shared" si="0"/>
        <v>1.1812327506899725</v>
      </c>
      <c r="I15" s="84">
        <f t="shared" si="1"/>
        <v>0.954921803127875</v>
      </c>
      <c r="J15" s="84">
        <f t="shared" si="2"/>
        <v>1.2369942196531791</v>
      </c>
    </row>
    <row r="16" spans="2:20" x14ac:dyDescent="0.25">
      <c r="B16" t="s">
        <v>82</v>
      </c>
      <c r="C16">
        <v>22.08</v>
      </c>
      <c r="D16">
        <v>25.54</v>
      </c>
      <c r="E16">
        <v>20.84</v>
      </c>
      <c r="F16" s="83">
        <v>43629</v>
      </c>
      <c r="H16" s="84">
        <f t="shared" si="0"/>
        <v>1.1567028985507246</v>
      </c>
      <c r="I16" s="84">
        <f t="shared" si="1"/>
        <v>0.94384057971014501</v>
      </c>
      <c r="J16" s="84">
        <f t="shared" si="2"/>
        <v>1.2255278310940498</v>
      </c>
    </row>
    <row r="17" spans="2:13" x14ac:dyDescent="0.25">
      <c r="B17" t="s">
        <v>85</v>
      </c>
      <c r="C17">
        <v>21.68</v>
      </c>
      <c r="D17">
        <v>25.26</v>
      </c>
      <c r="E17">
        <v>19.559999999999999</v>
      </c>
      <c r="F17" s="83">
        <v>43629</v>
      </c>
      <c r="H17" s="84">
        <f t="shared" si="0"/>
        <v>1.165129151291513</v>
      </c>
      <c r="I17" s="84">
        <f t="shared" si="1"/>
        <v>0.90221402214022139</v>
      </c>
      <c r="J17" s="84">
        <f t="shared" si="2"/>
        <v>1.2914110429447854</v>
      </c>
    </row>
    <row r="18" spans="2:13" x14ac:dyDescent="0.25">
      <c r="B18" t="s">
        <v>86</v>
      </c>
      <c r="C18">
        <v>21.68</v>
      </c>
      <c r="D18">
        <v>25.2</v>
      </c>
      <c r="E18">
        <v>19.559999999999999</v>
      </c>
      <c r="F18" s="83">
        <v>43629</v>
      </c>
      <c r="H18" s="84">
        <f t="shared" si="0"/>
        <v>1.1623616236162362</v>
      </c>
      <c r="I18" s="84">
        <f t="shared" si="1"/>
        <v>0.90221402214022139</v>
      </c>
      <c r="J18" s="84">
        <f t="shared" si="2"/>
        <v>1.2883435582822087</v>
      </c>
    </row>
    <row r="19" spans="2:13" x14ac:dyDescent="0.25">
      <c r="B19" t="s">
        <v>87</v>
      </c>
      <c r="C19">
        <v>21.9</v>
      </c>
      <c r="D19">
        <v>25.16</v>
      </c>
      <c r="E19">
        <v>19.559999999999999</v>
      </c>
      <c r="F19" s="83">
        <v>43629</v>
      </c>
      <c r="H19" s="84">
        <f t="shared" si="0"/>
        <v>1.1488584474885846</v>
      </c>
      <c r="I19" s="84">
        <f t="shared" si="1"/>
        <v>0.89315068493150684</v>
      </c>
      <c r="J19" s="84">
        <f t="shared" si="2"/>
        <v>1.2862985685071575</v>
      </c>
    </row>
    <row r="20" spans="2:13" x14ac:dyDescent="0.25">
      <c r="B20" t="s">
        <v>88</v>
      </c>
      <c r="C20">
        <v>21.72</v>
      </c>
      <c r="D20">
        <v>25</v>
      </c>
      <c r="E20">
        <v>19.04</v>
      </c>
      <c r="F20" s="83">
        <v>43629</v>
      </c>
      <c r="H20" s="84">
        <f t="shared" si="0"/>
        <v>1.1510128913443831</v>
      </c>
      <c r="I20" s="84">
        <f t="shared" si="1"/>
        <v>0.87661141804788212</v>
      </c>
      <c r="J20" s="84">
        <f t="shared" si="2"/>
        <v>1.3130252100840336</v>
      </c>
    </row>
    <row r="21" spans="2:13" x14ac:dyDescent="0.25">
      <c r="B21" t="s">
        <v>89</v>
      </c>
      <c r="C21">
        <v>21.42</v>
      </c>
      <c r="D21">
        <v>24.72</v>
      </c>
      <c r="E21">
        <v>18.98</v>
      </c>
      <c r="F21" s="83">
        <v>43629</v>
      </c>
      <c r="H21" s="84">
        <f t="shared" si="0"/>
        <v>1.1540616246498598</v>
      </c>
      <c r="I21" s="84">
        <f t="shared" si="1"/>
        <v>0.88608776844070958</v>
      </c>
      <c r="J21" s="84">
        <f t="shared" si="2"/>
        <v>1.3024236037934667</v>
      </c>
    </row>
    <row r="22" spans="2:13" x14ac:dyDescent="0.25">
      <c r="B22" t="s">
        <v>90</v>
      </c>
      <c r="C22">
        <v>21.78</v>
      </c>
      <c r="D22">
        <v>24.7</v>
      </c>
      <c r="E22">
        <v>18.96</v>
      </c>
      <c r="F22" s="83">
        <v>43631</v>
      </c>
      <c r="H22" s="84">
        <f t="shared" si="0"/>
        <v>1.1340679522497703</v>
      </c>
      <c r="I22" s="84">
        <f t="shared" si="1"/>
        <v>0.87052341597796146</v>
      </c>
      <c r="J22" s="84">
        <f t="shared" si="2"/>
        <v>1.3027426160337552</v>
      </c>
    </row>
    <row r="23" spans="2:13" x14ac:dyDescent="0.25">
      <c r="B23" t="s">
        <v>91</v>
      </c>
      <c r="C23">
        <v>21.92</v>
      </c>
      <c r="D23">
        <v>22.88</v>
      </c>
      <c r="E23">
        <v>20.57</v>
      </c>
      <c r="F23" s="83">
        <v>43631</v>
      </c>
      <c r="H23" s="84">
        <f t="shared" si="0"/>
        <v>1.0437956204379562</v>
      </c>
      <c r="I23" s="84">
        <f t="shared" si="1"/>
        <v>0.93841240875912402</v>
      </c>
      <c r="J23" s="84">
        <f t="shared" si="2"/>
        <v>1.1122994652406417</v>
      </c>
      <c r="L23" s="86">
        <v>12</v>
      </c>
    </row>
    <row r="24" spans="2:13" x14ac:dyDescent="0.25">
      <c r="B24" t="s">
        <v>92</v>
      </c>
      <c r="C24">
        <v>21.5</v>
      </c>
      <c r="D24">
        <v>22</v>
      </c>
      <c r="E24">
        <v>21.46</v>
      </c>
      <c r="F24" s="83">
        <v>43631</v>
      </c>
      <c r="H24" s="84">
        <f t="shared" si="0"/>
        <v>1.0232558139534884</v>
      </c>
      <c r="I24" s="84">
        <f t="shared" si="1"/>
        <v>0.99813953488372098</v>
      </c>
      <c r="J24" s="84">
        <f t="shared" si="2"/>
        <v>1.0251630941286114</v>
      </c>
      <c r="L24" s="85">
        <v>4</v>
      </c>
      <c r="M24" t="s">
        <v>190</v>
      </c>
    </row>
    <row r="25" spans="2:13" x14ac:dyDescent="0.25">
      <c r="B25" t="s">
        <v>94</v>
      </c>
      <c r="C25">
        <v>21.6</v>
      </c>
      <c r="D25">
        <v>21.9</v>
      </c>
      <c r="E25">
        <v>19.55</v>
      </c>
      <c r="F25" s="83">
        <v>43633</v>
      </c>
      <c r="H25" s="84">
        <f t="shared" si="0"/>
        <v>1.0138888888888888</v>
      </c>
      <c r="I25" s="84">
        <f t="shared" si="1"/>
        <v>0.90509259259259256</v>
      </c>
      <c r="J25" s="84">
        <f t="shared" si="2"/>
        <v>1.1202046035805626</v>
      </c>
      <c r="L25" s="86">
        <v>13</v>
      </c>
    </row>
    <row r="26" spans="2:13" x14ac:dyDescent="0.25">
      <c r="B26" t="s">
        <v>95</v>
      </c>
      <c r="C26">
        <v>21.12</v>
      </c>
      <c r="D26">
        <v>21.54</v>
      </c>
      <c r="E26">
        <v>19.2</v>
      </c>
      <c r="F26" s="83">
        <v>43633</v>
      </c>
      <c r="H26" s="84">
        <f t="shared" si="0"/>
        <v>1.0198863636363635</v>
      </c>
      <c r="I26" s="84">
        <f t="shared" si="1"/>
        <v>0.90909090909090906</v>
      </c>
      <c r="J26" s="84">
        <f t="shared" si="2"/>
        <v>1.121875</v>
      </c>
      <c r="L26" s="86">
        <v>14</v>
      </c>
    </row>
    <row r="27" spans="2:13" x14ac:dyDescent="0.25">
      <c r="B27" t="s">
        <v>96</v>
      </c>
      <c r="C27">
        <v>21.38</v>
      </c>
      <c r="D27">
        <v>21.4</v>
      </c>
      <c r="E27">
        <v>19.100000000000001</v>
      </c>
      <c r="F27" s="83">
        <v>43633</v>
      </c>
      <c r="H27" s="84">
        <f t="shared" si="0"/>
        <v>1.0009354536950421</v>
      </c>
      <c r="I27" s="84">
        <f t="shared" si="1"/>
        <v>0.89335827876520124</v>
      </c>
      <c r="J27" s="84">
        <f t="shared" si="2"/>
        <v>1.120418848167539</v>
      </c>
      <c r="L27" s="86">
        <v>15</v>
      </c>
    </row>
    <row r="28" spans="2:13" x14ac:dyDescent="0.25">
      <c r="B28" t="s">
        <v>97</v>
      </c>
      <c r="C28">
        <v>21.04</v>
      </c>
      <c r="D28">
        <v>20.9</v>
      </c>
      <c r="E28">
        <v>18.7</v>
      </c>
      <c r="F28" s="83">
        <v>43633</v>
      </c>
      <c r="H28" s="84">
        <f t="shared" si="0"/>
        <v>0.99334600760456271</v>
      </c>
      <c r="I28" s="84">
        <f t="shared" si="1"/>
        <v>0.88878326996197721</v>
      </c>
      <c r="J28" s="84">
        <f t="shared" si="2"/>
        <v>1.1176470588235294</v>
      </c>
    </row>
    <row r="29" spans="2:13" x14ac:dyDescent="0.25">
      <c r="B29" t="s">
        <v>98</v>
      </c>
      <c r="C29">
        <v>21.04</v>
      </c>
      <c r="D29">
        <v>21.12</v>
      </c>
      <c r="E29">
        <v>18.899999999999999</v>
      </c>
      <c r="F29" s="83">
        <v>43633</v>
      </c>
      <c r="H29" s="84">
        <f t="shared" si="0"/>
        <v>1.0038022813688214</v>
      </c>
      <c r="I29" s="84">
        <f t="shared" si="1"/>
        <v>0.89828897338403035</v>
      </c>
      <c r="J29" s="84">
        <f t="shared" si="2"/>
        <v>1.1174603174603175</v>
      </c>
    </row>
    <row r="30" spans="2:13" x14ac:dyDescent="0.25">
      <c r="B30" t="s">
        <v>93</v>
      </c>
      <c r="C30">
        <v>20.98</v>
      </c>
      <c r="D30">
        <v>20.92</v>
      </c>
      <c r="E30">
        <v>18.72</v>
      </c>
      <c r="F30" s="83">
        <v>43633</v>
      </c>
      <c r="H30" s="84">
        <f t="shared" si="0"/>
        <v>0.99714013346043862</v>
      </c>
      <c r="I30" s="84">
        <f t="shared" si="1"/>
        <v>0.89227836034318386</v>
      </c>
      <c r="J30" s="84">
        <f t="shared" si="2"/>
        <v>1.1175213675213678</v>
      </c>
    </row>
    <row r="31" spans="2:13" x14ac:dyDescent="0.25">
      <c r="B31" t="s">
        <v>101</v>
      </c>
      <c r="C31">
        <v>20.22</v>
      </c>
      <c r="D31">
        <v>20.94</v>
      </c>
      <c r="E31">
        <v>18.98</v>
      </c>
      <c r="F31" s="83">
        <v>43634</v>
      </c>
      <c r="H31" s="84">
        <f t="shared" ref="H31:H37" si="3">D31/C31</f>
        <v>1.0356083086053414</v>
      </c>
      <c r="I31" s="84">
        <f t="shared" ref="I31:I37" si="4">E31/C31</f>
        <v>0.93867457962413459</v>
      </c>
      <c r="J31" s="84">
        <f t="shared" si="2"/>
        <v>1.1032665964172814</v>
      </c>
    </row>
    <row r="32" spans="2:13" x14ac:dyDescent="0.25">
      <c r="B32" t="s">
        <v>102</v>
      </c>
      <c r="C32">
        <v>20.92</v>
      </c>
      <c r="D32">
        <v>20.76</v>
      </c>
      <c r="E32">
        <v>18.84</v>
      </c>
      <c r="F32" s="83">
        <v>43634</v>
      </c>
      <c r="H32" s="84">
        <f t="shared" si="3"/>
        <v>0.9923518164435946</v>
      </c>
      <c r="I32" s="84">
        <f t="shared" si="4"/>
        <v>0.90057361376673029</v>
      </c>
      <c r="J32" s="84">
        <f t="shared" si="2"/>
        <v>1.1019108280254779</v>
      </c>
    </row>
    <row r="33" spans="2:13" x14ac:dyDescent="0.25">
      <c r="B33" t="s">
        <v>103</v>
      </c>
      <c r="C33">
        <v>21.2</v>
      </c>
      <c r="D33">
        <v>20.66</v>
      </c>
      <c r="E33">
        <v>18.66</v>
      </c>
      <c r="F33" s="83">
        <v>43634</v>
      </c>
      <c r="H33" s="84">
        <f t="shared" si="3"/>
        <v>0.97452830188679251</v>
      </c>
      <c r="I33" s="84">
        <f t="shared" si="4"/>
        <v>0.8801886792452831</v>
      </c>
      <c r="J33" s="84">
        <f t="shared" si="2"/>
        <v>1.1071811361200428</v>
      </c>
    </row>
    <row r="34" spans="2:13" x14ac:dyDescent="0.25">
      <c r="B34" t="s">
        <v>104</v>
      </c>
      <c r="C34">
        <v>21</v>
      </c>
      <c r="D34">
        <v>20.46</v>
      </c>
      <c r="E34">
        <v>18.940000000000001</v>
      </c>
      <c r="F34" s="83">
        <v>43634</v>
      </c>
      <c r="H34" s="84">
        <f t="shared" si="3"/>
        <v>0.97428571428571431</v>
      </c>
      <c r="I34" s="84">
        <f t="shared" si="4"/>
        <v>0.90190476190476199</v>
      </c>
      <c r="J34" s="84">
        <f t="shared" si="2"/>
        <v>1.0802534318901795</v>
      </c>
    </row>
    <row r="35" spans="2:13" x14ac:dyDescent="0.25">
      <c r="B35" t="s">
        <v>105</v>
      </c>
      <c r="C35">
        <v>20.86</v>
      </c>
      <c r="D35">
        <v>20.3</v>
      </c>
      <c r="E35">
        <v>18.98</v>
      </c>
      <c r="F35" s="83">
        <v>43634</v>
      </c>
      <c r="H35" s="84">
        <f t="shared" si="3"/>
        <v>0.97315436241610742</v>
      </c>
      <c r="I35" s="84">
        <f t="shared" si="4"/>
        <v>0.90987535953978915</v>
      </c>
      <c r="J35" s="84">
        <f t="shared" si="2"/>
        <v>1.0695468914646997</v>
      </c>
    </row>
    <row r="36" spans="2:13" x14ac:dyDescent="0.25">
      <c r="B36" t="s">
        <v>106</v>
      </c>
      <c r="C36">
        <v>20.86</v>
      </c>
      <c r="D36">
        <v>20.100000000000001</v>
      </c>
      <c r="E36">
        <v>18.88</v>
      </c>
      <c r="F36" s="83">
        <v>43634</v>
      </c>
      <c r="H36" s="84">
        <f t="shared" si="3"/>
        <v>0.96356663470757442</v>
      </c>
      <c r="I36" s="84">
        <f t="shared" si="4"/>
        <v>0.90508149568552254</v>
      </c>
      <c r="J36" s="84">
        <f t="shared" si="2"/>
        <v>1.0646186440677967</v>
      </c>
    </row>
    <row r="37" spans="2:13" x14ac:dyDescent="0.25">
      <c r="B37" t="s">
        <v>107</v>
      </c>
      <c r="C37">
        <v>20.78</v>
      </c>
      <c r="D37">
        <v>20.399999999999999</v>
      </c>
      <c r="E37">
        <v>18.559999999999999</v>
      </c>
      <c r="F37" s="83">
        <v>43634</v>
      </c>
      <c r="H37" s="84">
        <f t="shared" si="3"/>
        <v>0.98171318575553401</v>
      </c>
      <c r="I37" s="84">
        <f t="shared" si="4"/>
        <v>0.89316650625601524</v>
      </c>
      <c r="J37" s="84">
        <f t="shared" si="2"/>
        <v>1.0991379310344827</v>
      </c>
    </row>
    <row r="38" spans="2:13" x14ac:dyDescent="0.25">
      <c r="B38" t="s">
        <v>108</v>
      </c>
      <c r="C38">
        <v>20.54</v>
      </c>
      <c r="D38">
        <v>21.14</v>
      </c>
      <c r="E38">
        <v>20.76</v>
      </c>
      <c r="F38" s="83">
        <v>43634</v>
      </c>
      <c r="H38" s="84">
        <f t="shared" ref="H38:H40" si="5">D38/C38</f>
        <v>1.0292112950340799</v>
      </c>
      <c r="I38" s="84">
        <f t="shared" ref="I38:I40" si="6">E38/C38</f>
        <v>1.0107108081791627</v>
      </c>
      <c r="J38" s="84">
        <f t="shared" si="2"/>
        <v>1.0183044315992293</v>
      </c>
      <c r="L38" s="85">
        <v>5</v>
      </c>
      <c r="M38" t="s">
        <v>190</v>
      </c>
    </row>
    <row r="39" spans="2:13" x14ac:dyDescent="0.25">
      <c r="B39" t="s">
        <v>109</v>
      </c>
      <c r="C39">
        <v>20.52</v>
      </c>
      <c r="D39">
        <v>21.54</v>
      </c>
      <c r="E39">
        <v>20.86</v>
      </c>
      <c r="F39" s="83">
        <v>43634</v>
      </c>
      <c r="H39" s="84">
        <f t="shared" si="5"/>
        <v>1.0497076023391814</v>
      </c>
      <c r="I39" s="84">
        <f t="shared" si="6"/>
        <v>1.0165692007797271</v>
      </c>
      <c r="J39" s="84">
        <f t="shared" si="2"/>
        <v>1.0325982742090125</v>
      </c>
      <c r="L39" s="85">
        <v>6</v>
      </c>
      <c r="M39" t="s">
        <v>190</v>
      </c>
    </row>
    <row r="40" spans="2:13" x14ac:dyDescent="0.25">
      <c r="B40" t="s">
        <v>110</v>
      </c>
      <c r="C40">
        <v>20.5</v>
      </c>
      <c r="D40">
        <v>21.08</v>
      </c>
      <c r="E40">
        <v>20.68</v>
      </c>
      <c r="F40" s="83">
        <v>43634</v>
      </c>
      <c r="H40" s="84">
        <f t="shared" si="5"/>
        <v>1.0282926829268293</v>
      </c>
      <c r="I40" s="84">
        <f t="shared" si="6"/>
        <v>1.0087804878048781</v>
      </c>
      <c r="J40" s="84">
        <f t="shared" si="2"/>
        <v>1.0193423597678917</v>
      </c>
      <c r="L40" s="85">
        <v>7</v>
      </c>
      <c r="M40" t="s">
        <v>190</v>
      </c>
    </row>
    <row r="41" spans="2:13" x14ac:dyDescent="0.25">
      <c r="B41" t="s">
        <v>112</v>
      </c>
      <c r="C41">
        <v>20.86</v>
      </c>
      <c r="D41">
        <v>20.28</v>
      </c>
      <c r="E41">
        <v>19.3</v>
      </c>
      <c r="F41" s="83">
        <v>43635</v>
      </c>
      <c r="H41" s="84">
        <f t="shared" ref="H41:H49" si="7">D41/C41</f>
        <v>0.97219558964525421</v>
      </c>
      <c r="I41" s="84">
        <f t="shared" ref="I41:I49" si="8">E41/C41</f>
        <v>0.92521572387344209</v>
      </c>
      <c r="J41" s="84">
        <f t="shared" ref="J41:J49" si="9">D41/E41</f>
        <v>1.0507772020725388</v>
      </c>
    </row>
    <row r="42" spans="2:13" x14ac:dyDescent="0.25">
      <c r="B42" t="s">
        <v>115</v>
      </c>
      <c r="C42">
        <v>20.74</v>
      </c>
      <c r="D42">
        <v>20.38</v>
      </c>
      <c r="E42">
        <v>19.14</v>
      </c>
      <c r="F42" s="83">
        <v>43635</v>
      </c>
      <c r="H42" s="84">
        <f t="shared" si="7"/>
        <v>0.98264223722275801</v>
      </c>
      <c r="I42" s="84">
        <f t="shared" si="8"/>
        <v>0.92285438765670214</v>
      </c>
      <c r="J42" s="84">
        <f t="shared" si="9"/>
        <v>1.0647857889237198</v>
      </c>
    </row>
    <row r="43" spans="2:13" x14ac:dyDescent="0.25">
      <c r="B43" t="s">
        <v>116</v>
      </c>
      <c r="C43">
        <v>20.62</v>
      </c>
      <c r="D43">
        <v>20.22</v>
      </c>
      <c r="E43">
        <v>19.079999999999998</v>
      </c>
      <c r="F43" s="83">
        <v>43635</v>
      </c>
      <c r="H43" s="84">
        <f t="shared" si="7"/>
        <v>0.98060135790494651</v>
      </c>
      <c r="I43" s="84">
        <f t="shared" si="8"/>
        <v>0.92531522793404453</v>
      </c>
      <c r="J43" s="84">
        <f t="shared" si="9"/>
        <v>1.0597484276729561</v>
      </c>
    </row>
    <row r="44" spans="2:13" x14ac:dyDescent="0.25">
      <c r="B44" t="s">
        <v>113</v>
      </c>
      <c r="C44">
        <v>20.66</v>
      </c>
      <c r="D44">
        <v>20.3</v>
      </c>
      <c r="E44">
        <v>19.02</v>
      </c>
      <c r="F44" s="83">
        <v>43635</v>
      </c>
      <c r="H44" s="84">
        <f t="shared" si="7"/>
        <v>0.98257502420135534</v>
      </c>
      <c r="I44" s="84">
        <f t="shared" si="8"/>
        <v>0.92061955469506285</v>
      </c>
      <c r="J44" s="84">
        <f t="shared" si="9"/>
        <v>1.0672975814931651</v>
      </c>
    </row>
    <row r="45" spans="2:13" x14ac:dyDescent="0.25">
      <c r="B45" t="s">
        <v>117</v>
      </c>
      <c r="C45">
        <v>20.7</v>
      </c>
      <c r="D45">
        <v>20.7</v>
      </c>
      <c r="E45">
        <v>18.940000000000001</v>
      </c>
      <c r="F45" s="83">
        <v>43635</v>
      </c>
      <c r="H45" s="84">
        <f t="shared" si="7"/>
        <v>1</v>
      </c>
      <c r="I45" s="84">
        <f t="shared" si="8"/>
        <v>0.91497584541062815</v>
      </c>
      <c r="J45" s="84">
        <f t="shared" si="9"/>
        <v>1.092925026399155</v>
      </c>
    </row>
    <row r="46" spans="2:13" x14ac:dyDescent="0.25">
      <c r="B46" t="s">
        <v>118</v>
      </c>
      <c r="C46">
        <v>20.64</v>
      </c>
      <c r="D46">
        <v>20.399999999999999</v>
      </c>
      <c r="E46">
        <v>18.82</v>
      </c>
      <c r="F46" s="83">
        <v>43635</v>
      </c>
      <c r="H46" s="84">
        <f t="shared" si="7"/>
        <v>0.98837209302325568</v>
      </c>
      <c r="I46" s="84">
        <f t="shared" si="8"/>
        <v>0.91182170542635654</v>
      </c>
      <c r="J46" s="84">
        <f t="shared" si="9"/>
        <v>1.0839532412327311</v>
      </c>
    </row>
    <row r="47" spans="2:13" x14ac:dyDescent="0.25">
      <c r="B47" t="s">
        <v>114</v>
      </c>
      <c r="C47">
        <v>20.6</v>
      </c>
      <c r="D47">
        <v>20.72</v>
      </c>
      <c r="E47">
        <v>18.72</v>
      </c>
      <c r="F47" s="83">
        <v>43635</v>
      </c>
      <c r="H47" s="84">
        <f t="shared" si="7"/>
        <v>1.0058252427184464</v>
      </c>
      <c r="I47" s="84">
        <f t="shared" si="8"/>
        <v>0.90873786407766977</v>
      </c>
      <c r="J47" s="84">
        <f t="shared" si="9"/>
        <v>1.1068376068376069</v>
      </c>
    </row>
    <row r="48" spans="2:13" x14ac:dyDescent="0.25">
      <c r="B48" t="s">
        <v>119</v>
      </c>
      <c r="C48">
        <v>20.66</v>
      </c>
      <c r="D48">
        <v>20.34</v>
      </c>
      <c r="E48">
        <v>18.940000000000001</v>
      </c>
      <c r="F48" s="83">
        <v>43635</v>
      </c>
      <c r="H48" s="84">
        <f t="shared" si="7"/>
        <v>0.98451113262342693</v>
      </c>
      <c r="I48" s="84">
        <f t="shared" si="8"/>
        <v>0.91674733785091966</v>
      </c>
      <c r="J48" s="84">
        <f t="shared" si="9"/>
        <v>1.0739176346356916</v>
      </c>
    </row>
    <row r="49" spans="2:24" x14ac:dyDescent="0.25">
      <c r="B49" t="s">
        <v>120</v>
      </c>
      <c r="C49">
        <v>20.7</v>
      </c>
      <c r="D49">
        <v>20.56</v>
      </c>
      <c r="E49">
        <v>18.739999999999998</v>
      </c>
      <c r="F49" s="83">
        <v>43635</v>
      </c>
      <c r="H49" s="84">
        <f t="shared" si="7"/>
        <v>0.99323671497584543</v>
      </c>
      <c r="I49" s="84">
        <f t="shared" si="8"/>
        <v>0.90531400966183573</v>
      </c>
      <c r="J49" s="84">
        <f t="shared" si="9"/>
        <v>1.097118463180363</v>
      </c>
    </row>
    <row r="50" spans="2:24" x14ac:dyDescent="0.25">
      <c r="B50" t="s">
        <v>121</v>
      </c>
      <c r="C50">
        <v>21.72</v>
      </c>
      <c r="D50">
        <v>21.48</v>
      </c>
      <c r="E50">
        <v>19.86</v>
      </c>
      <c r="F50" s="83">
        <v>43636</v>
      </c>
      <c r="H50" s="84">
        <f t="shared" ref="H50:H52" si="10">D50/C50</f>
        <v>0.98895027624309395</v>
      </c>
      <c r="I50" s="84">
        <f t="shared" ref="I50:I52" si="11">E50/C50</f>
        <v>0.91436464088397795</v>
      </c>
      <c r="J50" s="84">
        <f t="shared" ref="J50:J52" si="12">D50/E50</f>
        <v>1.0815709969788521</v>
      </c>
    </row>
    <row r="51" spans="2:24" x14ac:dyDescent="0.25">
      <c r="B51" t="s">
        <v>122</v>
      </c>
      <c r="C51">
        <v>21.52</v>
      </c>
      <c r="D51">
        <v>21.26</v>
      </c>
      <c r="E51">
        <v>19.66</v>
      </c>
      <c r="F51" s="83">
        <v>43636</v>
      </c>
      <c r="H51" s="84">
        <f t="shared" si="10"/>
        <v>0.987918215613383</v>
      </c>
      <c r="I51" s="84">
        <f t="shared" si="11"/>
        <v>0.91356877323420072</v>
      </c>
      <c r="J51" s="84">
        <f t="shared" si="12"/>
        <v>1.081383519837233</v>
      </c>
    </row>
    <row r="52" spans="2:24" x14ac:dyDescent="0.25">
      <c r="B52" t="s">
        <v>123</v>
      </c>
      <c r="C52">
        <v>21.4</v>
      </c>
      <c r="D52">
        <v>21.12</v>
      </c>
      <c r="E52">
        <v>19.600000000000001</v>
      </c>
      <c r="F52" s="83">
        <v>43636</v>
      </c>
      <c r="H52" s="84">
        <f t="shared" si="10"/>
        <v>0.98691588785046735</v>
      </c>
      <c r="I52" s="84">
        <f t="shared" si="11"/>
        <v>0.91588785046728982</v>
      </c>
      <c r="J52" s="84">
        <f t="shared" si="12"/>
        <v>1.0775510204081633</v>
      </c>
    </row>
    <row r="53" spans="2:24" x14ac:dyDescent="0.25">
      <c r="B53" t="s">
        <v>124</v>
      </c>
      <c r="C53">
        <v>22</v>
      </c>
      <c r="D53">
        <v>23.26</v>
      </c>
      <c r="E53">
        <v>20.56</v>
      </c>
      <c r="F53" s="83">
        <v>43637</v>
      </c>
      <c r="H53" s="84">
        <f t="shared" ref="H53:H59" si="13">D53/C53</f>
        <v>1.0572727272727274</v>
      </c>
      <c r="I53" s="84">
        <f t="shared" ref="I53:I59" si="14">E53/C53</f>
        <v>0.93454545454545446</v>
      </c>
      <c r="J53" s="84">
        <f t="shared" ref="J53:J59" si="15">D53/E53</f>
        <v>1.1313229571984438</v>
      </c>
    </row>
    <row r="54" spans="2:24" x14ac:dyDescent="0.25">
      <c r="B54" t="s">
        <v>125</v>
      </c>
      <c r="C54">
        <v>21.26</v>
      </c>
      <c r="D54">
        <v>21.76</v>
      </c>
      <c r="E54">
        <v>20.16</v>
      </c>
      <c r="F54" s="83">
        <v>43637</v>
      </c>
      <c r="H54" s="84">
        <f t="shared" si="13"/>
        <v>1.0235183443085607</v>
      </c>
      <c r="I54" s="84">
        <f t="shared" si="14"/>
        <v>0.94825964252116646</v>
      </c>
      <c r="J54" s="84">
        <f t="shared" si="15"/>
        <v>1.0793650793650795</v>
      </c>
    </row>
    <row r="55" spans="2:24" x14ac:dyDescent="0.25">
      <c r="B55" t="s">
        <v>126</v>
      </c>
      <c r="C55">
        <v>21.3</v>
      </c>
      <c r="D55">
        <v>21.58</v>
      </c>
      <c r="E55">
        <v>20.2</v>
      </c>
      <c r="F55" s="83">
        <v>43637</v>
      </c>
      <c r="H55" s="84">
        <f t="shared" si="13"/>
        <v>1.0131455399061031</v>
      </c>
      <c r="I55" s="84">
        <f t="shared" si="14"/>
        <v>0.94835680751173701</v>
      </c>
      <c r="J55" s="84">
        <f t="shared" si="15"/>
        <v>1.0683168316831684</v>
      </c>
    </row>
    <row r="56" spans="2:24" x14ac:dyDescent="0.25">
      <c r="B56" t="s">
        <v>127</v>
      </c>
      <c r="C56">
        <v>21.1</v>
      </c>
      <c r="D56">
        <v>21.72</v>
      </c>
      <c r="E56">
        <v>20.260000000000002</v>
      </c>
      <c r="F56" s="83">
        <v>43637</v>
      </c>
      <c r="H56" s="84">
        <f t="shared" si="13"/>
        <v>1.0293838862559241</v>
      </c>
      <c r="I56" s="84">
        <f t="shared" si="14"/>
        <v>0.96018957345971567</v>
      </c>
      <c r="J56" s="84">
        <f t="shared" si="15"/>
        <v>1.0720631786771964</v>
      </c>
    </row>
    <row r="57" spans="2:24" x14ac:dyDescent="0.25">
      <c r="B57" t="s">
        <v>128</v>
      </c>
      <c r="C57">
        <v>20.9</v>
      </c>
      <c r="D57">
        <v>20.6</v>
      </c>
      <c r="E57">
        <v>19.7</v>
      </c>
      <c r="F57" s="83">
        <v>43637</v>
      </c>
      <c r="H57" s="84">
        <f t="shared" si="13"/>
        <v>0.98564593301435421</v>
      </c>
      <c r="I57" s="84">
        <f t="shared" si="14"/>
        <v>0.9425837320574163</v>
      </c>
      <c r="J57" s="84">
        <f t="shared" si="15"/>
        <v>1.0456852791878173</v>
      </c>
    </row>
    <row r="58" spans="2:24" x14ac:dyDescent="0.25">
      <c r="B58" t="s">
        <v>129</v>
      </c>
      <c r="C58">
        <v>20.76</v>
      </c>
      <c r="D58">
        <v>20.22</v>
      </c>
      <c r="E58">
        <v>19.46</v>
      </c>
      <c r="F58" s="83">
        <v>43637</v>
      </c>
      <c r="H58" s="84">
        <f t="shared" si="13"/>
        <v>0.97398843930635826</v>
      </c>
      <c r="I58" s="84">
        <f t="shared" si="14"/>
        <v>0.93737957610789979</v>
      </c>
      <c r="J58" s="84">
        <f t="shared" si="15"/>
        <v>1.0390544707091469</v>
      </c>
    </row>
    <row r="59" spans="2:24" x14ac:dyDescent="0.25">
      <c r="B59" t="s">
        <v>130</v>
      </c>
      <c r="C59">
        <v>20.7</v>
      </c>
      <c r="D59">
        <v>20.22</v>
      </c>
      <c r="E59">
        <v>19.38</v>
      </c>
      <c r="F59" s="83">
        <v>43637</v>
      </c>
      <c r="H59" s="84">
        <f t="shared" si="13"/>
        <v>0.97681159420289854</v>
      </c>
      <c r="I59" s="84">
        <f t="shared" si="14"/>
        <v>0.93623188405797098</v>
      </c>
      <c r="J59" s="84">
        <f t="shared" si="15"/>
        <v>1.0433436532507741</v>
      </c>
    </row>
    <row r="60" spans="2:24" x14ac:dyDescent="0.25">
      <c r="B60" t="s">
        <v>131</v>
      </c>
      <c r="C60">
        <v>20.68</v>
      </c>
      <c r="D60">
        <v>21.4</v>
      </c>
      <c r="E60">
        <v>19</v>
      </c>
      <c r="F60" s="83">
        <v>43637</v>
      </c>
      <c r="H60" s="84">
        <f t="shared" ref="H60:H62" si="16">D60/C60</f>
        <v>1.0348162475822049</v>
      </c>
      <c r="I60" s="84">
        <f t="shared" ref="I60:I62" si="17">E60/C60</f>
        <v>0.9187620889748549</v>
      </c>
      <c r="J60" s="84">
        <f t="shared" ref="J60:J62" si="18">D60/E60</f>
        <v>1.1263157894736842</v>
      </c>
    </row>
    <row r="61" spans="2:24" x14ac:dyDescent="0.25">
      <c r="B61" t="s">
        <v>132</v>
      </c>
      <c r="C61">
        <v>20.66</v>
      </c>
      <c r="D61">
        <v>21.3</v>
      </c>
      <c r="E61">
        <v>19.100000000000001</v>
      </c>
      <c r="F61" s="83">
        <v>43637</v>
      </c>
      <c r="H61" s="84">
        <f t="shared" si="16"/>
        <v>1.0309777347531461</v>
      </c>
      <c r="I61" s="84">
        <f t="shared" si="17"/>
        <v>0.92449177153920625</v>
      </c>
      <c r="J61" s="84">
        <f t="shared" si="18"/>
        <v>1.1151832460732984</v>
      </c>
      <c r="O61" t="s">
        <v>70</v>
      </c>
      <c r="Q61">
        <v>1</v>
      </c>
      <c r="S61">
        <v>2</v>
      </c>
    </row>
    <row r="62" spans="2:24" x14ac:dyDescent="0.25">
      <c r="B62" t="s">
        <v>133</v>
      </c>
      <c r="C62">
        <v>20.64</v>
      </c>
      <c r="D62">
        <v>21.22</v>
      </c>
      <c r="E62">
        <v>19.2</v>
      </c>
      <c r="F62" s="83">
        <v>43637</v>
      </c>
      <c r="H62" s="84">
        <f t="shared" si="16"/>
        <v>1.0281007751937983</v>
      </c>
      <c r="I62" s="84">
        <f t="shared" si="17"/>
        <v>0.93023255813953487</v>
      </c>
      <c r="J62" s="84">
        <f t="shared" si="18"/>
        <v>1.1052083333333333</v>
      </c>
      <c r="O62" t="s">
        <v>143</v>
      </c>
      <c r="P62" t="s">
        <v>144</v>
      </c>
      <c r="Q62" t="s">
        <v>143</v>
      </c>
      <c r="R62" t="s">
        <v>144</v>
      </c>
      <c r="S62" t="s">
        <v>143</v>
      </c>
      <c r="T62" t="s">
        <v>144</v>
      </c>
    </row>
    <row r="63" spans="2:24" x14ac:dyDescent="0.25">
      <c r="B63" t="s">
        <v>134</v>
      </c>
      <c r="C63">
        <f t="shared" ref="C63:C71" si="19">O63-P63</f>
        <v>21.28</v>
      </c>
      <c r="D63">
        <f t="shared" ref="D63:D71" si="20">Q63-R63</f>
        <v>21.879999999999995</v>
      </c>
      <c r="E63">
        <f t="shared" ref="E63:E71" si="21">S63-T63</f>
        <v>19.700000000000003</v>
      </c>
      <c r="F63" s="83">
        <v>43638</v>
      </c>
      <c r="H63" s="84">
        <f t="shared" ref="H63:H71" si="22">D63/C63</f>
        <v>1.0281954887218043</v>
      </c>
      <c r="I63" s="84">
        <f t="shared" ref="I63:I71" si="23">E63/C63</f>
        <v>0.92575187969924821</v>
      </c>
      <c r="J63" s="84">
        <f t="shared" ref="J63:J71" si="24">D63/E63</f>
        <v>1.110659898477157</v>
      </c>
      <c r="O63">
        <v>112.7</v>
      </c>
      <c r="P63">
        <v>91.42</v>
      </c>
      <c r="Q63">
        <v>113.24</v>
      </c>
      <c r="R63">
        <v>91.36</v>
      </c>
      <c r="S63">
        <v>115.18</v>
      </c>
      <c r="T63">
        <v>95.48</v>
      </c>
      <c r="V63">
        <v>21.28</v>
      </c>
      <c r="W63">
        <v>21.879999999999995</v>
      </c>
      <c r="X63">
        <v>19.700000000000003</v>
      </c>
    </row>
    <row r="64" spans="2:24" x14ac:dyDescent="0.25">
      <c r="B64" t="s">
        <v>135</v>
      </c>
      <c r="C64">
        <f t="shared" si="19"/>
        <v>21.28</v>
      </c>
      <c r="D64">
        <f t="shared" si="20"/>
        <v>21.860000000000014</v>
      </c>
      <c r="E64">
        <f t="shared" si="21"/>
        <v>19.36</v>
      </c>
      <c r="F64" s="83">
        <v>43638</v>
      </c>
      <c r="H64" s="84">
        <f t="shared" si="22"/>
        <v>1.027255639097745</v>
      </c>
      <c r="I64" s="84">
        <f t="shared" si="23"/>
        <v>0.90977443609022546</v>
      </c>
      <c r="J64" s="84">
        <f t="shared" si="24"/>
        <v>1.1291322314049594</v>
      </c>
      <c r="O64">
        <v>129.6</v>
      </c>
      <c r="P64">
        <v>108.32</v>
      </c>
      <c r="Q64">
        <v>129.68</v>
      </c>
      <c r="R64">
        <v>107.82</v>
      </c>
      <c r="S64">
        <v>128.94</v>
      </c>
      <c r="T64">
        <v>109.58</v>
      </c>
      <c r="V64">
        <v>21.28</v>
      </c>
      <c r="W64">
        <v>21.860000000000014</v>
      </c>
      <c r="X64">
        <v>19.36</v>
      </c>
    </row>
    <row r="65" spans="2:24" x14ac:dyDescent="0.25">
      <c r="B65" t="s">
        <v>136</v>
      </c>
      <c r="C65">
        <f t="shared" si="19"/>
        <v>21.120000000000005</v>
      </c>
      <c r="D65">
        <f t="shared" si="20"/>
        <v>21.540000000000006</v>
      </c>
      <c r="E65">
        <f t="shared" si="21"/>
        <v>19.420000000000016</v>
      </c>
      <c r="F65" s="83">
        <v>43638</v>
      </c>
      <c r="H65" s="84">
        <f t="shared" si="22"/>
        <v>1.0198863636363638</v>
      </c>
      <c r="I65" s="84">
        <f t="shared" si="23"/>
        <v>0.91950757575757636</v>
      </c>
      <c r="J65" s="84">
        <f t="shared" si="24"/>
        <v>1.1091658084449016</v>
      </c>
      <c r="O65">
        <v>132.24</v>
      </c>
      <c r="P65">
        <v>111.12</v>
      </c>
      <c r="Q65">
        <v>132.12</v>
      </c>
      <c r="R65">
        <v>110.58</v>
      </c>
      <c r="S65">
        <v>132.74</v>
      </c>
      <c r="T65">
        <v>113.32</v>
      </c>
      <c r="V65">
        <v>21.120000000000005</v>
      </c>
      <c r="W65">
        <v>21.540000000000006</v>
      </c>
      <c r="X65">
        <v>19.420000000000016</v>
      </c>
    </row>
    <row r="66" spans="2:24" x14ac:dyDescent="0.25">
      <c r="B66" t="s">
        <v>137</v>
      </c>
      <c r="C66">
        <f t="shared" si="19"/>
        <v>21.199999999999989</v>
      </c>
      <c r="D66">
        <f t="shared" si="20"/>
        <v>21.61999999999999</v>
      </c>
      <c r="E66">
        <f t="shared" si="21"/>
        <v>19.239999999999995</v>
      </c>
      <c r="F66" s="83">
        <v>43638</v>
      </c>
      <c r="H66" s="84">
        <f t="shared" si="22"/>
        <v>1.019811320754717</v>
      </c>
      <c r="I66" s="84">
        <f t="shared" si="23"/>
        <v>0.907547169811321</v>
      </c>
      <c r="J66" s="84">
        <f t="shared" si="24"/>
        <v>1.1237006237006235</v>
      </c>
      <c r="O66">
        <v>108.32</v>
      </c>
      <c r="P66">
        <v>87.12</v>
      </c>
      <c r="Q66">
        <v>107.82</v>
      </c>
      <c r="R66">
        <v>86.2</v>
      </c>
      <c r="S66">
        <v>109.58</v>
      </c>
      <c r="T66">
        <v>90.34</v>
      </c>
      <c r="V66">
        <v>21.199999999999989</v>
      </c>
      <c r="W66">
        <v>21.61999999999999</v>
      </c>
      <c r="X66">
        <v>19.239999999999995</v>
      </c>
    </row>
    <row r="67" spans="2:24" x14ac:dyDescent="0.25">
      <c r="B67" t="s">
        <v>138</v>
      </c>
      <c r="C67">
        <f t="shared" si="19"/>
        <v>21.22</v>
      </c>
      <c r="D67">
        <f t="shared" si="20"/>
        <v>21.620000000000005</v>
      </c>
      <c r="E67">
        <f t="shared" si="21"/>
        <v>19.47999999999999</v>
      </c>
      <c r="F67" s="83">
        <v>43638</v>
      </c>
      <c r="H67" s="84">
        <f t="shared" si="22"/>
        <v>1.0188501413760607</v>
      </c>
      <c r="I67" s="84">
        <f t="shared" si="23"/>
        <v>0.91800188501413715</v>
      </c>
      <c r="J67" s="84">
        <f t="shared" si="24"/>
        <v>1.1098562628336763</v>
      </c>
      <c r="O67">
        <v>111.12</v>
      </c>
      <c r="P67">
        <v>89.9</v>
      </c>
      <c r="Q67">
        <v>110.58</v>
      </c>
      <c r="R67">
        <v>88.96</v>
      </c>
      <c r="S67">
        <v>113.32</v>
      </c>
      <c r="T67">
        <v>93.84</v>
      </c>
      <c r="V67">
        <v>21.22</v>
      </c>
      <c r="W67">
        <v>21.620000000000005</v>
      </c>
      <c r="X67">
        <v>19.47999999999999</v>
      </c>
    </row>
    <row r="68" spans="2:24" x14ac:dyDescent="0.25">
      <c r="B68" t="s">
        <v>139</v>
      </c>
      <c r="C68">
        <f t="shared" si="19"/>
        <v>21.060000000000002</v>
      </c>
      <c r="D68">
        <f t="shared" si="20"/>
        <v>21.660000000000011</v>
      </c>
      <c r="E68">
        <f t="shared" si="21"/>
        <v>19.319999999999993</v>
      </c>
      <c r="F68" s="83">
        <v>43638</v>
      </c>
      <c r="H68" s="84">
        <f t="shared" si="22"/>
        <v>1.0284900284900289</v>
      </c>
      <c r="I68" s="84">
        <f t="shared" si="23"/>
        <v>0.91737891737891697</v>
      </c>
      <c r="J68" s="84">
        <f t="shared" si="24"/>
        <v>1.1211180124223612</v>
      </c>
      <c r="O68">
        <v>133.88</v>
      </c>
      <c r="P68">
        <v>112.82</v>
      </c>
      <c r="Q68">
        <v>135.36000000000001</v>
      </c>
      <c r="R68">
        <v>113.7</v>
      </c>
      <c r="S68">
        <v>131.13999999999999</v>
      </c>
      <c r="T68">
        <v>111.82</v>
      </c>
      <c r="V68">
        <v>21.060000000000002</v>
      </c>
      <c r="W68">
        <v>21.660000000000011</v>
      </c>
      <c r="X68">
        <v>19.319999999999993</v>
      </c>
    </row>
    <row r="69" spans="2:24" x14ac:dyDescent="0.25">
      <c r="B69" t="s">
        <v>140</v>
      </c>
      <c r="C69">
        <f t="shared" si="19"/>
        <v>21.060000000000016</v>
      </c>
      <c r="D69">
        <f t="shared" si="20"/>
        <v>21.000000000000014</v>
      </c>
      <c r="E69">
        <f t="shared" si="21"/>
        <v>19.260000000000005</v>
      </c>
      <c r="F69" s="83">
        <v>43638</v>
      </c>
      <c r="H69" s="84">
        <f t="shared" si="22"/>
        <v>0.99715099715099709</v>
      </c>
      <c r="I69" s="84">
        <f t="shared" si="23"/>
        <v>0.91452991452991406</v>
      </c>
      <c r="J69" s="84">
        <f t="shared" si="24"/>
        <v>1.0903426791277262</v>
      </c>
      <c r="O69">
        <v>132.02000000000001</v>
      </c>
      <c r="P69">
        <v>110.96</v>
      </c>
      <c r="Q69">
        <v>131.80000000000001</v>
      </c>
      <c r="R69">
        <v>110.8</v>
      </c>
      <c r="S69">
        <v>132.30000000000001</v>
      </c>
      <c r="T69">
        <v>113.04</v>
      </c>
      <c r="V69">
        <v>21.060000000000016</v>
      </c>
      <c r="W69">
        <v>21.000000000000014</v>
      </c>
      <c r="X69">
        <v>19.260000000000005</v>
      </c>
    </row>
    <row r="70" spans="2:24" x14ac:dyDescent="0.25">
      <c r="B70" t="s">
        <v>141</v>
      </c>
      <c r="C70">
        <f t="shared" si="19"/>
        <v>21.039999999999992</v>
      </c>
      <c r="D70">
        <f t="shared" si="20"/>
        <v>21.28</v>
      </c>
      <c r="E70">
        <f t="shared" si="21"/>
        <v>19.259999999999991</v>
      </c>
      <c r="F70" s="83">
        <v>43638</v>
      </c>
      <c r="H70" s="84">
        <f t="shared" si="22"/>
        <v>1.0114068441064643</v>
      </c>
      <c r="I70" s="84">
        <f t="shared" si="23"/>
        <v>0.91539923954372615</v>
      </c>
      <c r="J70" s="84">
        <f t="shared" si="24"/>
        <v>1.104880581516096</v>
      </c>
      <c r="O70">
        <v>112.82</v>
      </c>
      <c r="P70">
        <v>91.78</v>
      </c>
      <c r="Q70">
        <v>113.7</v>
      </c>
      <c r="R70">
        <v>92.42</v>
      </c>
      <c r="S70">
        <v>111.82</v>
      </c>
      <c r="T70">
        <v>92.56</v>
      </c>
      <c r="V70">
        <v>21.039999999999992</v>
      </c>
      <c r="W70">
        <v>21.28</v>
      </c>
      <c r="X70">
        <v>19.259999999999991</v>
      </c>
    </row>
    <row r="71" spans="2:24" x14ac:dyDescent="0.25">
      <c r="B71" t="s">
        <v>142</v>
      </c>
      <c r="C71">
        <f t="shared" si="19"/>
        <v>21.199999999999989</v>
      </c>
      <c r="D71">
        <f t="shared" si="20"/>
        <v>21.459999999999994</v>
      </c>
      <c r="E71">
        <f t="shared" si="21"/>
        <v>19.480000000000004</v>
      </c>
      <c r="F71" s="83">
        <v>43638</v>
      </c>
      <c r="H71" s="84">
        <f t="shared" si="22"/>
        <v>1.0122641509433965</v>
      </c>
      <c r="I71" s="84">
        <f t="shared" si="23"/>
        <v>0.91886792452830257</v>
      </c>
      <c r="J71" s="84">
        <f t="shared" si="24"/>
        <v>1.1016427104722788</v>
      </c>
      <c r="O71">
        <v>110.96</v>
      </c>
      <c r="P71">
        <v>89.76</v>
      </c>
      <c r="Q71">
        <v>110.8</v>
      </c>
      <c r="R71">
        <v>89.34</v>
      </c>
      <c r="S71">
        <v>113.04</v>
      </c>
      <c r="T71">
        <v>93.56</v>
      </c>
      <c r="V71">
        <v>21.199999999999989</v>
      </c>
      <c r="W71">
        <v>21.459999999999994</v>
      </c>
      <c r="X71">
        <v>19.480000000000004</v>
      </c>
    </row>
    <row r="72" spans="2:24" x14ac:dyDescent="0.25">
      <c r="B72" t="s">
        <v>145</v>
      </c>
      <c r="C72">
        <v>21.02</v>
      </c>
      <c r="D72">
        <v>21.76</v>
      </c>
      <c r="E72">
        <v>24.58</v>
      </c>
      <c r="F72" s="83">
        <v>43638</v>
      </c>
      <c r="H72" s="84">
        <f t="shared" ref="H72" si="25">D72/C72</f>
        <v>1.0352045670789725</v>
      </c>
      <c r="I72" s="84">
        <f t="shared" ref="I72" si="26">E72/C72</f>
        <v>1.1693625118934348</v>
      </c>
      <c r="J72" s="84">
        <f t="shared" ref="J72" si="27">D72/E72</f>
        <v>0.88527257933279102</v>
      </c>
      <c r="L72" s="85">
        <v>8</v>
      </c>
      <c r="M72" t="s">
        <v>191</v>
      </c>
    </row>
    <row r="73" spans="2:24" x14ac:dyDescent="0.25">
      <c r="B73" t="s">
        <v>146</v>
      </c>
      <c r="C73">
        <v>21.74</v>
      </c>
      <c r="D73">
        <v>20.92</v>
      </c>
      <c r="E73">
        <v>20.52</v>
      </c>
      <c r="F73" s="83">
        <v>43641</v>
      </c>
      <c r="H73" s="84">
        <f t="shared" ref="H73:H78" si="28">D73/C73</f>
        <v>0.96228150873965057</v>
      </c>
      <c r="I73" s="84">
        <f t="shared" ref="I73:I78" si="29">E73/C73</f>
        <v>0.94388224471021165</v>
      </c>
      <c r="J73" s="84">
        <f t="shared" ref="J73:J78" si="30">D73/E73</f>
        <v>1.0194931773879143</v>
      </c>
      <c r="L73" s="88">
        <v>4</v>
      </c>
    </row>
    <row r="74" spans="2:24" x14ac:dyDescent="0.25">
      <c r="B74" t="s">
        <v>147</v>
      </c>
      <c r="C74">
        <v>21.48</v>
      </c>
      <c r="D74">
        <v>20.88</v>
      </c>
      <c r="E74">
        <v>19.38</v>
      </c>
      <c r="F74" s="83">
        <v>43641</v>
      </c>
      <c r="H74" s="84">
        <f t="shared" si="28"/>
        <v>0.97206703910614523</v>
      </c>
      <c r="I74" s="84">
        <f t="shared" si="29"/>
        <v>0.90223463687150829</v>
      </c>
      <c r="J74" s="84">
        <f t="shared" si="30"/>
        <v>1.0773993808049536</v>
      </c>
      <c r="L74" s="88">
        <v>5</v>
      </c>
    </row>
    <row r="75" spans="2:24" x14ac:dyDescent="0.25">
      <c r="B75" t="s">
        <v>148</v>
      </c>
      <c r="C75">
        <v>21.26</v>
      </c>
      <c r="D75">
        <v>20.52</v>
      </c>
      <c r="E75">
        <v>19.22</v>
      </c>
      <c r="F75" s="83">
        <v>43641</v>
      </c>
      <c r="H75" s="84">
        <f t="shared" si="28"/>
        <v>0.96519285042333014</v>
      </c>
      <c r="I75" s="84">
        <f t="shared" si="29"/>
        <v>0.90404515522107232</v>
      </c>
      <c r="J75" s="84">
        <f t="shared" si="30"/>
        <v>1.0676378772112383</v>
      </c>
      <c r="L75" s="88">
        <v>6</v>
      </c>
    </row>
    <row r="76" spans="2:24" x14ac:dyDescent="0.25">
      <c r="B76" t="s">
        <v>149</v>
      </c>
      <c r="C76">
        <v>21.24</v>
      </c>
      <c r="D76">
        <v>20</v>
      </c>
      <c r="E76">
        <v>18.54</v>
      </c>
      <c r="F76" s="83">
        <v>43641</v>
      </c>
      <c r="H76" s="84">
        <f t="shared" si="28"/>
        <v>0.94161958568738235</v>
      </c>
      <c r="I76" s="84">
        <f t="shared" si="29"/>
        <v>0.8728813559322034</v>
      </c>
      <c r="J76" s="84">
        <f t="shared" si="30"/>
        <v>1.0787486515641855</v>
      </c>
    </row>
    <row r="77" spans="2:24" x14ac:dyDescent="0.25">
      <c r="B77" t="s">
        <v>150</v>
      </c>
      <c r="C77">
        <v>21.28</v>
      </c>
      <c r="D77">
        <v>20.16</v>
      </c>
      <c r="E77">
        <v>18.62</v>
      </c>
      <c r="F77" s="83">
        <v>43642</v>
      </c>
      <c r="H77" s="84">
        <f t="shared" si="28"/>
        <v>0.94736842105263153</v>
      </c>
      <c r="I77" s="84">
        <f t="shared" si="29"/>
        <v>0.875</v>
      </c>
      <c r="J77" s="84">
        <f t="shared" si="30"/>
        <v>1.0827067669172932</v>
      </c>
    </row>
    <row r="78" spans="2:24" x14ac:dyDescent="0.25">
      <c r="B78" t="s">
        <v>151</v>
      </c>
      <c r="C78">
        <v>21</v>
      </c>
      <c r="D78">
        <v>19.920000000000002</v>
      </c>
      <c r="E78">
        <v>18.38</v>
      </c>
      <c r="F78" s="83">
        <v>43642</v>
      </c>
      <c r="H78" s="84">
        <f t="shared" si="28"/>
        <v>0.94857142857142862</v>
      </c>
      <c r="I78" s="84">
        <f t="shared" si="29"/>
        <v>0.87523809523809515</v>
      </c>
      <c r="J78" s="84">
        <f t="shared" si="30"/>
        <v>1.0837867247007618</v>
      </c>
    </row>
    <row r="79" spans="2:24" x14ac:dyDescent="0.25">
      <c r="B79" t="s">
        <v>156</v>
      </c>
      <c r="C79">
        <v>21.08</v>
      </c>
      <c r="D79">
        <v>19.46</v>
      </c>
      <c r="E79">
        <v>18.440000000000001</v>
      </c>
      <c r="F79" s="83">
        <v>43642</v>
      </c>
      <c r="H79" s="84">
        <f t="shared" ref="H79:H81" si="31">D79/C79</f>
        <v>0.92314990512333972</v>
      </c>
      <c r="I79" s="84">
        <f t="shared" ref="I79:I81" si="32">E79/C79</f>
        <v>0.87476280834914621</v>
      </c>
      <c r="J79" s="84">
        <f t="shared" ref="J79:J81" si="33">D79/E79</f>
        <v>1.0553145336225596</v>
      </c>
    </row>
    <row r="80" spans="2:24" x14ac:dyDescent="0.25">
      <c r="B80" t="s">
        <v>157</v>
      </c>
      <c r="C80">
        <v>21.14</v>
      </c>
      <c r="D80">
        <v>19.32</v>
      </c>
      <c r="E80">
        <v>18.440000000000001</v>
      </c>
      <c r="F80" s="83">
        <v>43642</v>
      </c>
      <c r="H80" s="84">
        <f t="shared" si="31"/>
        <v>0.91390728476821192</v>
      </c>
      <c r="I80" s="84">
        <f t="shared" si="32"/>
        <v>0.87228003784295183</v>
      </c>
      <c r="J80" s="84">
        <f t="shared" si="33"/>
        <v>1.0477223427331888</v>
      </c>
    </row>
    <row r="81" spans="2:17" x14ac:dyDescent="0.25">
      <c r="B81" t="s">
        <v>158</v>
      </c>
      <c r="C81">
        <v>20.88</v>
      </c>
      <c r="D81">
        <v>19.059999999999999</v>
      </c>
      <c r="E81">
        <v>18.22</v>
      </c>
      <c r="F81" s="83">
        <v>43642</v>
      </c>
      <c r="H81" s="84">
        <f t="shared" si="31"/>
        <v>0.91283524904214552</v>
      </c>
      <c r="I81" s="84">
        <f t="shared" si="32"/>
        <v>0.87260536398467436</v>
      </c>
      <c r="J81" s="84">
        <f t="shared" si="33"/>
        <v>1.0461031833150385</v>
      </c>
    </row>
    <row r="82" spans="2:17" x14ac:dyDescent="0.25">
      <c r="B82" t="s">
        <v>155</v>
      </c>
      <c r="C82">
        <v>20.94</v>
      </c>
      <c r="D82">
        <v>20.260000000000002</v>
      </c>
      <c r="E82">
        <v>19.68</v>
      </c>
      <c r="F82" s="83">
        <v>43642</v>
      </c>
      <c r="H82" s="84">
        <f t="shared" ref="H82:H85" si="34">D82/C82</f>
        <v>0.96752626552053489</v>
      </c>
      <c r="I82" s="84">
        <f t="shared" ref="I82:I85" si="35">E82/C82</f>
        <v>0.93982808022922626</v>
      </c>
      <c r="J82" s="84">
        <f t="shared" ref="J82:J85" si="36">D82/E82</f>
        <v>1.0294715447154472</v>
      </c>
      <c r="L82" s="88">
        <v>7</v>
      </c>
    </row>
    <row r="83" spans="2:17" x14ac:dyDescent="0.25">
      <c r="B83" t="s">
        <v>154</v>
      </c>
      <c r="C83">
        <v>20.9</v>
      </c>
      <c r="D83">
        <v>19.88</v>
      </c>
      <c r="E83">
        <v>19.28</v>
      </c>
      <c r="F83" s="83">
        <v>43642</v>
      </c>
      <c r="H83" s="84">
        <f t="shared" si="34"/>
        <v>0.95119617224880382</v>
      </c>
      <c r="I83" s="84">
        <f t="shared" si="35"/>
        <v>0.92248803827751202</v>
      </c>
      <c r="J83" s="84">
        <f t="shared" si="36"/>
        <v>1.0311203319502074</v>
      </c>
      <c r="L83" s="88">
        <v>8</v>
      </c>
    </row>
    <row r="84" spans="2:17" x14ac:dyDescent="0.25">
      <c r="B84" t="s">
        <v>153</v>
      </c>
      <c r="C84">
        <v>20.8</v>
      </c>
      <c r="D84">
        <v>19.5</v>
      </c>
      <c r="E84">
        <v>19.38</v>
      </c>
      <c r="F84" s="83">
        <v>43642</v>
      </c>
      <c r="H84" s="84">
        <f t="shared" si="34"/>
        <v>0.9375</v>
      </c>
      <c r="I84" s="84">
        <f t="shared" si="35"/>
        <v>0.93173076923076914</v>
      </c>
      <c r="J84" s="84">
        <f t="shared" si="36"/>
        <v>1.0061919504643964</v>
      </c>
      <c r="L84" s="88">
        <v>9</v>
      </c>
    </row>
    <row r="85" spans="2:17" x14ac:dyDescent="0.25">
      <c r="B85" t="s">
        <v>152</v>
      </c>
      <c r="C85">
        <v>21.04</v>
      </c>
      <c r="D85">
        <v>20.02</v>
      </c>
      <c r="E85">
        <v>18.98</v>
      </c>
      <c r="F85" s="83">
        <v>43642</v>
      </c>
      <c r="H85" s="84">
        <f t="shared" si="34"/>
        <v>0.95152091254752857</v>
      </c>
      <c r="I85" s="84">
        <f t="shared" si="35"/>
        <v>0.90209125475285179</v>
      </c>
      <c r="J85" s="84">
        <f t="shared" si="36"/>
        <v>1.0547945205479452</v>
      </c>
      <c r="L85" s="88">
        <v>10</v>
      </c>
    </row>
    <row r="86" spans="2:17" x14ac:dyDescent="0.25">
      <c r="B86" t="s">
        <v>159</v>
      </c>
      <c r="C86">
        <v>21.24</v>
      </c>
      <c r="D86">
        <v>20.48</v>
      </c>
      <c r="E86">
        <v>0</v>
      </c>
      <c r="F86" s="83">
        <v>43643</v>
      </c>
      <c r="H86" s="84">
        <f t="shared" ref="H86:H93" si="37">D86/C86</f>
        <v>0.96421845574387954</v>
      </c>
      <c r="I86" s="84">
        <f t="shared" ref="I86:I91" si="38">E86/C86</f>
        <v>0</v>
      </c>
      <c r="J86" s="84"/>
      <c r="L86" s="92">
        <v>1</v>
      </c>
      <c r="M86" t="s">
        <v>202</v>
      </c>
      <c r="O86" t="s">
        <v>169</v>
      </c>
      <c r="P86" t="s">
        <v>170</v>
      </c>
      <c r="Q86" t="s">
        <v>171</v>
      </c>
    </row>
    <row r="87" spans="2:17" x14ac:dyDescent="0.25">
      <c r="B87" t="s">
        <v>160</v>
      </c>
      <c r="C87">
        <v>21.28</v>
      </c>
      <c r="D87">
        <v>20.88</v>
      </c>
      <c r="E87">
        <v>0</v>
      </c>
      <c r="F87" s="83">
        <v>43643</v>
      </c>
      <c r="H87" s="84">
        <f t="shared" si="37"/>
        <v>0.98120300751879685</v>
      </c>
      <c r="I87" s="84">
        <f t="shared" si="38"/>
        <v>0</v>
      </c>
      <c r="J87" s="84"/>
      <c r="L87" s="92">
        <v>2</v>
      </c>
      <c r="M87" t="s">
        <v>202</v>
      </c>
      <c r="O87" s="84">
        <f>AVERAGE(H86:H88)</f>
        <v>0.9724613600283688</v>
      </c>
      <c r="P87" s="84">
        <f>AVERAGE(J4:J8,J23:J24,J38:J40,J72,J95)</f>
        <v>1.0265562579719223</v>
      </c>
      <c r="Q87">
        <f>O87/P87</f>
        <v>0.94730449741700073</v>
      </c>
    </row>
    <row r="88" spans="2:17" x14ac:dyDescent="0.25">
      <c r="B88" t="s">
        <v>161</v>
      </c>
      <c r="C88">
        <v>21.4</v>
      </c>
      <c r="D88">
        <v>20.8</v>
      </c>
      <c r="E88">
        <v>0</v>
      </c>
      <c r="F88" s="83">
        <v>43643</v>
      </c>
      <c r="H88" s="84">
        <f t="shared" si="37"/>
        <v>0.97196261682243001</v>
      </c>
      <c r="I88" s="84">
        <f t="shared" si="38"/>
        <v>0</v>
      </c>
      <c r="J88" s="84"/>
      <c r="L88" s="92">
        <v>3</v>
      </c>
      <c r="M88" t="s">
        <v>202</v>
      </c>
    </row>
    <row r="89" spans="2:17" x14ac:dyDescent="0.25">
      <c r="B89" t="s">
        <v>162</v>
      </c>
      <c r="C89">
        <v>21.24</v>
      </c>
      <c r="D89">
        <v>0</v>
      </c>
      <c r="E89">
        <v>23.86</v>
      </c>
      <c r="F89" s="83">
        <v>43643</v>
      </c>
      <c r="H89" s="84">
        <f t="shared" si="37"/>
        <v>0</v>
      </c>
      <c r="I89" s="84">
        <f t="shared" si="38"/>
        <v>1.1233521657250471</v>
      </c>
      <c r="J89" s="84"/>
      <c r="L89" s="90">
        <v>1</v>
      </c>
      <c r="M89" t="s">
        <v>193</v>
      </c>
    </row>
    <row r="90" spans="2:17" x14ac:dyDescent="0.25">
      <c r="B90" t="s">
        <v>163</v>
      </c>
      <c r="C90">
        <v>21.28</v>
      </c>
      <c r="D90">
        <v>0</v>
      </c>
      <c r="E90">
        <v>24.14</v>
      </c>
      <c r="F90" s="83">
        <v>43643</v>
      </c>
      <c r="H90" s="84">
        <f t="shared" si="37"/>
        <v>0</v>
      </c>
      <c r="I90" s="84">
        <f t="shared" si="38"/>
        <v>1.1343984962406015</v>
      </c>
      <c r="J90" s="84"/>
      <c r="L90" s="90">
        <v>2</v>
      </c>
      <c r="M90" t="s">
        <v>193</v>
      </c>
    </row>
    <row r="91" spans="2:17" x14ac:dyDescent="0.25">
      <c r="B91" t="s">
        <v>164</v>
      </c>
      <c r="C91">
        <v>21.4</v>
      </c>
      <c r="D91">
        <v>0</v>
      </c>
      <c r="E91">
        <v>24.36</v>
      </c>
      <c r="F91" s="83">
        <v>43643</v>
      </c>
      <c r="H91" s="84">
        <f t="shared" si="37"/>
        <v>0</v>
      </c>
      <c r="I91" s="84">
        <f t="shared" si="38"/>
        <v>1.1383177570093459</v>
      </c>
      <c r="J91" s="84"/>
      <c r="L91" s="90">
        <v>3</v>
      </c>
      <c r="M91" t="s">
        <v>193</v>
      </c>
    </row>
    <row r="92" spans="2:17" x14ac:dyDescent="0.25">
      <c r="B92" t="s">
        <v>165</v>
      </c>
      <c r="C92">
        <v>20.9</v>
      </c>
      <c r="D92">
        <v>21.3</v>
      </c>
      <c r="E92">
        <v>18.98</v>
      </c>
      <c r="F92" s="83">
        <v>43643</v>
      </c>
      <c r="H92" s="84">
        <f t="shared" si="37"/>
        <v>1.0191387559808613</v>
      </c>
      <c r="I92" s="84">
        <f t="shared" ref="I92:I93" si="39">E92/C92</f>
        <v>0.90813397129186613</v>
      </c>
      <c r="J92" s="84">
        <f t="shared" ref="J92:J93" si="40">D92/E92</f>
        <v>1.1222339304531086</v>
      </c>
    </row>
    <row r="93" spans="2:17" x14ac:dyDescent="0.25">
      <c r="B93" t="s">
        <v>166</v>
      </c>
      <c r="C93">
        <v>20.88</v>
      </c>
      <c r="D93">
        <v>20.54</v>
      </c>
      <c r="E93">
        <v>18.48</v>
      </c>
      <c r="F93" s="83">
        <v>43643</v>
      </c>
      <c r="H93" s="84">
        <f t="shared" si="37"/>
        <v>0.98371647509578541</v>
      </c>
      <c r="I93" s="84">
        <f t="shared" si="39"/>
        <v>0.88505747126436785</v>
      </c>
      <c r="J93" s="84">
        <f t="shared" si="40"/>
        <v>1.1114718614718615</v>
      </c>
    </row>
    <row r="94" spans="2:17" x14ac:dyDescent="0.25">
      <c r="B94" t="s">
        <v>167</v>
      </c>
      <c r="C94">
        <v>21.14</v>
      </c>
      <c r="D94">
        <v>21.78</v>
      </c>
      <c r="E94">
        <v>21.16</v>
      </c>
      <c r="F94" s="83">
        <v>43643</v>
      </c>
      <c r="H94" s="84">
        <f t="shared" ref="H94:H95" si="41">D94/C94</f>
        <v>1.0302743614001892</v>
      </c>
      <c r="I94" s="84">
        <f t="shared" ref="I94:I95" si="42">E94/C94</f>
        <v>1.0009460737937559</v>
      </c>
      <c r="J94" s="84">
        <f t="shared" ref="J94:J95" si="43">D94/E94</f>
        <v>1.0293005671077504</v>
      </c>
    </row>
    <row r="95" spans="2:17" x14ac:dyDescent="0.25">
      <c r="B95" t="s">
        <v>168</v>
      </c>
      <c r="C95">
        <v>20.7</v>
      </c>
      <c r="D95">
        <v>21.42</v>
      </c>
      <c r="E95">
        <v>20.9</v>
      </c>
      <c r="F95" s="83">
        <v>43643</v>
      </c>
      <c r="H95" s="84">
        <f t="shared" si="41"/>
        <v>1.0347826086956522</v>
      </c>
      <c r="I95" s="84">
        <f t="shared" si="42"/>
        <v>1.0096618357487923</v>
      </c>
      <c r="J95" s="84">
        <f t="shared" si="43"/>
        <v>1.0248803827751198</v>
      </c>
      <c r="L95" s="85">
        <v>9</v>
      </c>
      <c r="M95" t="s">
        <v>190</v>
      </c>
    </row>
    <row r="96" spans="2:17" x14ac:dyDescent="0.25">
      <c r="B96" t="s">
        <v>172</v>
      </c>
      <c r="C96">
        <v>21.36</v>
      </c>
      <c r="D96">
        <v>20.62</v>
      </c>
      <c r="E96">
        <v>18.82</v>
      </c>
      <c r="F96" s="83">
        <v>43644</v>
      </c>
      <c r="H96" s="84">
        <f t="shared" ref="H96:H100" si="44">D96/C96</f>
        <v>0.96535580524344577</v>
      </c>
      <c r="I96" s="84">
        <f t="shared" ref="I96:I100" si="45">E96/C96</f>
        <v>0.88108614232209737</v>
      </c>
      <c r="J96" s="84">
        <f t="shared" ref="J96:J100" si="46">D96/E96</f>
        <v>1.0956429330499469</v>
      </c>
    </row>
    <row r="97" spans="2:13" x14ac:dyDescent="0.25">
      <c r="B97" t="s">
        <v>173</v>
      </c>
      <c r="C97">
        <v>21.12</v>
      </c>
      <c r="D97">
        <v>19.920000000000002</v>
      </c>
      <c r="E97">
        <v>18.559999999999999</v>
      </c>
      <c r="F97" s="83">
        <v>43644</v>
      </c>
      <c r="H97" s="84">
        <f t="shared" si="44"/>
        <v>0.94318181818181823</v>
      </c>
      <c r="I97" s="84">
        <f t="shared" si="45"/>
        <v>0.87878787878787867</v>
      </c>
      <c r="J97" s="84">
        <f t="shared" si="46"/>
        <v>1.0732758620689657</v>
      </c>
    </row>
    <row r="98" spans="2:13" x14ac:dyDescent="0.25">
      <c r="B98" t="s">
        <v>174</v>
      </c>
      <c r="C98">
        <v>20.8</v>
      </c>
      <c r="D98">
        <v>20.239999999999998</v>
      </c>
      <c r="E98">
        <v>18.5</v>
      </c>
      <c r="F98" s="83">
        <v>43644</v>
      </c>
      <c r="H98" s="84">
        <f t="shared" si="44"/>
        <v>0.97307692307692295</v>
      </c>
      <c r="I98" s="84">
        <f t="shared" si="45"/>
        <v>0.88942307692307687</v>
      </c>
      <c r="J98" s="84">
        <f t="shared" si="46"/>
        <v>1.094054054054054</v>
      </c>
    </row>
    <row r="99" spans="2:13" x14ac:dyDescent="0.25">
      <c r="B99" t="s">
        <v>175</v>
      </c>
      <c r="C99">
        <v>20.76</v>
      </c>
      <c r="D99">
        <v>19.940000000000001</v>
      </c>
      <c r="E99">
        <v>18.36</v>
      </c>
      <c r="F99" s="83">
        <v>43644</v>
      </c>
      <c r="H99" s="84">
        <f t="shared" si="44"/>
        <v>0.96050096339113678</v>
      </c>
      <c r="I99" s="84">
        <f t="shared" si="45"/>
        <v>0.88439306358381498</v>
      </c>
      <c r="J99" s="84">
        <f t="shared" si="46"/>
        <v>1.0860566448801745</v>
      </c>
    </row>
    <row r="100" spans="2:13" x14ac:dyDescent="0.25">
      <c r="B100" t="s">
        <v>176</v>
      </c>
      <c r="C100">
        <v>20.92</v>
      </c>
      <c r="D100">
        <v>20.12</v>
      </c>
      <c r="E100">
        <v>18.440000000000001</v>
      </c>
      <c r="F100" s="83">
        <v>43644</v>
      </c>
      <c r="H100" s="84">
        <f t="shared" si="44"/>
        <v>0.96175908221797324</v>
      </c>
      <c r="I100" s="84">
        <f t="shared" si="45"/>
        <v>0.88145315487571696</v>
      </c>
      <c r="J100" s="84">
        <f t="shared" si="46"/>
        <v>1.0911062906724511</v>
      </c>
    </row>
    <row r="101" spans="2:13" x14ac:dyDescent="0.25">
      <c r="B101" t="s">
        <v>177</v>
      </c>
      <c r="C101">
        <v>20.92</v>
      </c>
      <c r="E101">
        <v>20.34</v>
      </c>
      <c r="F101" s="83">
        <v>43645</v>
      </c>
      <c r="H101" s="84">
        <f t="shared" ref="H101:H102" si="47">D101/C101</f>
        <v>0</v>
      </c>
      <c r="I101" s="84">
        <f t="shared" ref="I101:I102" si="48">E101/C101</f>
        <v>0.97227533460803051</v>
      </c>
      <c r="J101" s="84">
        <f t="shared" ref="J101:J102" si="49">D101/E101</f>
        <v>0</v>
      </c>
      <c r="L101" s="93">
        <v>1</v>
      </c>
      <c r="M101" t="s">
        <v>203</v>
      </c>
    </row>
    <row r="102" spans="2:13" x14ac:dyDescent="0.25">
      <c r="B102" t="s">
        <v>178</v>
      </c>
      <c r="C102">
        <v>20.8</v>
      </c>
      <c r="E102">
        <v>19.98</v>
      </c>
      <c r="F102" s="83">
        <v>43645</v>
      </c>
      <c r="H102" s="84">
        <f t="shared" si="47"/>
        <v>0</v>
      </c>
      <c r="I102" s="84">
        <f t="shared" si="48"/>
        <v>0.96057692307692311</v>
      </c>
      <c r="J102" s="84">
        <f t="shared" si="49"/>
        <v>0</v>
      </c>
      <c r="L102" s="93">
        <v>2</v>
      </c>
      <c r="M102" t="s">
        <v>203</v>
      </c>
    </row>
    <row r="103" spans="2:13" x14ac:dyDescent="0.25">
      <c r="B103" t="s">
        <v>179</v>
      </c>
      <c r="C103">
        <v>20.92</v>
      </c>
      <c r="D103">
        <v>20.78</v>
      </c>
      <c r="F103" s="83">
        <v>43645</v>
      </c>
      <c r="H103" s="84">
        <f t="shared" ref="H103:H104" si="50">D103/C103</f>
        <v>0.99330783938814526</v>
      </c>
      <c r="I103" s="84">
        <f t="shared" ref="I103:I104" si="51">E103/C103</f>
        <v>0</v>
      </c>
      <c r="J103" s="84" t="e">
        <f t="shared" ref="J103:J104" si="52">D103/E103</f>
        <v>#DIV/0!</v>
      </c>
    </row>
    <row r="104" spans="2:13" x14ac:dyDescent="0.25">
      <c r="B104" t="s">
        <v>180</v>
      </c>
      <c r="C104">
        <v>20.8</v>
      </c>
      <c r="D104">
        <v>20.68</v>
      </c>
      <c r="F104" s="83">
        <v>43645</v>
      </c>
      <c r="H104" s="84">
        <f t="shared" si="50"/>
        <v>0.99423076923076914</v>
      </c>
      <c r="I104" s="84">
        <f t="shared" si="51"/>
        <v>0</v>
      </c>
      <c r="J104" s="84" t="e">
        <f t="shared" si="52"/>
        <v>#DIV/0!</v>
      </c>
    </row>
    <row r="105" spans="2:13" x14ac:dyDescent="0.25">
      <c r="B105" t="s">
        <v>181</v>
      </c>
      <c r="C105">
        <v>21.5</v>
      </c>
      <c r="E105">
        <v>20.64</v>
      </c>
      <c r="F105" s="83">
        <v>43646</v>
      </c>
      <c r="H105" s="84">
        <f t="shared" ref="H105:H106" si="53">D105/C105</f>
        <v>0</v>
      </c>
      <c r="I105" s="84">
        <f t="shared" ref="I105:I106" si="54">E105/C105</f>
        <v>0.96000000000000008</v>
      </c>
      <c r="J105" s="84">
        <f t="shared" ref="J105:J106" si="55">D105/E105</f>
        <v>0</v>
      </c>
      <c r="L105" s="93">
        <v>3</v>
      </c>
      <c r="M105" t="s">
        <v>203</v>
      </c>
    </row>
    <row r="106" spans="2:13" x14ac:dyDescent="0.25">
      <c r="B106" t="s">
        <v>182</v>
      </c>
      <c r="C106">
        <v>21.5</v>
      </c>
      <c r="D106">
        <v>21.34</v>
      </c>
      <c r="F106" s="83">
        <v>43646</v>
      </c>
      <c r="H106" s="84">
        <f t="shared" si="53"/>
        <v>0.9925581395348837</v>
      </c>
      <c r="I106" s="84">
        <f t="shared" si="54"/>
        <v>0</v>
      </c>
      <c r="J106" s="84" t="e">
        <f t="shared" si="55"/>
        <v>#DIV/0!</v>
      </c>
    </row>
    <row r="107" spans="2:13" x14ac:dyDescent="0.25">
      <c r="B107" s="95" t="s">
        <v>183</v>
      </c>
      <c r="C107">
        <v>21.48</v>
      </c>
      <c r="D107">
        <v>21.74</v>
      </c>
      <c r="E107">
        <v>21.7</v>
      </c>
      <c r="F107" s="83">
        <v>43646</v>
      </c>
      <c r="H107" s="84">
        <f t="shared" ref="H107:H113" si="56">D107/C107</f>
        <v>1.0121042830540037</v>
      </c>
      <c r="I107" s="84">
        <f t="shared" ref="I107:I113" si="57">E107/C107</f>
        <v>1.0102420856610801</v>
      </c>
      <c r="J107" s="84">
        <f t="shared" ref="J107:J113" si="58">D107/E107</f>
        <v>1.0018433179723503</v>
      </c>
    </row>
    <row r="108" spans="2:13" x14ac:dyDescent="0.25">
      <c r="B108" s="95" t="s">
        <v>184</v>
      </c>
      <c r="C108">
        <v>21.12</v>
      </c>
      <c r="D108">
        <v>21.62</v>
      </c>
      <c r="E108">
        <v>21.66</v>
      </c>
      <c r="F108" s="83">
        <v>43646</v>
      </c>
      <c r="H108" s="84">
        <f t="shared" si="56"/>
        <v>1.0236742424242424</v>
      </c>
      <c r="I108" s="84">
        <f t="shared" si="57"/>
        <v>1.0255681818181819</v>
      </c>
      <c r="J108" s="84">
        <f t="shared" si="58"/>
        <v>0.9981532779316713</v>
      </c>
    </row>
    <row r="109" spans="2:13" x14ac:dyDescent="0.25">
      <c r="B109" s="95" t="s">
        <v>185</v>
      </c>
      <c r="C109">
        <v>21.42</v>
      </c>
      <c r="D109">
        <v>21.66</v>
      </c>
      <c r="E109">
        <v>21.88</v>
      </c>
      <c r="F109" s="83">
        <v>43646</v>
      </c>
      <c r="H109" s="84">
        <f t="shared" si="56"/>
        <v>1.011204481792717</v>
      </c>
      <c r="I109" s="84">
        <f t="shared" si="57"/>
        <v>1.0214752567693743</v>
      </c>
      <c r="J109" s="84">
        <f t="shared" si="58"/>
        <v>0.98994515539305306</v>
      </c>
    </row>
    <row r="110" spans="2:13" x14ac:dyDescent="0.25">
      <c r="B110" s="95" t="s">
        <v>186</v>
      </c>
      <c r="C110">
        <v>20.94</v>
      </c>
      <c r="D110">
        <v>20.76</v>
      </c>
      <c r="E110">
        <v>21.34</v>
      </c>
      <c r="F110" s="83">
        <v>43646</v>
      </c>
      <c r="H110" s="84">
        <f t="shared" si="56"/>
        <v>0.99140401146131807</v>
      </c>
      <c r="I110" s="84">
        <f t="shared" si="57"/>
        <v>1.0191021967526266</v>
      </c>
      <c r="J110" s="84">
        <f t="shared" si="58"/>
        <v>0.9728209934395502</v>
      </c>
    </row>
    <row r="111" spans="2:13" x14ac:dyDescent="0.25">
      <c r="B111" s="95" t="s">
        <v>187</v>
      </c>
      <c r="C111">
        <v>20.94</v>
      </c>
      <c r="D111">
        <v>20.72</v>
      </c>
      <c r="E111">
        <v>21.52</v>
      </c>
      <c r="F111" s="83">
        <v>43646</v>
      </c>
      <c r="H111" s="84">
        <f t="shared" si="56"/>
        <v>0.98949379178605523</v>
      </c>
      <c r="I111" s="84">
        <f t="shared" si="57"/>
        <v>1.0276981852913085</v>
      </c>
      <c r="J111" s="84">
        <f t="shared" si="58"/>
        <v>0.96282527881040891</v>
      </c>
    </row>
    <row r="112" spans="2:13" x14ac:dyDescent="0.25">
      <c r="B112" s="95" t="s">
        <v>188</v>
      </c>
      <c r="C112">
        <v>21.2</v>
      </c>
      <c r="D112">
        <v>20.8</v>
      </c>
      <c r="E112">
        <v>21.5</v>
      </c>
      <c r="F112" s="83">
        <v>43646</v>
      </c>
      <c r="H112" s="84">
        <f t="shared" si="56"/>
        <v>0.98113207547169823</v>
      </c>
      <c r="I112" s="84">
        <f t="shared" si="57"/>
        <v>1.0141509433962264</v>
      </c>
      <c r="J112" s="84">
        <f t="shared" si="58"/>
        <v>0.96744186046511627</v>
      </c>
    </row>
    <row r="113" spans="2:10" x14ac:dyDescent="0.25">
      <c r="B113" s="95" t="s">
        <v>189</v>
      </c>
      <c r="C113">
        <v>21.32</v>
      </c>
      <c r="D113">
        <v>22.08</v>
      </c>
      <c r="E113">
        <v>22.86</v>
      </c>
      <c r="F113" s="83">
        <v>43646</v>
      </c>
      <c r="H113" s="84">
        <f t="shared" si="56"/>
        <v>1.0356472795497185</v>
      </c>
      <c r="I113" s="84">
        <f t="shared" si="57"/>
        <v>1.072232645403377</v>
      </c>
      <c r="J113" s="84">
        <f t="shared" si="58"/>
        <v>0.9658792650918635</v>
      </c>
    </row>
  </sheetData>
  <sheetProtection sheet="1" objects="1" scenarios="1"/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49"/>
  <sheetViews>
    <sheetView zoomScale="84" zoomScaleNormal="84" workbookViewId="0">
      <selection activeCell="J7" sqref="J7:J9"/>
    </sheetView>
  </sheetViews>
  <sheetFormatPr defaultColWidth="8.85546875" defaultRowHeight="15" x14ac:dyDescent="0.25"/>
  <cols>
    <col min="1" max="1" width="2.28515625" customWidth="1"/>
    <col min="3" max="3" width="13" customWidth="1"/>
    <col min="4" max="5" width="10.28515625" customWidth="1"/>
    <col min="6" max="6" width="7.42578125" customWidth="1"/>
    <col min="11" max="11" width="6.28515625" customWidth="1"/>
    <col min="12" max="12" width="17" customWidth="1"/>
    <col min="13" max="13" width="11.28515625" customWidth="1"/>
    <col min="14" max="14" width="10.28515625" customWidth="1"/>
    <col min="15" max="15" width="8.5703125" customWidth="1"/>
  </cols>
  <sheetData>
    <row r="1" spans="1:34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34" ht="18.75" x14ac:dyDescent="0.3">
      <c r="A2" s="13"/>
      <c r="B2" s="29" t="s">
        <v>28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ht="15.75" thickBo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ht="15.75" thickBot="1" x14ac:dyDescent="0.3">
      <c r="A4" s="13"/>
      <c r="B4" s="96" t="s">
        <v>47</v>
      </c>
      <c r="C4" s="97"/>
      <c r="D4" s="97"/>
      <c r="E4" s="98"/>
      <c r="F4" s="1"/>
      <c r="G4" s="99" t="s">
        <v>48</v>
      </c>
      <c r="H4" s="100"/>
      <c r="I4" s="100"/>
      <c r="J4" s="101"/>
      <c r="K4" s="13"/>
      <c r="L4" s="53" t="s">
        <v>40</v>
      </c>
      <c r="M4" s="54"/>
      <c r="N4" s="55"/>
      <c r="O4" s="56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ht="15.75" thickBot="1" x14ac:dyDescent="0.3">
      <c r="A5" s="13"/>
      <c r="B5" s="48"/>
      <c r="C5" s="102" t="s">
        <v>6</v>
      </c>
      <c r="D5" s="102"/>
      <c r="E5" s="49"/>
      <c r="F5" s="1"/>
      <c r="G5" s="50"/>
      <c r="H5" s="102" t="s">
        <v>6</v>
      </c>
      <c r="I5" s="102"/>
      <c r="J5" s="49"/>
      <c r="K5" s="13"/>
      <c r="L5" s="57"/>
      <c r="M5" s="58" t="s">
        <v>25</v>
      </c>
      <c r="N5" s="103" t="s">
        <v>51</v>
      </c>
      <c r="O5" s="104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9.5" thickBot="1" x14ac:dyDescent="0.35">
      <c r="A6" s="13"/>
      <c r="B6" s="48" t="s">
        <v>7</v>
      </c>
      <c r="C6" s="52" t="s">
        <v>5</v>
      </c>
      <c r="D6" s="52" t="s">
        <v>49</v>
      </c>
      <c r="E6" s="49" t="s">
        <v>8</v>
      </c>
      <c r="F6" s="1"/>
      <c r="G6" s="48" t="s">
        <v>7</v>
      </c>
      <c r="H6" s="52" t="s">
        <v>5</v>
      </c>
      <c r="I6" s="52" t="s">
        <v>50</v>
      </c>
      <c r="J6" s="49" t="s">
        <v>8</v>
      </c>
      <c r="K6" s="13"/>
      <c r="L6" s="59" t="s">
        <v>30</v>
      </c>
      <c r="M6" s="60">
        <f>D29/(D25)</f>
        <v>0.10663867380323568</v>
      </c>
      <c r="N6" s="61" t="s">
        <v>52</v>
      </c>
      <c r="O6" s="62">
        <f>D43*D44/D25</f>
        <v>1.2149445963944122E-2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19.5" thickBot="1" x14ac:dyDescent="0.35">
      <c r="A7" s="13"/>
      <c r="B7" s="11">
        <v>1</v>
      </c>
      <c r="C7" s="73">
        <v>21.96</v>
      </c>
      <c r="D7" s="74">
        <v>21.58</v>
      </c>
      <c r="E7" s="45">
        <f t="shared" ref="E7:E21" si="0">IF(OR(D7="",C7=""),"",C7/D7)</f>
        <v>1.0176088971269694</v>
      </c>
      <c r="F7" s="1"/>
      <c r="G7" s="11">
        <v>1</v>
      </c>
      <c r="H7" s="73">
        <v>19.55</v>
      </c>
      <c r="I7" s="74">
        <v>21.6</v>
      </c>
      <c r="J7" s="45">
        <f t="shared" ref="J7:J21" si="1">IF(OR(I7="",H7=""),"",H7/I7)</f>
        <v>0.90509259259259256</v>
      </c>
      <c r="K7" s="13"/>
      <c r="L7" s="63" t="s">
        <v>31</v>
      </c>
      <c r="M7" s="64">
        <f>D29/(E25)</f>
        <v>0.11936790935110204</v>
      </c>
      <c r="N7" s="65" t="s">
        <v>52</v>
      </c>
      <c r="O7" s="66">
        <f>D43*D44/E25</f>
        <v>1.3599699928434317E-2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 x14ac:dyDescent="0.25">
      <c r="A8" s="13"/>
      <c r="B8" s="12">
        <v>2</v>
      </c>
      <c r="C8" s="75">
        <v>21.46</v>
      </c>
      <c r="D8" s="76">
        <v>21.5</v>
      </c>
      <c r="E8" s="46">
        <f t="shared" si="0"/>
        <v>0.99813953488372098</v>
      </c>
      <c r="F8" s="1"/>
      <c r="G8" s="12">
        <v>2</v>
      </c>
      <c r="H8" s="75">
        <v>19.2</v>
      </c>
      <c r="I8" s="76">
        <v>21.12</v>
      </c>
      <c r="J8" s="46">
        <f t="shared" si="1"/>
        <v>0.90909090909090906</v>
      </c>
      <c r="K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4" x14ac:dyDescent="0.25">
      <c r="A9" s="13"/>
      <c r="B9" s="12">
        <v>3</v>
      </c>
      <c r="C9" s="75">
        <v>20.76</v>
      </c>
      <c r="D9" s="76">
        <v>20.54</v>
      </c>
      <c r="E9" s="46">
        <f t="shared" si="0"/>
        <v>1.0107108081791627</v>
      </c>
      <c r="F9" s="1"/>
      <c r="G9" s="12">
        <v>3</v>
      </c>
      <c r="H9" s="75">
        <v>19.100000000000001</v>
      </c>
      <c r="I9" s="76">
        <v>21.38</v>
      </c>
      <c r="J9" s="46">
        <f t="shared" si="1"/>
        <v>0.89335827876520124</v>
      </c>
      <c r="K9" s="13"/>
      <c r="L9" s="51" t="s">
        <v>41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x14ac:dyDescent="0.25">
      <c r="A10" s="13"/>
      <c r="B10" s="12">
        <v>4</v>
      </c>
      <c r="C10" s="77">
        <v>20.86</v>
      </c>
      <c r="D10" s="78">
        <v>20.52</v>
      </c>
      <c r="E10" s="46">
        <f t="shared" si="0"/>
        <v>1.0165692007797271</v>
      </c>
      <c r="F10" s="1"/>
      <c r="G10" s="12">
        <v>4</v>
      </c>
      <c r="H10" s="77"/>
      <c r="I10" s="78"/>
      <c r="J10" s="46" t="str">
        <f t="shared" si="1"/>
        <v/>
      </c>
      <c r="K10" s="13"/>
      <c r="L10" s="13" t="s">
        <v>42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x14ac:dyDescent="0.25">
      <c r="A11" s="13"/>
      <c r="B11" s="12">
        <v>5</v>
      </c>
      <c r="C11" s="77">
        <v>20.68</v>
      </c>
      <c r="D11" s="78">
        <v>20.5</v>
      </c>
      <c r="E11" s="46">
        <f t="shared" si="0"/>
        <v>1.0087804878048781</v>
      </c>
      <c r="F11" s="1"/>
      <c r="G11" s="12">
        <v>5</v>
      </c>
      <c r="H11" s="77"/>
      <c r="I11" s="78"/>
      <c r="J11" s="46" t="str">
        <f t="shared" si="1"/>
        <v/>
      </c>
      <c r="K11" s="13"/>
      <c r="L11" s="13" t="s">
        <v>43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x14ac:dyDescent="0.25">
      <c r="A12" s="13"/>
      <c r="B12" s="12">
        <v>6</v>
      </c>
      <c r="C12" s="79">
        <v>20.9</v>
      </c>
      <c r="D12" s="80">
        <v>20.7</v>
      </c>
      <c r="E12" s="46">
        <f t="shared" si="0"/>
        <v>1.0096618357487923</v>
      </c>
      <c r="F12" s="13"/>
      <c r="G12" s="12">
        <v>6</v>
      </c>
      <c r="H12" s="79"/>
      <c r="I12" s="80"/>
      <c r="J12" s="46" t="str">
        <f t="shared" si="1"/>
        <v/>
      </c>
      <c r="K12" s="13"/>
      <c r="L12" s="13" t="s">
        <v>45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x14ac:dyDescent="0.25">
      <c r="A13" s="13"/>
      <c r="B13" s="12">
        <v>7</v>
      </c>
      <c r="C13" s="79"/>
      <c r="D13" s="80"/>
      <c r="E13" s="46" t="str">
        <f t="shared" si="0"/>
        <v/>
      </c>
      <c r="F13" s="13"/>
      <c r="G13" s="12">
        <v>7</v>
      </c>
      <c r="H13" s="79"/>
      <c r="I13" s="80"/>
      <c r="J13" s="46" t="str">
        <f t="shared" si="1"/>
        <v/>
      </c>
      <c r="K13" s="13"/>
      <c r="L13" s="13" t="s">
        <v>44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 x14ac:dyDescent="0.25">
      <c r="A14" s="13"/>
      <c r="B14" s="12">
        <v>8</v>
      </c>
      <c r="C14" s="79"/>
      <c r="D14" s="80"/>
      <c r="E14" s="46" t="str">
        <f t="shared" si="0"/>
        <v/>
      </c>
      <c r="F14" s="13"/>
      <c r="G14" s="12">
        <v>8</v>
      </c>
      <c r="H14" s="79"/>
      <c r="I14" s="80"/>
      <c r="J14" s="46" t="str">
        <f t="shared" si="1"/>
        <v/>
      </c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x14ac:dyDescent="0.25">
      <c r="A15" s="13"/>
      <c r="B15" s="12">
        <v>9</v>
      </c>
      <c r="C15" s="79"/>
      <c r="D15" s="80"/>
      <c r="E15" s="46" t="str">
        <f t="shared" si="0"/>
        <v/>
      </c>
      <c r="F15" s="13"/>
      <c r="G15" s="12">
        <v>9</v>
      </c>
      <c r="H15" s="79"/>
      <c r="I15" s="80"/>
      <c r="J15" s="46" t="str">
        <f t="shared" si="1"/>
        <v/>
      </c>
      <c r="K15" s="13"/>
      <c r="L15" s="51" t="s">
        <v>39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x14ac:dyDescent="0.25">
      <c r="A16" s="13"/>
      <c r="B16" s="12">
        <v>10</v>
      </c>
      <c r="C16" s="79"/>
      <c r="D16" s="80"/>
      <c r="E16" s="46" t="str">
        <f t="shared" si="0"/>
        <v/>
      </c>
      <c r="F16" s="13"/>
      <c r="G16" s="12">
        <v>10</v>
      </c>
      <c r="H16" s="79"/>
      <c r="I16" s="80"/>
      <c r="J16" s="46" t="str">
        <f t="shared" si="1"/>
        <v/>
      </c>
      <c r="K16" s="13"/>
      <c r="L16" s="67" t="s">
        <v>53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4" x14ac:dyDescent="0.25">
      <c r="A17" s="13"/>
      <c r="B17" s="12">
        <v>11</v>
      </c>
      <c r="C17" s="79"/>
      <c r="D17" s="80"/>
      <c r="E17" s="46" t="str">
        <f t="shared" si="0"/>
        <v/>
      </c>
      <c r="F17" s="13"/>
      <c r="G17" s="12">
        <v>11</v>
      </c>
      <c r="H17" s="79"/>
      <c r="I17" s="80"/>
      <c r="J17" s="46" t="str">
        <f t="shared" si="1"/>
        <v/>
      </c>
      <c r="K17" s="13"/>
      <c r="L17" s="67" t="s">
        <v>54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x14ac:dyDescent="0.25">
      <c r="A18" s="13"/>
      <c r="B18" s="12">
        <v>12</v>
      </c>
      <c r="C18" s="79"/>
      <c r="D18" s="80"/>
      <c r="E18" s="46" t="str">
        <f t="shared" si="0"/>
        <v/>
      </c>
      <c r="F18" s="13"/>
      <c r="G18" s="12">
        <v>12</v>
      </c>
      <c r="H18" s="79"/>
      <c r="I18" s="80"/>
      <c r="J18" s="46" t="str">
        <f t="shared" si="1"/>
        <v/>
      </c>
      <c r="K18" s="13"/>
      <c r="L18" s="67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x14ac:dyDescent="0.25">
      <c r="A19" s="13"/>
      <c r="B19" s="12">
        <v>13</v>
      </c>
      <c r="C19" s="79"/>
      <c r="D19" s="80"/>
      <c r="E19" s="46" t="str">
        <f t="shared" si="0"/>
        <v/>
      </c>
      <c r="F19" s="13"/>
      <c r="G19" s="12">
        <v>13</v>
      </c>
      <c r="H19" s="79"/>
      <c r="I19" s="80"/>
      <c r="J19" s="46" t="str">
        <f t="shared" si="1"/>
        <v/>
      </c>
      <c r="K19" s="13"/>
      <c r="L19" s="67" t="s">
        <v>55</v>
      </c>
      <c r="M19" s="67"/>
      <c r="N19" s="67"/>
      <c r="O19" s="67"/>
      <c r="P19" s="67"/>
      <c r="Q19" s="67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1:34" x14ac:dyDescent="0.25">
      <c r="A20" s="13"/>
      <c r="B20" s="12">
        <v>14</v>
      </c>
      <c r="C20" s="79"/>
      <c r="D20" s="80"/>
      <c r="E20" s="46" t="str">
        <f t="shared" si="0"/>
        <v/>
      </c>
      <c r="F20" s="13"/>
      <c r="G20" s="12">
        <v>14</v>
      </c>
      <c r="H20" s="79"/>
      <c r="I20" s="80"/>
      <c r="J20" s="46" t="str">
        <f t="shared" si="1"/>
        <v/>
      </c>
      <c r="K20" s="13"/>
      <c r="L20" s="67" t="s">
        <v>56</v>
      </c>
      <c r="M20" s="67"/>
      <c r="N20" s="67"/>
      <c r="O20" s="67"/>
      <c r="P20" s="67"/>
      <c r="Q20" s="67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ht="15" customHeight="1" thickBot="1" x14ac:dyDescent="0.3">
      <c r="A21" s="13"/>
      <c r="B21" s="14">
        <v>15</v>
      </c>
      <c r="C21" s="81"/>
      <c r="D21" s="82"/>
      <c r="E21" s="47" t="str">
        <f t="shared" si="0"/>
        <v/>
      </c>
      <c r="F21" s="13"/>
      <c r="G21" s="14">
        <v>15</v>
      </c>
      <c r="H21" s="81"/>
      <c r="I21" s="82"/>
      <c r="J21" s="47" t="str">
        <f t="shared" si="1"/>
        <v/>
      </c>
      <c r="K21" s="13"/>
      <c r="L21" s="67"/>
      <c r="M21" s="67"/>
      <c r="N21" s="67"/>
      <c r="O21" s="67"/>
      <c r="P21" s="67"/>
      <c r="Q21" s="67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ht="14.25" customHeight="1" thickBot="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67" t="s">
        <v>64</v>
      </c>
      <c r="M22" s="67"/>
      <c r="N22" s="67"/>
      <c r="O22" s="67"/>
      <c r="P22" s="67"/>
      <c r="Q22" s="67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6.5" thickBot="1" x14ac:dyDescent="0.3">
      <c r="A23" s="13"/>
      <c r="B23" s="9" t="s">
        <v>13</v>
      </c>
      <c r="C23" s="6"/>
      <c r="D23" s="5"/>
      <c r="E23" s="7"/>
      <c r="F23" s="13"/>
      <c r="G23" s="9" t="s">
        <v>14</v>
      </c>
      <c r="H23" s="5"/>
      <c r="I23" s="5"/>
      <c r="J23" s="7"/>
      <c r="K23" s="13"/>
      <c r="L23" s="67" t="s">
        <v>65</v>
      </c>
      <c r="M23" s="67"/>
      <c r="N23" s="67"/>
      <c r="O23" s="67"/>
      <c r="P23" s="67"/>
      <c r="Q23" s="67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4" ht="16.5" thickBot="1" x14ac:dyDescent="0.3">
      <c r="A24" s="13"/>
      <c r="B24" s="4"/>
      <c r="C24" s="6"/>
      <c r="D24" s="5" t="s">
        <v>4</v>
      </c>
      <c r="E24" s="8" t="s">
        <v>5</v>
      </c>
      <c r="F24" s="13"/>
      <c r="G24" s="25" t="s">
        <v>15</v>
      </c>
      <c r="H24" s="13"/>
      <c r="I24" s="13"/>
      <c r="J24" s="26">
        <f>D27^2</f>
        <v>4.8693327151248931E-5</v>
      </c>
      <c r="K24" s="13"/>
      <c r="L24" s="68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8"/>
    </row>
    <row r="25" spans="1:34" x14ac:dyDescent="0.25">
      <c r="A25" s="13"/>
      <c r="B25" s="18" t="s">
        <v>9</v>
      </c>
      <c r="C25" s="19"/>
      <c r="D25" s="36">
        <f>AVERAGE(E7:E21)</f>
        <v>1.0102451274205417</v>
      </c>
      <c r="E25" s="37">
        <f>AVERAGE(J7:J21)</f>
        <v>0.90251392681623432</v>
      </c>
      <c r="F25" s="13"/>
      <c r="G25" s="25" t="s">
        <v>16</v>
      </c>
      <c r="H25" s="13"/>
      <c r="I25" s="13"/>
      <c r="J25" s="27">
        <f>E27^2</f>
        <v>6.6866052130966393E-5</v>
      </c>
      <c r="K25" s="13"/>
      <c r="L25" s="67" t="s">
        <v>2</v>
      </c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8"/>
    </row>
    <row r="26" spans="1:34" x14ac:dyDescent="0.25">
      <c r="A26" s="13"/>
      <c r="B26" s="20" t="s">
        <v>10</v>
      </c>
      <c r="C26" s="13"/>
      <c r="D26" s="10">
        <f>COUNT(E7:E21)</f>
        <v>6</v>
      </c>
      <c r="E26" s="2">
        <f>COUNT(J7:J21)</f>
        <v>3</v>
      </c>
      <c r="F26" s="13"/>
      <c r="G26" s="25" t="s">
        <v>17</v>
      </c>
      <c r="H26" s="13"/>
      <c r="I26" s="13"/>
      <c r="J26" s="27">
        <f>J25/J24</f>
        <v>1.3732077071519511</v>
      </c>
      <c r="K26" s="13"/>
      <c r="L26" s="67" t="s">
        <v>62</v>
      </c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8"/>
    </row>
    <row r="27" spans="1:34" x14ac:dyDescent="0.25">
      <c r="A27" s="13"/>
      <c r="B27" s="20" t="s">
        <v>11</v>
      </c>
      <c r="C27" s="13"/>
      <c r="D27" s="16">
        <f>STDEV(E7:E21)</f>
        <v>6.9780604147032816E-3</v>
      </c>
      <c r="E27" s="17">
        <f>STDEV(J7:J21)</f>
        <v>8.1771665099205602E-3</v>
      </c>
      <c r="F27" s="13"/>
      <c r="G27" s="25" t="s">
        <v>18</v>
      </c>
      <c r="H27" s="13"/>
      <c r="I27" s="13"/>
      <c r="J27" s="27">
        <f>FINV(0.975,E26-1,D26-1)</f>
        <v>2.5446440122317643E-2</v>
      </c>
      <c r="K27" s="13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8"/>
    </row>
    <row r="28" spans="1:34" ht="15.75" thickBot="1" x14ac:dyDescent="0.3">
      <c r="A28" s="13"/>
      <c r="B28" s="20" t="s">
        <v>24</v>
      </c>
      <c r="C28" s="13"/>
      <c r="D28" s="33">
        <f>D27^2</f>
        <v>4.8693327151248931E-5</v>
      </c>
      <c r="E28" s="34">
        <f>E27^2</f>
        <v>6.6866052130966393E-5</v>
      </c>
      <c r="F28" s="13"/>
      <c r="G28" s="25" t="s">
        <v>19</v>
      </c>
      <c r="H28" s="13"/>
      <c r="I28" s="13"/>
      <c r="J28" s="27">
        <f>FINV(0.025,E26-1,D26-1)</f>
        <v>8.4336207394327811</v>
      </c>
      <c r="K28" s="13"/>
      <c r="L28" s="67" t="s">
        <v>60</v>
      </c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8"/>
    </row>
    <row r="29" spans="1:34" ht="16.5" customHeight="1" thickBot="1" x14ac:dyDescent="0.35">
      <c r="A29" s="13"/>
      <c r="B29" s="21" t="s">
        <v>12</v>
      </c>
      <c r="C29" s="15"/>
      <c r="D29" s="35">
        <f>D25-E25</f>
        <v>0.10773120060430741</v>
      </c>
      <c r="E29" s="3"/>
      <c r="F29" s="13"/>
      <c r="G29" s="28" t="s">
        <v>20</v>
      </c>
      <c r="H29" s="15"/>
      <c r="I29" s="15"/>
      <c r="J29" s="44" t="str">
        <f>IF(J26&lt;J28,IF(J26&gt;J27,"yes","no"),"no")</f>
        <v>yes</v>
      </c>
      <c r="K29" s="13" t="s">
        <v>46</v>
      </c>
      <c r="L29" s="69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8"/>
    </row>
    <row r="30" spans="1:34" ht="12" customHeight="1" thickBo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69" t="s">
        <v>57</v>
      </c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spans="1:34" ht="15.75" thickBot="1" x14ac:dyDescent="0.3">
      <c r="A31" s="13"/>
      <c r="B31" s="9" t="s">
        <v>33</v>
      </c>
      <c r="C31" s="5"/>
      <c r="D31" s="5"/>
      <c r="E31" s="7"/>
      <c r="F31" s="13"/>
      <c r="G31" s="9" t="s">
        <v>34</v>
      </c>
      <c r="H31" s="5"/>
      <c r="I31" s="5"/>
      <c r="J31" s="7"/>
      <c r="L31" s="69" t="s">
        <v>1</v>
      </c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x14ac:dyDescent="0.25">
      <c r="A32" s="13"/>
      <c r="B32" s="20" t="s">
        <v>27</v>
      </c>
      <c r="C32" s="13"/>
      <c r="D32" s="13"/>
      <c r="E32" s="26">
        <f>SQRT(((D26-1)*D27^2+(E26-1)*E27^2)/(D26+E26-2))</f>
        <v>7.3406766914441242E-3</v>
      </c>
      <c r="F32" s="13"/>
      <c r="G32" s="18" t="s">
        <v>23</v>
      </c>
      <c r="H32" s="19"/>
      <c r="I32" s="19"/>
      <c r="J32" s="22">
        <f>(D28/D26+E28/E26)^2/(((D28/D26)^2)/(D26-1)+((E28/E26)^2)/(E26-1))</f>
        <v>3.5341775313992714</v>
      </c>
      <c r="K32" s="13"/>
      <c r="L32" s="69" t="s">
        <v>58</v>
      </c>
      <c r="M32" s="68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 spans="1:34" x14ac:dyDescent="0.25">
      <c r="A33" s="13"/>
      <c r="B33" s="20" t="s">
        <v>21</v>
      </c>
      <c r="C33" s="13"/>
      <c r="D33" s="13"/>
      <c r="E33" s="23">
        <f>TINV(0.05,(D26+E26-2))</f>
        <v>2.3646242515927849</v>
      </c>
      <c r="F33" s="13"/>
      <c r="G33" s="20" t="s">
        <v>21</v>
      </c>
      <c r="H33" s="13"/>
      <c r="I33" s="13"/>
      <c r="J33" s="23">
        <f>SQRT(-BETAINV(0.05,J$32/2,0.5)*J$32*(BETAINV(0.05,J$32/2,0.5)-1))/BETAINV(0.05,J$32/2,0.5)</f>
        <v>2.9268981632604127</v>
      </c>
      <c r="K33" s="13"/>
      <c r="L33" s="69" t="s">
        <v>61</v>
      </c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 spans="1:34" ht="15.75" thickBot="1" x14ac:dyDescent="0.3">
      <c r="A34" s="13"/>
      <c r="B34" s="20" t="s">
        <v>29</v>
      </c>
      <c r="C34" s="13"/>
      <c r="D34" s="13"/>
      <c r="E34" s="23">
        <f>D29/(E32*SQRT(1/D26+1/E26))</f>
        <v>20.754888328336861</v>
      </c>
      <c r="F34" s="13"/>
      <c r="G34" s="20" t="s">
        <v>29</v>
      </c>
      <c r="H34" s="13"/>
      <c r="I34" s="13"/>
      <c r="J34" s="23">
        <f>D29/SQRT(D28/D26+E28/E26)</f>
        <v>19.537744865297483</v>
      </c>
      <c r="K34" s="13"/>
      <c r="L34" s="70" t="s">
        <v>59</v>
      </c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ht="19.5" thickBot="1" x14ac:dyDescent="0.35">
      <c r="A35" s="13"/>
      <c r="B35" s="20" t="s">
        <v>32</v>
      </c>
      <c r="C35" s="13"/>
      <c r="D35" s="13"/>
      <c r="E35" s="44" t="str">
        <f>IF(E34&gt;E33,"yes","no")</f>
        <v>yes</v>
      </c>
      <c r="F35" s="13"/>
      <c r="G35" s="20" t="s">
        <v>32</v>
      </c>
      <c r="H35" s="13"/>
      <c r="I35" s="13"/>
      <c r="J35" s="44" t="str">
        <f>IF(J34&gt;J33,"yes","no")</f>
        <v>yes</v>
      </c>
      <c r="K35" s="13"/>
      <c r="L35" s="70" t="s">
        <v>0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 spans="1:34" ht="15.75" thickBot="1" x14ac:dyDescent="0.3">
      <c r="A36" s="13"/>
      <c r="B36" s="21" t="s">
        <v>22</v>
      </c>
      <c r="C36" s="15"/>
      <c r="D36" s="15"/>
      <c r="E36" s="24">
        <f>TDIST(E34,(D26+E26-2),2)</f>
        <v>1.5140810854082617E-7</v>
      </c>
      <c r="F36" s="13"/>
      <c r="G36" s="21" t="s">
        <v>22</v>
      </c>
      <c r="H36" s="15"/>
      <c r="I36" s="15"/>
      <c r="J36" s="24">
        <f>BETADIST(J32/(J32+(J34^2)),J32/2,0.5)</f>
        <v>9.9621059165808294E-5</v>
      </c>
      <c r="K36" s="13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 spans="1:34" x14ac:dyDescent="0.25">
      <c r="A37" s="13"/>
      <c r="B37" s="38" t="s">
        <v>35</v>
      </c>
      <c r="C37" s="19"/>
      <c r="D37" s="19"/>
      <c r="E37" s="39">
        <f>D29-E33*E32*SQRT(1/D26+1/E26)</f>
        <v>9.5457282018373696E-2</v>
      </c>
      <c r="G37" s="38" t="s">
        <v>37</v>
      </c>
      <c r="H37" s="19"/>
      <c r="I37" s="19"/>
      <c r="J37" s="39">
        <f>D29-J33*(SQRT(D28/D26+E28/E26))</f>
        <v>9.1592272834058561E-2</v>
      </c>
      <c r="K37" s="13"/>
      <c r="L37" s="70" t="s">
        <v>63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ht="15.75" thickBot="1" x14ac:dyDescent="0.3">
      <c r="A38" s="13"/>
      <c r="B38" s="28" t="s">
        <v>36</v>
      </c>
      <c r="C38" s="15"/>
      <c r="D38" s="15"/>
      <c r="E38" s="40">
        <f>D29+E33*E32*SQRT(1/D26+1/E26)</f>
        <v>0.12000511919024112</v>
      </c>
      <c r="F38" s="13"/>
      <c r="G38" s="28" t="s">
        <v>38</v>
      </c>
      <c r="H38" s="15"/>
      <c r="I38" s="15"/>
      <c r="J38" s="40">
        <f>D29+J33*(SQRT(D28/D26+E28/E26))</f>
        <v>0.12387012837455626</v>
      </c>
      <c r="K38" s="13"/>
      <c r="L38" s="70" t="s">
        <v>66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 spans="1:34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70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 spans="1:34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72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 spans="1:34" x14ac:dyDescent="0.25">
      <c r="A41" s="13"/>
      <c r="B41" s="13"/>
      <c r="D41" s="13"/>
      <c r="E41" s="13"/>
      <c r="F41" s="13"/>
      <c r="G41" s="13"/>
      <c r="H41" s="13"/>
      <c r="I41" s="13"/>
      <c r="J41" s="13"/>
      <c r="K41" s="13"/>
      <c r="L41" s="72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 spans="1:34" x14ac:dyDescent="0.25">
      <c r="A42" s="13"/>
      <c r="B42" s="13"/>
      <c r="D42" s="13"/>
      <c r="E42" s="13"/>
      <c r="F42" s="13"/>
      <c r="G42" s="13"/>
      <c r="H42" s="13"/>
      <c r="I42" s="13"/>
      <c r="J42" s="13"/>
      <c r="K42" s="13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 spans="1:34" x14ac:dyDescent="0.25">
      <c r="A43" s="13"/>
      <c r="B43" s="43"/>
      <c r="C43" s="41" t="s">
        <v>3</v>
      </c>
      <c r="D43" s="31">
        <f>IF(J29="yes",E33,J33)</f>
        <v>2.3646242515927849</v>
      </c>
      <c r="E43" s="13"/>
      <c r="F43" s="13"/>
      <c r="G43" s="13"/>
      <c r="H43" s="13"/>
      <c r="I43" s="13"/>
      <c r="J43" s="13"/>
      <c r="K43" s="13"/>
      <c r="M43" s="67"/>
      <c r="N43" s="68"/>
      <c r="O43" s="68"/>
      <c r="P43" s="68"/>
      <c r="Q43" s="68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x14ac:dyDescent="0.25">
      <c r="A44" s="13"/>
      <c r="B44" s="42"/>
      <c r="C44" s="30" t="s">
        <v>26</v>
      </c>
      <c r="D44" s="32">
        <f>IF(J29="yes",E32*SQRT(1/D26+1/E26),(SQRT(D28/D26+E28/E26)))</f>
        <v>5.1906422670181702E-3</v>
      </c>
      <c r="E44" s="13"/>
      <c r="F44" s="13"/>
      <c r="G44" s="13"/>
      <c r="H44" s="13"/>
      <c r="I44" s="13"/>
      <c r="J44" s="13"/>
      <c r="K44" s="13"/>
      <c r="M44" s="67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</row>
    <row r="45" spans="1:34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</row>
    <row r="46" spans="1:34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</row>
    <row r="47" spans="1:34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</row>
    <row r="48" spans="1:34" x14ac:dyDescent="0.25"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</row>
    <row r="49" spans="18:34" x14ac:dyDescent="0.25"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</row>
  </sheetData>
  <sheetProtection password="F4E0" sheet="1"/>
  <mergeCells count="5">
    <mergeCell ref="B4:E4"/>
    <mergeCell ref="G4:J4"/>
    <mergeCell ref="C5:D5"/>
    <mergeCell ref="H5:I5"/>
    <mergeCell ref="N5:O5"/>
  </mergeCells>
  <dataValidations count="1">
    <dataValidation type="list" allowBlank="1" showInputMessage="1" showErrorMessage="1" sqref="F7:F11" xr:uid="{00000000-0002-0000-0800-000000000000}">
      <formula1>"Y, N"</formula1>
    </dataValidation>
  </dataValidations>
  <pageMargins left="0.7" right="0.7" top="0.75" bottom="0.75" header="0.3" footer="0.3"/>
  <pageSetup scale="9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49"/>
  <sheetViews>
    <sheetView zoomScale="84" zoomScaleNormal="84" workbookViewId="0">
      <selection activeCell="J7" sqref="J7:J9"/>
    </sheetView>
  </sheetViews>
  <sheetFormatPr defaultColWidth="8.85546875" defaultRowHeight="15" x14ac:dyDescent="0.25"/>
  <cols>
    <col min="1" max="1" width="2.28515625" customWidth="1"/>
    <col min="3" max="3" width="13" customWidth="1"/>
    <col min="4" max="5" width="10.28515625" customWidth="1"/>
    <col min="6" max="6" width="7.42578125" customWidth="1"/>
    <col min="11" max="11" width="6.28515625" customWidth="1"/>
    <col min="12" max="12" width="17" customWidth="1"/>
    <col min="13" max="13" width="11.28515625" customWidth="1"/>
    <col min="14" max="14" width="10.28515625" customWidth="1"/>
    <col min="15" max="15" width="8.5703125" customWidth="1"/>
  </cols>
  <sheetData>
    <row r="1" spans="1:34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34" ht="18.75" x14ac:dyDescent="0.3">
      <c r="A2" s="13"/>
      <c r="B2" s="29" t="s">
        <v>28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ht="15.75" thickBo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ht="15.75" thickBot="1" x14ac:dyDescent="0.3">
      <c r="A4" s="13"/>
      <c r="B4" s="96" t="s">
        <v>47</v>
      </c>
      <c r="C4" s="97"/>
      <c r="D4" s="97"/>
      <c r="E4" s="98"/>
      <c r="F4" s="1"/>
      <c r="G4" s="99" t="s">
        <v>48</v>
      </c>
      <c r="H4" s="100"/>
      <c r="I4" s="100"/>
      <c r="J4" s="101"/>
      <c r="K4" s="13"/>
      <c r="L4" s="53" t="s">
        <v>40</v>
      </c>
      <c r="M4" s="54"/>
      <c r="N4" s="55"/>
      <c r="O4" s="56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ht="15.75" thickBot="1" x14ac:dyDescent="0.3">
      <c r="A5" s="13"/>
      <c r="B5" s="48"/>
      <c r="C5" s="102" t="s">
        <v>6</v>
      </c>
      <c r="D5" s="102"/>
      <c r="E5" s="49"/>
      <c r="F5" s="1"/>
      <c r="G5" s="50"/>
      <c r="H5" s="102" t="s">
        <v>6</v>
      </c>
      <c r="I5" s="102"/>
      <c r="J5" s="49"/>
      <c r="K5" s="13"/>
      <c r="L5" s="57"/>
      <c r="M5" s="58" t="s">
        <v>25</v>
      </c>
      <c r="N5" s="103" t="s">
        <v>51</v>
      </c>
      <c r="O5" s="104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9.5" thickBot="1" x14ac:dyDescent="0.35">
      <c r="A6" s="13"/>
      <c r="B6" s="48" t="s">
        <v>7</v>
      </c>
      <c r="C6" s="52" t="s">
        <v>5</v>
      </c>
      <c r="D6" s="52" t="s">
        <v>49</v>
      </c>
      <c r="E6" s="49" t="s">
        <v>8</v>
      </c>
      <c r="F6" s="1"/>
      <c r="G6" s="48" t="s">
        <v>7</v>
      </c>
      <c r="H6" s="52" t="s">
        <v>5</v>
      </c>
      <c r="I6" s="52" t="s">
        <v>50</v>
      </c>
      <c r="J6" s="49" t="s">
        <v>8</v>
      </c>
      <c r="K6" s="13"/>
      <c r="L6" s="59" t="s">
        <v>30</v>
      </c>
      <c r="M6" s="60">
        <f>D29/(D25)</f>
        <v>4.7653935654613528E-3</v>
      </c>
      <c r="N6" s="61" t="s">
        <v>52</v>
      </c>
      <c r="O6" s="62">
        <f>D43*D44/D25</f>
        <v>1.6170512502805288E-2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19.5" thickBot="1" x14ac:dyDescent="0.35">
      <c r="A7" s="13"/>
      <c r="B7" s="11">
        <v>1</v>
      </c>
      <c r="C7" s="73">
        <v>22.52</v>
      </c>
      <c r="D7" s="74">
        <v>21.58</v>
      </c>
      <c r="E7" s="45">
        <f t="shared" ref="E7:E21" si="0">IF(OR(D7="",C7=""),"",C7/D7)</f>
        <v>1.0435588507877664</v>
      </c>
      <c r="F7" s="1"/>
      <c r="G7" s="11">
        <v>1</v>
      </c>
      <c r="H7" s="73">
        <v>22.18</v>
      </c>
      <c r="I7" s="74">
        <v>21.54</v>
      </c>
      <c r="J7" s="45">
        <f t="shared" ref="J7:J21" si="1">IF(OR(I7="",H7=""),"",H7/I7)</f>
        <v>1.0297121634168989</v>
      </c>
      <c r="K7" s="13"/>
      <c r="L7" s="63" t="s">
        <v>31</v>
      </c>
      <c r="M7" s="64">
        <f>D29/(E25)</f>
        <v>4.7882112766692618E-3</v>
      </c>
      <c r="N7" s="65" t="s">
        <v>52</v>
      </c>
      <c r="O7" s="66">
        <f>D43*D44/E25</f>
        <v>1.6247940333120742E-2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 x14ac:dyDescent="0.25">
      <c r="A8" s="13"/>
      <c r="B8" s="12">
        <v>2</v>
      </c>
      <c r="C8" s="75">
        <v>22</v>
      </c>
      <c r="D8" s="76">
        <v>21.5</v>
      </c>
      <c r="E8" s="46">
        <f t="shared" si="0"/>
        <v>1.0232558139534884</v>
      </c>
      <c r="F8" s="1"/>
      <c r="G8" s="12">
        <v>2</v>
      </c>
      <c r="H8" s="75">
        <v>22.48</v>
      </c>
      <c r="I8" s="76">
        <v>22.12</v>
      </c>
      <c r="J8" s="46">
        <f t="shared" si="1"/>
        <v>1.0162748643761301</v>
      </c>
      <c r="K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4" x14ac:dyDescent="0.25">
      <c r="A9" s="13"/>
      <c r="B9" s="12">
        <v>3</v>
      </c>
      <c r="C9" s="75">
        <v>21.14</v>
      </c>
      <c r="D9" s="76">
        <v>20.54</v>
      </c>
      <c r="E9" s="46">
        <f t="shared" si="0"/>
        <v>1.0292112950340799</v>
      </c>
      <c r="F9" s="1"/>
      <c r="G9" s="12">
        <v>3</v>
      </c>
      <c r="H9" s="75">
        <v>22.88</v>
      </c>
      <c r="I9" s="76">
        <v>21.92</v>
      </c>
      <c r="J9" s="46">
        <f t="shared" si="1"/>
        <v>1.0437956204379562</v>
      </c>
      <c r="K9" s="13"/>
      <c r="L9" s="51" t="s">
        <v>41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x14ac:dyDescent="0.25">
      <c r="A10" s="13"/>
      <c r="B10" s="12">
        <v>4</v>
      </c>
      <c r="C10" s="77">
        <v>21.54</v>
      </c>
      <c r="D10" s="78">
        <v>20.52</v>
      </c>
      <c r="E10" s="46">
        <f t="shared" si="0"/>
        <v>1.0497076023391814</v>
      </c>
      <c r="F10" s="1"/>
      <c r="G10" s="12">
        <v>4</v>
      </c>
      <c r="H10" s="77"/>
      <c r="I10" s="78"/>
      <c r="J10" s="46" t="str">
        <f t="shared" si="1"/>
        <v/>
      </c>
      <c r="K10" s="13"/>
      <c r="L10" s="13" t="s">
        <v>42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x14ac:dyDescent="0.25">
      <c r="A11" s="13"/>
      <c r="B11" s="12">
        <v>5</v>
      </c>
      <c r="C11" s="77">
        <v>21.08</v>
      </c>
      <c r="D11" s="78">
        <v>20.5</v>
      </c>
      <c r="E11" s="46">
        <f t="shared" si="0"/>
        <v>1.0282926829268293</v>
      </c>
      <c r="F11" s="1"/>
      <c r="G11" s="12">
        <v>5</v>
      </c>
      <c r="H11" s="77"/>
      <c r="I11" s="78"/>
      <c r="J11" s="46" t="str">
        <f t="shared" si="1"/>
        <v/>
      </c>
      <c r="K11" s="13"/>
      <c r="L11" s="13" t="s">
        <v>43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x14ac:dyDescent="0.25">
      <c r="A12" s="13"/>
      <c r="B12" s="12">
        <v>6</v>
      </c>
      <c r="C12" s="79">
        <v>21.42</v>
      </c>
      <c r="D12" s="80">
        <v>20.7</v>
      </c>
      <c r="E12" s="46">
        <f t="shared" si="0"/>
        <v>1.0347826086956522</v>
      </c>
      <c r="F12" s="13"/>
      <c r="G12" s="12">
        <v>6</v>
      </c>
      <c r="H12" s="79"/>
      <c r="I12" s="80"/>
      <c r="J12" s="46" t="str">
        <f t="shared" si="1"/>
        <v/>
      </c>
      <c r="K12" s="13"/>
      <c r="L12" s="13" t="s">
        <v>45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x14ac:dyDescent="0.25">
      <c r="A13" s="13"/>
      <c r="B13" s="12">
        <v>7</v>
      </c>
      <c r="C13" s="79">
        <v>21.76</v>
      </c>
      <c r="D13" s="80">
        <v>21.02</v>
      </c>
      <c r="E13" s="46">
        <f t="shared" si="0"/>
        <v>1.0352045670789725</v>
      </c>
      <c r="F13" s="13"/>
      <c r="G13" s="12">
        <v>7</v>
      </c>
      <c r="H13" s="79"/>
      <c r="I13" s="80"/>
      <c r="J13" s="46" t="str">
        <f t="shared" si="1"/>
        <v/>
      </c>
      <c r="K13" s="13"/>
      <c r="L13" s="13" t="s">
        <v>44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 x14ac:dyDescent="0.25">
      <c r="A14" s="13"/>
      <c r="B14" s="12">
        <v>8</v>
      </c>
      <c r="C14" s="79"/>
      <c r="D14" s="80"/>
      <c r="E14" s="46" t="str">
        <f t="shared" si="0"/>
        <v/>
      </c>
      <c r="F14" s="13"/>
      <c r="G14" s="12">
        <v>8</v>
      </c>
      <c r="H14" s="79"/>
      <c r="I14" s="80"/>
      <c r="J14" s="46" t="str">
        <f t="shared" si="1"/>
        <v/>
      </c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x14ac:dyDescent="0.25">
      <c r="A15" s="13"/>
      <c r="B15" s="12">
        <v>9</v>
      </c>
      <c r="C15" s="79"/>
      <c r="D15" s="80"/>
      <c r="E15" s="46" t="str">
        <f t="shared" si="0"/>
        <v/>
      </c>
      <c r="F15" s="13"/>
      <c r="G15" s="12">
        <v>9</v>
      </c>
      <c r="H15" s="79"/>
      <c r="I15" s="80"/>
      <c r="J15" s="46" t="str">
        <f t="shared" si="1"/>
        <v/>
      </c>
      <c r="K15" s="13"/>
      <c r="L15" s="51" t="s">
        <v>39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x14ac:dyDescent="0.25">
      <c r="A16" s="13"/>
      <c r="B16" s="12">
        <v>10</v>
      </c>
      <c r="C16" s="79"/>
      <c r="D16" s="80"/>
      <c r="E16" s="46" t="str">
        <f t="shared" si="0"/>
        <v/>
      </c>
      <c r="F16" s="13"/>
      <c r="G16" s="12">
        <v>10</v>
      </c>
      <c r="H16" s="79"/>
      <c r="I16" s="80"/>
      <c r="J16" s="46" t="str">
        <f t="shared" si="1"/>
        <v/>
      </c>
      <c r="K16" s="13"/>
      <c r="L16" s="67" t="s">
        <v>53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4" x14ac:dyDescent="0.25">
      <c r="A17" s="13"/>
      <c r="B17" s="12">
        <v>11</v>
      </c>
      <c r="C17" s="79"/>
      <c r="D17" s="80"/>
      <c r="E17" s="46" t="str">
        <f t="shared" si="0"/>
        <v/>
      </c>
      <c r="F17" s="13"/>
      <c r="G17" s="12">
        <v>11</v>
      </c>
      <c r="H17" s="79"/>
      <c r="I17" s="80"/>
      <c r="J17" s="46" t="str">
        <f t="shared" si="1"/>
        <v/>
      </c>
      <c r="K17" s="13"/>
      <c r="L17" s="67" t="s">
        <v>54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x14ac:dyDescent="0.25">
      <c r="A18" s="13"/>
      <c r="B18" s="12">
        <v>12</v>
      </c>
      <c r="C18" s="79"/>
      <c r="D18" s="80"/>
      <c r="E18" s="46" t="str">
        <f t="shared" si="0"/>
        <v/>
      </c>
      <c r="F18" s="13"/>
      <c r="G18" s="12">
        <v>12</v>
      </c>
      <c r="H18" s="79"/>
      <c r="I18" s="80"/>
      <c r="J18" s="46" t="str">
        <f t="shared" si="1"/>
        <v/>
      </c>
      <c r="K18" s="13"/>
      <c r="L18" s="67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x14ac:dyDescent="0.25">
      <c r="A19" s="13"/>
      <c r="B19" s="12">
        <v>13</v>
      </c>
      <c r="C19" s="79"/>
      <c r="D19" s="80"/>
      <c r="E19" s="46" t="str">
        <f t="shared" si="0"/>
        <v/>
      </c>
      <c r="F19" s="13"/>
      <c r="G19" s="12">
        <v>13</v>
      </c>
      <c r="H19" s="79"/>
      <c r="I19" s="80"/>
      <c r="J19" s="46" t="str">
        <f t="shared" si="1"/>
        <v/>
      </c>
      <c r="K19" s="13"/>
      <c r="L19" s="67" t="s">
        <v>55</v>
      </c>
      <c r="M19" s="67"/>
      <c r="N19" s="67"/>
      <c r="O19" s="67"/>
      <c r="P19" s="67"/>
      <c r="Q19" s="67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1:34" x14ac:dyDescent="0.25">
      <c r="A20" s="13"/>
      <c r="B20" s="12">
        <v>14</v>
      </c>
      <c r="C20" s="79"/>
      <c r="D20" s="80"/>
      <c r="E20" s="46" t="str">
        <f t="shared" si="0"/>
        <v/>
      </c>
      <c r="F20" s="13"/>
      <c r="G20" s="12">
        <v>14</v>
      </c>
      <c r="H20" s="79"/>
      <c r="I20" s="80"/>
      <c r="J20" s="46" t="str">
        <f t="shared" si="1"/>
        <v/>
      </c>
      <c r="K20" s="13"/>
      <c r="L20" s="67" t="s">
        <v>56</v>
      </c>
      <c r="M20" s="67"/>
      <c r="N20" s="67"/>
      <c r="O20" s="67"/>
      <c r="P20" s="67"/>
      <c r="Q20" s="67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ht="15" customHeight="1" thickBot="1" x14ac:dyDescent="0.3">
      <c r="A21" s="13"/>
      <c r="B21" s="14">
        <v>15</v>
      </c>
      <c r="C21" s="81"/>
      <c r="D21" s="82"/>
      <c r="E21" s="47" t="str">
        <f t="shared" si="0"/>
        <v/>
      </c>
      <c r="F21" s="13"/>
      <c r="G21" s="14">
        <v>15</v>
      </c>
      <c r="H21" s="81"/>
      <c r="I21" s="82"/>
      <c r="J21" s="47" t="str">
        <f t="shared" si="1"/>
        <v/>
      </c>
      <c r="K21" s="13"/>
      <c r="L21" s="67"/>
      <c r="M21" s="67"/>
      <c r="N21" s="67"/>
      <c r="O21" s="67"/>
      <c r="P21" s="67"/>
      <c r="Q21" s="67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ht="14.25" customHeight="1" thickBot="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67" t="s">
        <v>64</v>
      </c>
      <c r="M22" s="67"/>
      <c r="N22" s="67"/>
      <c r="O22" s="67"/>
      <c r="P22" s="67"/>
      <c r="Q22" s="67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6.5" thickBot="1" x14ac:dyDescent="0.3">
      <c r="A23" s="13"/>
      <c r="B23" s="9" t="s">
        <v>13</v>
      </c>
      <c r="C23" s="6"/>
      <c r="D23" s="5"/>
      <c r="E23" s="7"/>
      <c r="F23" s="13"/>
      <c r="G23" s="9" t="s">
        <v>14</v>
      </c>
      <c r="H23" s="5"/>
      <c r="I23" s="5"/>
      <c r="J23" s="7"/>
      <c r="K23" s="13"/>
      <c r="L23" s="67" t="s">
        <v>65</v>
      </c>
      <c r="M23" s="67"/>
      <c r="N23" s="67"/>
      <c r="O23" s="67"/>
      <c r="P23" s="67"/>
      <c r="Q23" s="67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4" ht="16.5" thickBot="1" x14ac:dyDescent="0.3">
      <c r="A24" s="13"/>
      <c r="B24" s="4"/>
      <c r="C24" s="6"/>
      <c r="D24" s="5" t="s">
        <v>4</v>
      </c>
      <c r="E24" s="8" t="s">
        <v>5</v>
      </c>
      <c r="F24" s="13"/>
      <c r="G24" s="25" t="s">
        <v>15</v>
      </c>
      <c r="H24" s="13"/>
      <c r="I24" s="13"/>
      <c r="J24" s="26">
        <f>D27^2</f>
        <v>8.4323444181024453E-5</v>
      </c>
      <c r="K24" s="13"/>
      <c r="L24" s="68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8"/>
    </row>
    <row r="25" spans="1:34" x14ac:dyDescent="0.25">
      <c r="A25" s="13"/>
      <c r="B25" s="18" t="s">
        <v>9</v>
      </c>
      <c r="C25" s="19"/>
      <c r="D25" s="36">
        <f>AVERAGE(E7:E21)</f>
        <v>1.0348590601165673</v>
      </c>
      <c r="E25" s="37">
        <f>AVERAGE(J7:J21)</f>
        <v>1.0299275494103284</v>
      </c>
      <c r="F25" s="13"/>
      <c r="G25" s="25" t="s">
        <v>16</v>
      </c>
      <c r="H25" s="13"/>
      <c r="I25" s="13"/>
      <c r="J25" s="27">
        <f>E27^2</f>
        <v>1.8938279689825771E-4</v>
      </c>
      <c r="K25" s="13"/>
      <c r="L25" s="67" t="s">
        <v>2</v>
      </c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8"/>
    </row>
    <row r="26" spans="1:34" x14ac:dyDescent="0.25">
      <c r="A26" s="13"/>
      <c r="B26" s="20" t="s">
        <v>10</v>
      </c>
      <c r="C26" s="13"/>
      <c r="D26" s="10">
        <f>COUNT(E7:E21)</f>
        <v>7</v>
      </c>
      <c r="E26" s="2">
        <f>COUNT(J7:J21)</f>
        <v>3</v>
      </c>
      <c r="F26" s="13"/>
      <c r="G26" s="25" t="s">
        <v>17</v>
      </c>
      <c r="H26" s="13"/>
      <c r="I26" s="13"/>
      <c r="J26" s="27">
        <f>J25/J24</f>
        <v>2.245909174341755</v>
      </c>
      <c r="K26" s="13"/>
      <c r="L26" s="67" t="s">
        <v>62</v>
      </c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8"/>
    </row>
    <row r="27" spans="1:34" x14ac:dyDescent="0.25">
      <c r="A27" s="13"/>
      <c r="B27" s="20" t="s">
        <v>11</v>
      </c>
      <c r="C27" s="13"/>
      <c r="D27" s="16">
        <f>STDEV(E7:E21)</f>
        <v>9.1827797632865211E-3</v>
      </c>
      <c r="E27" s="17">
        <f>STDEV(J7:J21)</f>
        <v>1.3761642231153145E-2</v>
      </c>
      <c r="F27" s="13"/>
      <c r="G27" s="25" t="s">
        <v>18</v>
      </c>
      <c r="H27" s="13"/>
      <c r="I27" s="13"/>
      <c r="J27" s="27">
        <f>FINV(0.975,E26-1,D26-1)</f>
        <v>2.5424941047334615E-2</v>
      </c>
      <c r="K27" s="13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8"/>
    </row>
    <row r="28" spans="1:34" ht="15.75" thickBot="1" x14ac:dyDescent="0.3">
      <c r="A28" s="13"/>
      <c r="B28" s="20" t="s">
        <v>24</v>
      </c>
      <c r="C28" s="13"/>
      <c r="D28" s="33">
        <f>D27^2</f>
        <v>8.4323444181024453E-5</v>
      </c>
      <c r="E28" s="34">
        <f>E27^2</f>
        <v>1.8938279689825771E-4</v>
      </c>
      <c r="F28" s="13"/>
      <c r="G28" s="25" t="s">
        <v>19</v>
      </c>
      <c r="H28" s="13"/>
      <c r="I28" s="13"/>
      <c r="J28" s="27">
        <f>FINV(0.025,E26-1,D26-1)</f>
        <v>7.2598556800601788</v>
      </c>
      <c r="K28" s="13"/>
      <c r="L28" s="67" t="s">
        <v>60</v>
      </c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8"/>
    </row>
    <row r="29" spans="1:34" ht="16.5" customHeight="1" thickBot="1" x14ac:dyDescent="0.35">
      <c r="A29" s="13"/>
      <c r="B29" s="21" t="s">
        <v>12</v>
      </c>
      <c r="C29" s="15"/>
      <c r="D29" s="35">
        <f>D25-E25</f>
        <v>4.931510706238873E-3</v>
      </c>
      <c r="E29" s="3"/>
      <c r="F29" s="13"/>
      <c r="G29" s="28" t="s">
        <v>20</v>
      </c>
      <c r="H29" s="15"/>
      <c r="I29" s="15"/>
      <c r="J29" s="44" t="str">
        <f>IF(J26&lt;J28,IF(J26&gt;J27,"yes","no"),"no")</f>
        <v>yes</v>
      </c>
      <c r="K29" s="13" t="s">
        <v>46</v>
      </c>
      <c r="L29" s="69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8"/>
    </row>
    <row r="30" spans="1:34" ht="12" customHeight="1" thickBo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69" t="s">
        <v>57</v>
      </c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spans="1:34" ht="15.75" thickBot="1" x14ac:dyDescent="0.3">
      <c r="A31" s="13"/>
      <c r="B31" s="9" t="s">
        <v>33</v>
      </c>
      <c r="C31" s="5"/>
      <c r="D31" s="5"/>
      <c r="E31" s="7"/>
      <c r="F31" s="13"/>
      <c r="G31" s="9" t="s">
        <v>34</v>
      </c>
      <c r="H31" s="5"/>
      <c r="I31" s="5"/>
      <c r="J31" s="7"/>
      <c r="L31" s="69" t="s">
        <v>1</v>
      </c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x14ac:dyDescent="0.25">
      <c r="A32" s="13"/>
      <c r="B32" s="20" t="s">
        <v>27</v>
      </c>
      <c r="C32" s="13"/>
      <c r="D32" s="13"/>
      <c r="E32" s="26">
        <f>SQRT(((D26-1)*D27^2+(E26-1)*E27^2)/(D26+E26-2))</f>
        <v>1.0516096346094057E-2</v>
      </c>
      <c r="F32" s="13"/>
      <c r="G32" s="18" t="s">
        <v>23</v>
      </c>
      <c r="H32" s="19"/>
      <c r="I32" s="19"/>
      <c r="J32" s="22">
        <f>(D28/D26+E28/E26)^2/(((D28/D26)^2)/(D26-1)+((E28/E26)^2)/(E26-1))</f>
        <v>2.8021079851255317</v>
      </c>
      <c r="K32" s="13"/>
      <c r="L32" s="69" t="s">
        <v>58</v>
      </c>
      <c r="M32" s="68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 spans="1:34" x14ac:dyDescent="0.25">
      <c r="A33" s="13"/>
      <c r="B33" s="20" t="s">
        <v>21</v>
      </c>
      <c r="C33" s="13"/>
      <c r="D33" s="13"/>
      <c r="E33" s="23">
        <f>TINV(0.05,(D26+E26-2))</f>
        <v>2.3060041352041671</v>
      </c>
      <c r="F33" s="13"/>
      <c r="G33" s="20" t="s">
        <v>21</v>
      </c>
      <c r="H33" s="13"/>
      <c r="I33" s="13"/>
      <c r="J33" s="23">
        <f>SQRT(-BETAINV(0.05,J$32/2,0.5)*J$32*(BETAINV(0.05,J$32/2,0.5)-1))/BETAINV(0.05,J$32/2,0.5)</f>
        <v>3.313450095964563</v>
      </c>
      <c r="K33" s="13"/>
      <c r="L33" s="69" t="s">
        <v>61</v>
      </c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 spans="1:34" ht="15.75" thickBot="1" x14ac:dyDescent="0.3">
      <c r="A34" s="13"/>
      <c r="B34" s="20" t="s">
        <v>29</v>
      </c>
      <c r="C34" s="13"/>
      <c r="D34" s="13"/>
      <c r="E34" s="23">
        <f>D29/(E32*SQRT(1/D26+1/E26))</f>
        <v>0.67957136583783706</v>
      </c>
      <c r="F34" s="13"/>
      <c r="G34" s="20" t="s">
        <v>29</v>
      </c>
      <c r="H34" s="13"/>
      <c r="I34" s="13"/>
      <c r="J34" s="23">
        <f>D29/SQRT(D28/D26+E28/E26)</f>
        <v>0.56878313805627612</v>
      </c>
      <c r="K34" s="13"/>
      <c r="L34" s="70" t="s">
        <v>59</v>
      </c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ht="19.5" thickBot="1" x14ac:dyDescent="0.35">
      <c r="A35" s="13"/>
      <c r="B35" s="20" t="s">
        <v>32</v>
      </c>
      <c r="C35" s="13"/>
      <c r="D35" s="13"/>
      <c r="E35" s="44" t="str">
        <f>IF(E34&gt;E33,"yes","no")</f>
        <v>no</v>
      </c>
      <c r="F35" s="13"/>
      <c r="G35" s="20" t="s">
        <v>32</v>
      </c>
      <c r="H35" s="13"/>
      <c r="I35" s="13"/>
      <c r="J35" s="44" t="str">
        <f>IF(J34&gt;J33,"yes","no")</f>
        <v>no</v>
      </c>
      <c r="K35" s="13"/>
      <c r="L35" s="70" t="s">
        <v>0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 spans="1:34" ht="15.75" thickBot="1" x14ac:dyDescent="0.3">
      <c r="A36" s="13"/>
      <c r="B36" s="21" t="s">
        <v>22</v>
      </c>
      <c r="C36" s="15"/>
      <c r="D36" s="15"/>
      <c r="E36" s="24">
        <f>TDIST(E34,(D26+E26-2),2)</f>
        <v>0.51595337567247612</v>
      </c>
      <c r="F36" s="13"/>
      <c r="G36" s="21" t="s">
        <v>22</v>
      </c>
      <c r="H36" s="15"/>
      <c r="I36" s="15"/>
      <c r="J36" s="24">
        <f>BETADIST(J32/(J32+(J34^2)),J32/2,0.5)</f>
        <v>0.61187479112622489</v>
      </c>
      <c r="K36" s="13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 spans="1:34" x14ac:dyDescent="0.25">
      <c r="A37" s="13"/>
      <c r="B37" s="38" t="s">
        <v>35</v>
      </c>
      <c r="C37" s="19"/>
      <c r="D37" s="19"/>
      <c r="E37" s="39">
        <f>D29-E33*E32*SQRT(1/D26+1/E26)</f>
        <v>-1.1802690664017408E-2</v>
      </c>
      <c r="G37" s="38" t="s">
        <v>37</v>
      </c>
      <c r="H37" s="19"/>
      <c r="I37" s="19"/>
      <c r="J37" s="39">
        <f>D29-J33*(SQRT(D28/D26+E28/E26))</f>
        <v>-2.3797038945703747E-2</v>
      </c>
      <c r="K37" s="13"/>
      <c r="L37" s="70" t="s">
        <v>63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ht="15.75" thickBot="1" x14ac:dyDescent="0.3">
      <c r="A38" s="13"/>
      <c r="B38" s="28" t="s">
        <v>36</v>
      </c>
      <c r="C38" s="15"/>
      <c r="D38" s="15"/>
      <c r="E38" s="40">
        <f>D29+E33*E32*SQRT(1/D26+1/E26)</f>
        <v>2.1665712076495154E-2</v>
      </c>
      <c r="F38" s="13"/>
      <c r="G38" s="28" t="s">
        <v>38</v>
      </c>
      <c r="H38" s="15"/>
      <c r="I38" s="15"/>
      <c r="J38" s="40">
        <f>D29+J33*(SQRT(D28/D26+E28/E26))</f>
        <v>3.366006035818149E-2</v>
      </c>
      <c r="K38" s="13"/>
      <c r="L38" s="70" t="s">
        <v>66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 spans="1:34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70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 spans="1:34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72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 spans="1:34" x14ac:dyDescent="0.25">
      <c r="A41" s="13"/>
      <c r="B41" s="13"/>
      <c r="D41" s="13"/>
      <c r="E41" s="13"/>
      <c r="F41" s="13"/>
      <c r="G41" s="13"/>
      <c r="H41" s="13"/>
      <c r="I41" s="13"/>
      <c r="J41" s="13"/>
      <c r="K41" s="13"/>
      <c r="L41" s="72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 spans="1:34" x14ac:dyDescent="0.25">
      <c r="A42" s="13"/>
      <c r="B42" s="13"/>
      <c r="D42" s="13"/>
      <c r="E42" s="13"/>
      <c r="F42" s="13"/>
      <c r="G42" s="13"/>
      <c r="H42" s="13"/>
      <c r="I42" s="13"/>
      <c r="J42" s="13"/>
      <c r="K42" s="13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 spans="1:34" x14ac:dyDescent="0.25">
      <c r="A43" s="13"/>
      <c r="B43" s="43"/>
      <c r="C43" s="41" t="s">
        <v>3</v>
      </c>
      <c r="D43" s="31">
        <f>IF(J29="yes",E33,J33)</f>
        <v>2.3060041352041671</v>
      </c>
      <c r="E43" s="13"/>
      <c r="F43" s="13"/>
      <c r="G43" s="13"/>
      <c r="H43" s="13"/>
      <c r="I43" s="13"/>
      <c r="J43" s="13"/>
      <c r="K43" s="13"/>
      <c r="M43" s="67"/>
      <c r="N43" s="68"/>
      <c r="O43" s="68"/>
      <c r="P43" s="68"/>
      <c r="Q43" s="68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x14ac:dyDescent="0.25">
      <c r="A44" s="13"/>
      <c r="B44" s="42"/>
      <c r="C44" s="30" t="s">
        <v>26</v>
      </c>
      <c r="D44" s="32">
        <f>IF(J29="yes",E32*SQRT(1/D26+1/E26),(SQRT(D28/D26+E28/E26)))</f>
        <v>7.2567959071654833E-3</v>
      </c>
      <c r="E44" s="13"/>
      <c r="F44" s="13"/>
      <c r="G44" s="13"/>
      <c r="H44" s="13"/>
      <c r="I44" s="13"/>
      <c r="J44" s="13"/>
      <c r="K44" s="13"/>
      <c r="M44" s="67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</row>
    <row r="45" spans="1:34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</row>
    <row r="46" spans="1:34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</row>
    <row r="47" spans="1:34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</row>
    <row r="48" spans="1:34" x14ac:dyDescent="0.25"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</row>
    <row r="49" spans="18:34" x14ac:dyDescent="0.25"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</row>
  </sheetData>
  <sheetProtection password="F4E0" sheet="1"/>
  <mergeCells count="5">
    <mergeCell ref="B4:E4"/>
    <mergeCell ref="G4:J4"/>
    <mergeCell ref="C5:D5"/>
    <mergeCell ref="H5:I5"/>
    <mergeCell ref="N5:O5"/>
  </mergeCells>
  <dataValidations count="1">
    <dataValidation type="list" allowBlank="1" showInputMessage="1" showErrorMessage="1" sqref="F7:F11" xr:uid="{00000000-0002-0000-0900-000000000000}">
      <formula1>"Y, N"</formula1>
    </dataValidation>
  </dataValidations>
  <pageMargins left="0.7" right="0.7" top="0.75" bottom="0.75" header="0.3" footer="0.3"/>
  <pageSetup scale="9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49"/>
  <sheetViews>
    <sheetView zoomScale="84" zoomScaleNormal="84" workbookViewId="0">
      <selection activeCell="J7" sqref="J7:J9"/>
    </sheetView>
  </sheetViews>
  <sheetFormatPr defaultColWidth="8.85546875" defaultRowHeight="15" x14ac:dyDescent="0.25"/>
  <cols>
    <col min="1" max="1" width="2.28515625" customWidth="1"/>
    <col min="3" max="3" width="13" customWidth="1"/>
    <col min="4" max="5" width="10.28515625" customWidth="1"/>
    <col min="6" max="6" width="7.42578125" customWidth="1"/>
    <col min="11" max="11" width="6.28515625" customWidth="1"/>
    <col min="12" max="12" width="17" customWidth="1"/>
    <col min="13" max="13" width="11.28515625" customWidth="1"/>
    <col min="14" max="14" width="10.28515625" customWidth="1"/>
    <col min="15" max="15" width="8.5703125" customWidth="1"/>
  </cols>
  <sheetData>
    <row r="1" spans="1:34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34" ht="18.75" x14ac:dyDescent="0.3">
      <c r="A2" s="13"/>
      <c r="B2" s="29" t="s">
        <v>28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ht="15.75" thickBo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ht="15.75" thickBot="1" x14ac:dyDescent="0.3">
      <c r="A4" s="13"/>
      <c r="B4" s="96" t="s">
        <v>47</v>
      </c>
      <c r="C4" s="97"/>
      <c r="D4" s="97"/>
      <c r="E4" s="98"/>
      <c r="F4" s="1"/>
      <c r="G4" s="99" t="s">
        <v>48</v>
      </c>
      <c r="H4" s="100"/>
      <c r="I4" s="100"/>
      <c r="J4" s="101"/>
      <c r="K4" s="13"/>
      <c r="L4" s="53" t="s">
        <v>40</v>
      </c>
      <c r="M4" s="54"/>
      <c r="N4" s="55"/>
      <c r="O4" s="56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ht="15.75" thickBot="1" x14ac:dyDescent="0.3">
      <c r="A5" s="13"/>
      <c r="B5" s="48"/>
      <c r="C5" s="102" t="s">
        <v>6</v>
      </c>
      <c r="D5" s="102"/>
      <c r="E5" s="49"/>
      <c r="F5" s="1"/>
      <c r="G5" s="50"/>
      <c r="H5" s="102" t="s">
        <v>6</v>
      </c>
      <c r="I5" s="102"/>
      <c r="J5" s="49"/>
      <c r="K5" s="13"/>
      <c r="L5" s="57"/>
      <c r="M5" s="58" t="s">
        <v>25</v>
      </c>
      <c r="N5" s="103" t="s">
        <v>51</v>
      </c>
      <c r="O5" s="104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9.5" thickBot="1" x14ac:dyDescent="0.35">
      <c r="A6" s="13"/>
      <c r="B6" s="48" t="s">
        <v>7</v>
      </c>
      <c r="C6" s="52" t="s">
        <v>5</v>
      </c>
      <c r="D6" s="52" t="s">
        <v>49</v>
      </c>
      <c r="E6" s="49" t="s">
        <v>8</v>
      </c>
      <c r="F6" s="1"/>
      <c r="G6" s="48" t="s">
        <v>7</v>
      </c>
      <c r="H6" s="52" t="s">
        <v>5</v>
      </c>
      <c r="I6" s="52" t="s">
        <v>50</v>
      </c>
      <c r="J6" s="49" t="s">
        <v>8</v>
      </c>
      <c r="K6" s="13"/>
      <c r="L6" s="59" t="s">
        <v>30</v>
      </c>
      <c r="M6" s="60">
        <f>D29/(D25)</f>
        <v>7.0952561822252236E-2</v>
      </c>
      <c r="N6" s="61" t="s">
        <v>52</v>
      </c>
      <c r="O6" s="62">
        <f>D43*D44/D25</f>
        <v>9.9103539393750658E-3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19.5" thickBot="1" x14ac:dyDescent="0.35">
      <c r="A7" s="13"/>
      <c r="B7" s="11">
        <v>1</v>
      </c>
      <c r="C7" s="73">
        <v>21.96</v>
      </c>
      <c r="D7" s="74">
        <v>21.58</v>
      </c>
      <c r="E7" s="45">
        <f t="shared" ref="E7:E21" si="0">IF(OR(D7="",C7=""),"",C7/D7)</f>
        <v>1.0176088971269694</v>
      </c>
      <c r="F7" s="1"/>
      <c r="G7" s="11">
        <v>1</v>
      </c>
      <c r="H7" s="73">
        <v>20.260000000000002</v>
      </c>
      <c r="I7" s="74">
        <v>21.54</v>
      </c>
      <c r="J7" s="45">
        <f t="shared" ref="J7:J21" si="1">IF(OR(I7="",H7=""),"",H7/I7)</f>
        <v>0.9405756731662025</v>
      </c>
      <c r="K7" s="13"/>
      <c r="L7" s="63" t="s">
        <v>31</v>
      </c>
      <c r="M7" s="64">
        <f>D29/(E25)</f>
        <v>7.63713012991242E-2</v>
      </c>
      <c r="N7" s="65" t="s">
        <v>52</v>
      </c>
      <c r="O7" s="66">
        <f>D43*D44/E25</f>
        <v>1.0667220566060041E-2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 x14ac:dyDescent="0.25">
      <c r="A8" s="13"/>
      <c r="B8" s="12">
        <v>2</v>
      </c>
      <c r="C8" s="75">
        <v>21.46</v>
      </c>
      <c r="D8" s="76">
        <v>21.5</v>
      </c>
      <c r="E8" s="46">
        <f t="shared" si="0"/>
        <v>0.99813953488372098</v>
      </c>
      <c r="F8" s="1"/>
      <c r="G8" s="12">
        <v>2</v>
      </c>
      <c r="H8" s="75">
        <v>20.72</v>
      </c>
      <c r="I8" s="76">
        <v>22.12</v>
      </c>
      <c r="J8" s="46">
        <f t="shared" si="1"/>
        <v>0.93670886075949356</v>
      </c>
      <c r="K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4" x14ac:dyDescent="0.25">
      <c r="A9" s="13"/>
      <c r="B9" s="12">
        <v>3</v>
      </c>
      <c r="C9" s="75">
        <v>20.76</v>
      </c>
      <c r="D9" s="76">
        <v>20.54</v>
      </c>
      <c r="E9" s="46">
        <f t="shared" si="0"/>
        <v>1.0107108081791627</v>
      </c>
      <c r="F9" s="1"/>
      <c r="G9" s="12">
        <v>3</v>
      </c>
      <c r="H9" s="75">
        <v>20.57</v>
      </c>
      <c r="I9" s="76">
        <v>21.92</v>
      </c>
      <c r="J9" s="46">
        <f t="shared" si="1"/>
        <v>0.93841240875912402</v>
      </c>
      <c r="K9" s="13"/>
      <c r="L9" s="51" t="s">
        <v>41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x14ac:dyDescent="0.25">
      <c r="A10" s="13"/>
      <c r="B10" s="12">
        <v>4</v>
      </c>
      <c r="C10" s="77">
        <v>20.86</v>
      </c>
      <c r="D10" s="78">
        <v>20.52</v>
      </c>
      <c r="E10" s="46">
        <f t="shared" si="0"/>
        <v>1.0165692007797271</v>
      </c>
      <c r="F10" s="1"/>
      <c r="G10" s="12">
        <v>4</v>
      </c>
      <c r="H10" s="77"/>
      <c r="I10" s="78"/>
      <c r="J10" s="46" t="str">
        <f t="shared" si="1"/>
        <v/>
      </c>
      <c r="K10" s="13"/>
      <c r="L10" s="13" t="s">
        <v>42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x14ac:dyDescent="0.25">
      <c r="A11" s="13"/>
      <c r="B11" s="12">
        <v>5</v>
      </c>
      <c r="C11" s="77">
        <v>20.68</v>
      </c>
      <c r="D11" s="78">
        <v>20.5</v>
      </c>
      <c r="E11" s="46">
        <f t="shared" si="0"/>
        <v>1.0087804878048781</v>
      </c>
      <c r="F11" s="1"/>
      <c r="G11" s="12">
        <v>5</v>
      </c>
      <c r="H11" s="77"/>
      <c r="I11" s="78"/>
      <c r="J11" s="46" t="str">
        <f t="shared" si="1"/>
        <v/>
      </c>
      <c r="K11" s="13"/>
      <c r="L11" s="13" t="s">
        <v>43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x14ac:dyDescent="0.25">
      <c r="A12" s="13"/>
      <c r="B12" s="12">
        <v>6</v>
      </c>
      <c r="C12" s="79">
        <v>20.9</v>
      </c>
      <c r="D12" s="80">
        <v>20.7</v>
      </c>
      <c r="E12" s="46">
        <f t="shared" si="0"/>
        <v>1.0096618357487923</v>
      </c>
      <c r="F12" s="13"/>
      <c r="G12" s="12">
        <v>6</v>
      </c>
      <c r="H12" s="79"/>
      <c r="I12" s="80"/>
      <c r="J12" s="46" t="str">
        <f t="shared" si="1"/>
        <v/>
      </c>
      <c r="K12" s="13"/>
      <c r="L12" s="13" t="s">
        <v>45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x14ac:dyDescent="0.25">
      <c r="A13" s="13"/>
      <c r="B13" s="12">
        <v>7</v>
      </c>
      <c r="C13" s="79"/>
      <c r="D13" s="80"/>
      <c r="E13" s="46" t="str">
        <f t="shared" si="0"/>
        <v/>
      </c>
      <c r="F13" s="13"/>
      <c r="G13" s="12">
        <v>7</v>
      </c>
      <c r="H13" s="79"/>
      <c r="I13" s="80"/>
      <c r="J13" s="46" t="str">
        <f t="shared" si="1"/>
        <v/>
      </c>
      <c r="K13" s="13"/>
      <c r="L13" s="13" t="s">
        <v>44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 x14ac:dyDescent="0.25">
      <c r="A14" s="13"/>
      <c r="B14" s="12">
        <v>8</v>
      </c>
      <c r="C14" s="79"/>
      <c r="D14" s="80"/>
      <c r="E14" s="46" t="str">
        <f t="shared" si="0"/>
        <v/>
      </c>
      <c r="F14" s="13"/>
      <c r="G14" s="12">
        <v>8</v>
      </c>
      <c r="H14" s="79"/>
      <c r="I14" s="80"/>
      <c r="J14" s="46" t="str">
        <f t="shared" si="1"/>
        <v/>
      </c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x14ac:dyDescent="0.25">
      <c r="A15" s="13"/>
      <c r="B15" s="12">
        <v>9</v>
      </c>
      <c r="C15" s="79"/>
      <c r="D15" s="80"/>
      <c r="E15" s="46" t="str">
        <f t="shared" si="0"/>
        <v/>
      </c>
      <c r="F15" s="13"/>
      <c r="G15" s="12">
        <v>9</v>
      </c>
      <c r="H15" s="79"/>
      <c r="I15" s="80"/>
      <c r="J15" s="46" t="str">
        <f t="shared" si="1"/>
        <v/>
      </c>
      <c r="K15" s="13"/>
      <c r="L15" s="51" t="s">
        <v>39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x14ac:dyDescent="0.25">
      <c r="A16" s="13"/>
      <c r="B16" s="12">
        <v>10</v>
      </c>
      <c r="C16" s="79"/>
      <c r="D16" s="80"/>
      <c r="E16" s="46" t="str">
        <f t="shared" si="0"/>
        <v/>
      </c>
      <c r="F16" s="13"/>
      <c r="G16" s="12">
        <v>10</v>
      </c>
      <c r="H16" s="79"/>
      <c r="I16" s="80"/>
      <c r="J16" s="46" t="str">
        <f t="shared" si="1"/>
        <v/>
      </c>
      <c r="K16" s="13"/>
      <c r="L16" s="67" t="s">
        <v>53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4" x14ac:dyDescent="0.25">
      <c r="A17" s="13"/>
      <c r="B17" s="12">
        <v>11</v>
      </c>
      <c r="C17" s="79"/>
      <c r="D17" s="80"/>
      <c r="E17" s="46" t="str">
        <f t="shared" si="0"/>
        <v/>
      </c>
      <c r="F17" s="13"/>
      <c r="G17" s="12">
        <v>11</v>
      </c>
      <c r="H17" s="79"/>
      <c r="I17" s="80"/>
      <c r="J17" s="46" t="str">
        <f t="shared" si="1"/>
        <v/>
      </c>
      <c r="K17" s="13"/>
      <c r="L17" s="67" t="s">
        <v>54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x14ac:dyDescent="0.25">
      <c r="A18" s="13"/>
      <c r="B18" s="12">
        <v>12</v>
      </c>
      <c r="C18" s="79"/>
      <c r="D18" s="80"/>
      <c r="E18" s="46" t="str">
        <f t="shared" si="0"/>
        <v/>
      </c>
      <c r="F18" s="13"/>
      <c r="G18" s="12">
        <v>12</v>
      </c>
      <c r="H18" s="79"/>
      <c r="I18" s="80"/>
      <c r="J18" s="46" t="str">
        <f t="shared" si="1"/>
        <v/>
      </c>
      <c r="K18" s="13"/>
      <c r="L18" s="67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x14ac:dyDescent="0.25">
      <c r="A19" s="13"/>
      <c r="B19" s="12">
        <v>13</v>
      </c>
      <c r="C19" s="79"/>
      <c r="D19" s="80"/>
      <c r="E19" s="46" t="str">
        <f t="shared" si="0"/>
        <v/>
      </c>
      <c r="F19" s="13"/>
      <c r="G19" s="12">
        <v>13</v>
      </c>
      <c r="H19" s="79"/>
      <c r="I19" s="80"/>
      <c r="J19" s="46" t="str">
        <f t="shared" si="1"/>
        <v/>
      </c>
      <c r="K19" s="13"/>
      <c r="L19" s="67" t="s">
        <v>55</v>
      </c>
      <c r="M19" s="67"/>
      <c r="N19" s="67"/>
      <c r="O19" s="67"/>
      <c r="P19" s="67"/>
      <c r="Q19" s="67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1:34" x14ac:dyDescent="0.25">
      <c r="A20" s="13"/>
      <c r="B20" s="12">
        <v>14</v>
      </c>
      <c r="C20" s="79"/>
      <c r="D20" s="80"/>
      <c r="E20" s="46" t="str">
        <f t="shared" si="0"/>
        <v/>
      </c>
      <c r="F20" s="13"/>
      <c r="G20" s="12">
        <v>14</v>
      </c>
      <c r="H20" s="79"/>
      <c r="I20" s="80"/>
      <c r="J20" s="46" t="str">
        <f t="shared" si="1"/>
        <v/>
      </c>
      <c r="K20" s="13"/>
      <c r="L20" s="67" t="s">
        <v>56</v>
      </c>
      <c r="M20" s="67"/>
      <c r="N20" s="67"/>
      <c r="O20" s="67"/>
      <c r="P20" s="67"/>
      <c r="Q20" s="67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ht="15" customHeight="1" thickBot="1" x14ac:dyDescent="0.3">
      <c r="A21" s="13"/>
      <c r="B21" s="14">
        <v>15</v>
      </c>
      <c r="C21" s="81"/>
      <c r="D21" s="82"/>
      <c r="E21" s="47" t="str">
        <f t="shared" si="0"/>
        <v/>
      </c>
      <c r="F21" s="13"/>
      <c r="G21" s="14">
        <v>15</v>
      </c>
      <c r="H21" s="81"/>
      <c r="I21" s="82"/>
      <c r="J21" s="47" t="str">
        <f t="shared" si="1"/>
        <v/>
      </c>
      <c r="K21" s="13"/>
      <c r="L21" s="67"/>
      <c r="M21" s="67"/>
      <c r="N21" s="67"/>
      <c r="O21" s="67"/>
      <c r="P21" s="67"/>
      <c r="Q21" s="67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ht="14.25" customHeight="1" thickBot="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67" t="s">
        <v>64</v>
      </c>
      <c r="M22" s="67"/>
      <c r="N22" s="67"/>
      <c r="O22" s="67"/>
      <c r="P22" s="67"/>
      <c r="Q22" s="67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6.5" thickBot="1" x14ac:dyDescent="0.3">
      <c r="A23" s="13"/>
      <c r="B23" s="9" t="s">
        <v>13</v>
      </c>
      <c r="C23" s="6"/>
      <c r="D23" s="5"/>
      <c r="E23" s="7"/>
      <c r="F23" s="13"/>
      <c r="G23" s="9" t="s">
        <v>14</v>
      </c>
      <c r="H23" s="5"/>
      <c r="I23" s="5"/>
      <c r="J23" s="7"/>
      <c r="K23" s="13"/>
      <c r="L23" s="67" t="s">
        <v>65</v>
      </c>
      <c r="M23" s="67"/>
      <c r="N23" s="67"/>
      <c r="O23" s="67"/>
      <c r="P23" s="67"/>
      <c r="Q23" s="67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4" ht="16.5" thickBot="1" x14ac:dyDescent="0.3">
      <c r="A24" s="13"/>
      <c r="B24" s="4"/>
      <c r="C24" s="6"/>
      <c r="D24" s="5" t="s">
        <v>4</v>
      </c>
      <c r="E24" s="8" t="s">
        <v>5</v>
      </c>
      <c r="F24" s="13"/>
      <c r="G24" s="25" t="s">
        <v>15</v>
      </c>
      <c r="H24" s="13"/>
      <c r="I24" s="13"/>
      <c r="J24" s="26">
        <f>D27^2</f>
        <v>4.8693327151248931E-5</v>
      </c>
      <c r="K24" s="13"/>
      <c r="L24" s="68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8"/>
    </row>
    <row r="25" spans="1:34" x14ac:dyDescent="0.25">
      <c r="A25" s="13"/>
      <c r="B25" s="18" t="s">
        <v>9</v>
      </c>
      <c r="C25" s="19"/>
      <c r="D25" s="36">
        <f>AVERAGE(E7:E21)</f>
        <v>1.0102451274205417</v>
      </c>
      <c r="E25" s="37">
        <f>AVERAGE(J7:J21)</f>
        <v>0.93856564756160665</v>
      </c>
      <c r="F25" s="13"/>
      <c r="G25" s="25" t="s">
        <v>16</v>
      </c>
      <c r="H25" s="13"/>
      <c r="I25" s="13"/>
      <c r="J25" s="27">
        <f>E27^2</f>
        <v>3.755671145109292E-6</v>
      </c>
      <c r="K25" s="13"/>
      <c r="L25" s="67" t="s">
        <v>2</v>
      </c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8"/>
    </row>
    <row r="26" spans="1:34" x14ac:dyDescent="0.25">
      <c r="A26" s="13"/>
      <c r="B26" s="20" t="s">
        <v>10</v>
      </c>
      <c r="C26" s="13"/>
      <c r="D26" s="10">
        <f>COUNT(E7:E21)</f>
        <v>6</v>
      </c>
      <c r="E26" s="2">
        <f>COUNT(J7:J21)</f>
        <v>3</v>
      </c>
      <c r="F26" s="13"/>
      <c r="G26" s="25" t="s">
        <v>17</v>
      </c>
      <c r="H26" s="13"/>
      <c r="I26" s="13"/>
      <c r="J26" s="27">
        <f>J25/J24</f>
        <v>7.7129072191834458E-2</v>
      </c>
      <c r="K26" s="13"/>
      <c r="L26" s="67" t="s">
        <v>62</v>
      </c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8"/>
    </row>
    <row r="27" spans="1:34" x14ac:dyDescent="0.25">
      <c r="A27" s="13"/>
      <c r="B27" s="20" t="s">
        <v>11</v>
      </c>
      <c r="C27" s="13"/>
      <c r="D27" s="16">
        <f>STDEV(E7:E21)</f>
        <v>6.9780604147032816E-3</v>
      </c>
      <c r="E27" s="17">
        <f>STDEV(J7:J21)</f>
        <v>1.9379554032818434E-3</v>
      </c>
      <c r="F27" s="13"/>
      <c r="G27" s="25" t="s">
        <v>18</v>
      </c>
      <c r="H27" s="13"/>
      <c r="I27" s="13"/>
      <c r="J27" s="27">
        <f>FINV(0.975,E26-1,D26-1)</f>
        <v>2.5446440122317643E-2</v>
      </c>
      <c r="K27" s="13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8"/>
    </row>
    <row r="28" spans="1:34" ht="15.75" thickBot="1" x14ac:dyDescent="0.3">
      <c r="A28" s="13"/>
      <c r="B28" s="20" t="s">
        <v>24</v>
      </c>
      <c r="C28" s="13"/>
      <c r="D28" s="33">
        <f>D27^2</f>
        <v>4.8693327151248931E-5</v>
      </c>
      <c r="E28" s="34">
        <f>E27^2</f>
        <v>3.755671145109292E-6</v>
      </c>
      <c r="F28" s="13"/>
      <c r="G28" s="25" t="s">
        <v>19</v>
      </c>
      <c r="H28" s="13"/>
      <c r="I28" s="13"/>
      <c r="J28" s="27">
        <f>FINV(0.025,E26-1,D26-1)</f>
        <v>8.4336207394327811</v>
      </c>
      <c r="K28" s="13"/>
      <c r="L28" s="67" t="s">
        <v>60</v>
      </c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8"/>
    </row>
    <row r="29" spans="1:34" ht="16.5" customHeight="1" thickBot="1" x14ac:dyDescent="0.35">
      <c r="A29" s="13"/>
      <c r="B29" s="21" t="s">
        <v>12</v>
      </c>
      <c r="C29" s="15"/>
      <c r="D29" s="35">
        <f>D25-E25</f>
        <v>7.167947985893508E-2</v>
      </c>
      <c r="E29" s="3"/>
      <c r="F29" s="13"/>
      <c r="G29" s="28" t="s">
        <v>20</v>
      </c>
      <c r="H29" s="15"/>
      <c r="I29" s="15"/>
      <c r="J29" s="44" t="str">
        <f>IF(J26&lt;J28,IF(J26&gt;J27,"yes","no"),"no")</f>
        <v>yes</v>
      </c>
      <c r="K29" s="13" t="s">
        <v>46</v>
      </c>
      <c r="L29" s="69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8"/>
    </row>
    <row r="30" spans="1:34" ht="12" customHeight="1" thickBo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69" t="s">
        <v>57</v>
      </c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spans="1:34" ht="15.75" thickBot="1" x14ac:dyDescent="0.3">
      <c r="A31" s="13"/>
      <c r="B31" s="9" t="s">
        <v>33</v>
      </c>
      <c r="C31" s="5"/>
      <c r="D31" s="5"/>
      <c r="E31" s="7"/>
      <c r="F31" s="13"/>
      <c r="G31" s="9" t="s">
        <v>34</v>
      </c>
      <c r="H31" s="5"/>
      <c r="I31" s="5"/>
      <c r="J31" s="7"/>
      <c r="L31" s="69" t="s">
        <v>1</v>
      </c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x14ac:dyDescent="0.25">
      <c r="A32" s="13"/>
      <c r="B32" s="20" t="s">
        <v>27</v>
      </c>
      <c r="C32" s="13"/>
      <c r="D32" s="13"/>
      <c r="E32" s="26">
        <f>SQRT(((D26-1)*D27^2+(E26-1)*E27^2)/(D26+E26-2))</f>
        <v>5.9878207107244338E-3</v>
      </c>
      <c r="F32" s="13"/>
      <c r="G32" s="18" t="s">
        <v>23</v>
      </c>
      <c r="H32" s="19"/>
      <c r="I32" s="19"/>
      <c r="J32" s="22">
        <f>(D28/D26+E28/E26)^2/(((D28/D26)^2)/(D26-1)+((E28/E26)^2)/(E26-1))</f>
        <v>6.2875213528802245</v>
      </c>
      <c r="K32" s="13"/>
      <c r="L32" s="69" t="s">
        <v>58</v>
      </c>
      <c r="M32" s="68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 spans="1:34" x14ac:dyDescent="0.25">
      <c r="A33" s="13"/>
      <c r="B33" s="20" t="s">
        <v>21</v>
      </c>
      <c r="C33" s="13"/>
      <c r="D33" s="13"/>
      <c r="E33" s="23">
        <f>TINV(0.05,(D26+E26-2))</f>
        <v>2.3646242515927849</v>
      </c>
      <c r="F33" s="13"/>
      <c r="G33" s="20" t="s">
        <v>21</v>
      </c>
      <c r="H33" s="13"/>
      <c r="I33" s="13"/>
      <c r="J33" s="23">
        <f>SQRT(-BETAINV(0.05,J$32/2,0.5)*J$32*(BETAINV(0.05,J$32/2,0.5)-1))/BETAINV(0.05,J$32/2,0.5)</f>
        <v>2.4200425598977513</v>
      </c>
      <c r="K33" s="13"/>
      <c r="L33" s="69" t="s">
        <v>61</v>
      </c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 spans="1:34" ht="15.75" thickBot="1" x14ac:dyDescent="0.3">
      <c r="A34" s="13"/>
      <c r="B34" s="20" t="s">
        <v>29</v>
      </c>
      <c r="C34" s="13"/>
      <c r="D34" s="13"/>
      <c r="E34" s="23">
        <f>D29/(E32*SQRT(1/D26+1/E26))</f>
        <v>16.929380062899526</v>
      </c>
      <c r="F34" s="13"/>
      <c r="G34" s="20" t="s">
        <v>29</v>
      </c>
      <c r="H34" s="13"/>
      <c r="I34" s="13"/>
      <c r="J34" s="23">
        <f>D29/SQRT(D28/D26+E28/E26)</f>
        <v>23.419858751007474</v>
      </c>
      <c r="K34" s="13"/>
      <c r="L34" s="70" t="s">
        <v>59</v>
      </c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ht="19.5" thickBot="1" x14ac:dyDescent="0.35">
      <c r="A35" s="13"/>
      <c r="B35" s="20" t="s">
        <v>32</v>
      </c>
      <c r="C35" s="13"/>
      <c r="D35" s="13"/>
      <c r="E35" s="44" t="str">
        <f>IF(E34&gt;E33,"yes","no")</f>
        <v>yes</v>
      </c>
      <c r="F35" s="13"/>
      <c r="G35" s="20" t="s">
        <v>32</v>
      </c>
      <c r="H35" s="13"/>
      <c r="I35" s="13"/>
      <c r="J35" s="44" t="str">
        <f>IF(J34&gt;J33,"yes","no")</f>
        <v>yes</v>
      </c>
      <c r="K35" s="13"/>
      <c r="L35" s="70" t="s">
        <v>0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 spans="1:34" ht="15.75" thickBot="1" x14ac:dyDescent="0.3">
      <c r="A36" s="13"/>
      <c r="B36" s="21" t="s">
        <v>22</v>
      </c>
      <c r="C36" s="15"/>
      <c r="D36" s="15"/>
      <c r="E36" s="24">
        <f>TDIST(E34,(D26+E26-2),2)</f>
        <v>6.147184739103817E-7</v>
      </c>
      <c r="F36" s="13"/>
      <c r="G36" s="21" t="s">
        <v>22</v>
      </c>
      <c r="H36" s="15"/>
      <c r="I36" s="15"/>
      <c r="J36" s="24">
        <f>BETADIST(J32/(J32+(J34^2)),J32/2,0.5)</f>
        <v>2.3483068380270751E-7</v>
      </c>
      <c r="K36" s="13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 spans="1:34" x14ac:dyDescent="0.25">
      <c r="A37" s="13"/>
      <c r="B37" s="38" t="s">
        <v>35</v>
      </c>
      <c r="C37" s="19"/>
      <c r="D37" s="19"/>
      <c r="E37" s="39">
        <f>D29-E33*E32*SQRT(1/D26+1/E26)</f>
        <v>6.1667593080668451E-2</v>
      </c>
      <c r="G37" s="38" t="s">
        <v>37</v>
      </c>
      <c r="H37" s="19"/>
      <c r="I37" s="19"/>
      <c r="J37" s="39">
        <f>D29-J33*(SQRT(D28/D26+E28/E26))</f>
        <v>6.4272629383267957E-2</v>
      </c>
      <c r="K37" s="13"/>
      <c r="L37" s="70" t="s">
        <v>63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ht="15.75" thickBot="1" x14ac:dyDescent="0.3">
      <c r="A38" s="13"/>
      <c r="B38" s="28" t="s">
        <v>36</v>
      </c>
      <c r="C38" s="15"/>
      <c r="D38" s="15"/>
      <c r="E38" s="40">
        <f>D29+E33*E32*SQRT(1/D26+1/E26)</f>
        <v>8.1691366637201709E-2</v>
      </c>
      <c r="F38" s="13"/>
      <c r="G38" s="28" t="s">
        <v>38</v>
      </c>
      <c r="H38" s="15"/>
      <c r="I38" s="15"/>
      <c r="J38" s="40">
        <f>D29+J33*(SQRT(D28/D26+E28/E26))</f>
        <v>7.9086330334602203E-2</v>
      </c>
      <c r="K38" s="13"/>
      <c r="L38" s="70" t="s">
        <v>66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 spans="1:34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70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 spans="1:34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72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 spans="1:34" x14ac:dyDescent="0.25">
      <c r="A41" s="13"/>
      <c r="B41" s="13"/>
      <c r="D41" s="13"/>
      <c r="E41" s="13"/>
      <c r="F41" s="13"/>
      <c r="G41" s="13"/>
      <c r="H41" s="13"/>
      <c r="I41" s="13"/>
      <c r="J41" s="13"/>
      <c r="K41" s="13"/>
      <c r="L41" s="72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 spans="1:34" x14ac:dyDescent="0.25">
      <c r="A42" s="13"/>
      <c r="B42" s="13"/>
      <c r="D42" s="13"/>
      <c r="E42" s="13"/>
      <c r="F42" s="13"/>
      <c r="G42" s="13"/>
      <c r="H42" s="13"/>
      <c r="I42" s="13"/>
      <c r="J42" s="13"/>
      <c r="K42" s="13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 spans="1:34" x14ac:dyDescent="0.25">
      <c r="A43" s="13"/>
      <c r="B43" s="43"/>
      <c r="C43" s="41" t="s">
        <v>3</v>
      </c>
      <c r="D43" s="31">
        <f>IF(J29="yes",E33,J33)</f>
        <v>2.3646242515927849</v>
      </c>
      <c r="E43" s="13"/>
      <c r="F43" s="13"/>
      <c r="G43" s="13"/>
      <c r="H43" s="13"/>
      <c r="I43" s="13"/>
      <c r="J43" s="13"/>
      <c r="K43" s="13"/>
      <c r="M43" s="67"/>
      <c r="N43" s="68"/>
      <c r="O43" s="68"/>
      <c r="P43" s="68"/>
      <c r="Q43" s="68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x14ac:dyDescent="0.25">
      <c r="A44" s="13"/>
      <c r="B44" s="42"/>
      <c r="C44" s="30" t="s">
        <v>26</v>
      </c>
      <c r="D44" s="32">
        <f>IF(J29="yes",E32*SQRT(1/D26+1/E26),(SQRT(D28/D26+E28/E26)))</f>
        <v>4.2340286290824996E-3</v>
      </c>
      <c r="E44" s="13"/>
      <c r="F44" s="13"/>
      <c r="G44" s="13"/>
      <c r="H44" s="13"/>
      <c r="I44" s="13"/>
      <c r="J44" s="13"/>
      <c r="K44" s="13"/>
      <c r="M44" s="67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</row>
    <row r="45" spans="1:34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</row>
    <row r="46" spans="1:34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</row>
    <row r="47" spans="1:34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</row>
    <row r="48" spans="1:34" x14ac:dyDescent="0.25"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</row>
    <row r="49" spans="18:34" x14ac:dyDescent="0.25"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</row>
  </sheetData>
  <sheetProtection password="F4E0" sheet="1"/>
  <mergeCells count="5">
    <mergeCell ref="B4:E4"/>
    <mergeCell ref="G4:J4"/>
    <mergeCell ref="C5:D5"/>
    <mergeCell ref="H5:I5"/>
    <mergeCell ref="N5:O5"/>
  </mergeCells>
  <dataValidations count="1">
    <dataValidation type="list" allowBlank="1" showInputMessage="1" showErrorMessage="1" sqref="F7:F11" xr:uid="{00000000-0002-0000-0A00-000000000000}">
      <formula1>"Y, N"</formula1>
    </dataValidation>
  </dataValidations>
  <pageMargins left="0.7" right="0.7" top="0.75" bottom="0.75" header="0.3" footer="0.3"/>
  <pageSetup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49"/>
  <sheetViews>
    <sheetView zoomScale="84" zoomScaleNormal="84" workbookViewId="0">
      <selection activeCell="D7" sqref="D7:D12"/>
    </sheetView>
  </sheetViews>
  <sheetFormatPr defaultColWidth="8.85546875" defaultRowHeight="15" x14ac:dyDescent="0.25"/>
  <cols>
    <col min="1" max="1" width="2.28515625" customWidth="1"/>
    <col min="3" max="3" width="13" customWidth="1"/>
    <col min="4" max="5" width="10.28515625" customWidth="1"/>
    <col min="6" max="6" width="7.42578125" customWidth="1"/>
    <col min="11" max="11" width="6.28515625" customWidth="1"/>
    <col min="12" max="12" width="17" customWidth="1"/>
    <col min="13" max="13" width="11.28515625" customWidth="1"/>
    <col min="14" max="14" width="10.28515625" customWidth="1"/>
    <col min="15" max="15" width="8.5703125" customWidth="1"/>
  </cols>
  <sheetData>
    <row r="1" spans="1:34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34" ht="18.75" x14ac:dyDescent="0.3">
      <c r="A2" s="13"/>
      <c r="B2" s="29" t="s">
        <v>28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ht="15.75" thickBo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ht="15.75" thickBot="1" x14ac:dyDescent="0.3">
      <c r="A4" s="13"/>
      <c r="B4" s="96" t="s">
        <v>47</v>
      </c>
      <c r="C4" s="97"/>
      <c r="D4" s="97"/>
      <c r="E4" s="98"/>
      <c r="F4" s="1"/>
      <c r="G4" s="99" t="s">
        <v>48</v>
      </c>
      <c r="H4" s="100"/>
      <c r="I4" s="100"/>
      <c r="J4" s="101"/>
      <c r="K4" s="13"/>
      <c r="L4" s="53" t="s">
        <v>40</v>
      </c>
      <c r="M4" s="54"/>
      <c r="N4" s="55"/>
      <c r="O4" s="56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ht="15.75" thickBot="1" x14ac:dyDescent="0.3">
      <c r="A5" s="13"/>
      <c r="B5" s="48"/>
      <c r="C5" s="102" t="s">
        <v>6</v>
      </c>
      <c r="D5" s="102"/>
      <c r="E5" s="49"/>
      <c r="F5" s="1"/>
      <c r="G5" s="50"/>
      <c r="H5" s="102" t="s">
        <v>6</v>
      </c>
      <c r="I5" s="102"/>
      <c r="J5" s="49"/>
      <c r="K5" s="13"/>
      <c r="L5" s="57"/>
      <c r="M5" s="58" t="s">
        <v>25</v>
      </c>
      <c r="N5" s="103" t="s">
        <v>51</v>
      </c>
      <c r="O5" s="104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9.5" thickBot="1" x14ac:dyDescent="0.35">
      <c r="A6" s="13"/>
      <c r="B6" s="48" t="s">
        <v>7</v>
      </c>
      <c r="C6" s="52" t="s">
        <v>5</v>
      </c>
      <c r="D6" s="52" t="s">
        <v>49</v>
      </c>
      <c r="E6" s="49" t="s">
        <v>8</v>
      </c>
      <c r="F6" s="1"/>
      <c r="G6" s="48" t="s">
        <v>7</v>
      </c>
      <c r="H6" s="52" t="s">
        <v>5</v>
      </c>
      <c r="I6" s="52" t="s">
        <v>50</v>
      </c>
      <c r="J6" s="49" t="s">
        <v>8</v>
      </c>
      <c r="K6" s="13"/>
      <c r="L6" s="59" t="s">
        <v>30</v>
      </c>
      <c r="M6" s="60">
        <f>D29/(D25)</f>
        <v>6.6480196303621925E-2</v>
      </c>
      <c r="N6" s="61" t="s">
        <v>52</v>
      </c>
      <c r="O6" s="62">
        <f>D43*D44/D25</f>
        <v>1.2662166354636437E-2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19.5" thickBot="1" x14ac:dyDescent="0.35">
      <c r="A7" s="13"/>
      <c r="B7" s="11">
        <v>1</v>
      </c>
      <c r="C7" s="73">
        <v>21.96</v>
      </c>
      <c r="D7" s="74">
        <v>22.52</v>
      </c>
      <c r="E7" s="45">
        <f t="shared" ref="E7:E21" si="0">IF(OR(D7="",C7=""),"",C7/D7)</f>
        <v>0.9751332149200711</v>
      </c>
      <c r="F7" s="1"/>
      <c r="G7" s="11">
        <v>1</v>
      </c>
      <c r="H7" s="73">
        <v>20.260000000000002</v>
      </c>
      <c r="I7" s="74">
        <v>22.18</v>
      </c>
      <c r="J7" s="45">
        <f t="shared" ref="J7:J21" si="1">IF(OR(I7="",H7=""),"",H7/I7)</f>
        <v>0.91343552750225432</v>
      </c>
      <c r="K7" s="13"/>
      <c r="L7" s="63" t="s">
        <v>31</v>
      </c>
      <c r="M7" s="64">
        <f>D29/(E25)</f>
        <v>7.1214553821339413E-2</v>
      </c>
      <c r="N7" s="65" t="s">
        <v>52</v>
      </c>
      <c r="O7" s="66">
        <f>D43*D44/E25</f>
        <v>1.3563896881993446E-2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 x14ac:dyDescent="0.25">
      <c r="A8" s="13"/>
      <c r="B8" s="12">
        <v>2</v>
      </c>
      <c r="C8" s="75">
        <v>21.46</v>
      </c>
      <c r="D8" s="76">
        <v>22</v>
      </c>
      <c r="E8" s="46">
        <f t="shared" si="0"/>
        <v>0.97545454545454546</v>
      </c>
      <c r="F8" s="1"/>
      <c r="G8" s="12">
        <v>2</v>
      </c>
      <c r="H8" s="75">
        <v>20.72</v>
      </c>
      <c r="I8" s="76">
        <v>22.48</v>
      </c>
      <c r="J8" s="46">
        <f t="shared" si="1"/>
        <v>0.9217081850533807</v>
      </c>
      <c r="K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4" x14ac:dyDescent="0.25">
      <c r="A9" s="13"/>
      <c r="B9" s="12">
        <v>3</v>
      </c>
      <c r="C9" s="75">
        <v>20.76</v>
      </c>
      <c r="D9" s="76">
        <v>21.14</v>
      </c>
      <c r="E9" s="46">
        <f t="shared" si="0"/>
        <v>0.98202459791863772</v>
      </c>
      <c r="F9" s="1"/>
      <c r="G9" s="12">
        <v>3</v>
      </c>
      <c r="H9" s="75">
        <v>20.57</v>
      </c>
      <c r="I9" s="76">
        <v>22.88</v>
      </c>
      <c r="J9" s="46">
        <f t="shared" si="1"/>
        <v>0.89903846153846156</v>
      </c>
      <c r="K9" s="13"/>
      <c r="L9" s="51" t="s">
        <v>41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x14ac:dyDescent="0.25">
      <c r="A10" s="13"/>
      <c r="B10" s="12">
        <v>4</v>
      </c>
      <c r="C10" s="77">
        <v>20.86</v>
      </c>
      <c r="D10" s="78">
        <v>21.54</v>
      </c>
      <c r="E10" s="46">
        <f t="shared" si="0"/>
        <v>0.96843082636954503</v>
      </c>
      <c r="F10" s="1"/>
      <c r="G10" s="12">
        <v>4</v>
      </c>
      <c r="H10" s="77"/>
      <c r="I10" s="78"/>
      <c r="J10" s="46" t="str">
        <f t="shared" si="1"/>
        <v/>
      </c>
      <c r="K10" s="13"/>
      <c r="L10" s="13" t="s">
        <v>42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x14ac:dyDescent="0.25">
      <c r="A11" s="13"/>
      <c r="B11" s="12">
        <v>5</v>
      </c>
      <c r="C11" s="77">
        <v>20.68</v>
      </c>
      <c r="D11" s="78">
        <v>21.08</v>
      </c>
      <c r="E11" s="46">
        <f t="shared" si="0"/>
        <v>0.98102466793168885</v>
      </c>
      <c r="F11" s="1"/>
      <c r="G11" s="12">
        <v>5</v>
      </c>
      <c r="H11" s="77"/>
      <c r="I11" s="78"/>
      <c r="J11" s="46" t="str">
        <f t="shared" si="1"/>
        <v/>
      </c>
      <c r="K11" s="13"/>
      <c r="L11" s="13" t="s">
        <v>43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x14ac:dyDescent="0.25">
      <c r="A12" s="13"/>
      <c r="B12" s="12">
        <v>6</v>
      </c>
      <c r="C12" s="79">
        <v>20.9</v>
      </c>
      <c r="D12" s="80">
        <v>21.42</v>
      </c>
      <c r="E12" s="46">
        <f t="shared" si="0"/>
        <v>0.97572362278244618</v>
      </c>
      <c r="F12" s="13"/>
      <c r="G12" s="12">
        <v>6</v>
      </c>
      <c r="H12" s="79"/>
      <c r="I12" s="80"/>
      <c r="J12" s="46" t="str">
        <f t="shared" si="1"/>
        <v/>
      </c>
      <c r="K12" s="13"/>
      <c r="L12" s="13" t="s">
        <v>45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x14ac:dyDescent="0.25">
      <c r="A13" s="13"/>
      <c r="B13" s="12">
        <v>7</v>
      </c>
      <c r="C13" s="79"/>
      <c r="D13" s="80"/>
      <c r="E13" s="46" t="str">
        <f t="shared" si="0"/>
        <v/>
      </c>
      <c r="F13" s="13"/>
      <c r="G13" s="12">
        <v>7</v>
      </c>
      <c r="H13" s="79"/>
      <c r="I13" s="80"/>
      <c r="J13" s="46" t="str">
        <f t="shared" si="1"/>
        <v/>
      </c>
      <c r="K13" s="13"/>
      <c r="L13" s="13" t="s">
        <v>44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 x14ac:dyDescent="0.25">
      <c r="A14" s="13"/>
      <c r="B14" s="12">
        <v>8</v>
      </c>
      <c r="C14" s="79"/>
      <c r="D14" s="80"/>
      <c r="E14" s="46" t="str">
        <f t="shared" si="0"/>
        <v/>
      </c>
      <c r="F14" s="13"/>
      <c r="G14" s="12">
        <v>8</v>
      </c>
      <c r="H14" s="79"/>
      <c r="I14" s="80"/>
      <c r="J14" s="46" t="str">
        <f t="shared" si="1"/>
        <v/>
      </c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x14ac:dyDescent="0.25">
      <c r="A15" s="13"/>
      <c r="B15" s="12">
        <v>9</v>
      </c>
      <c r="C15" s="79"/>
      <c r="D15" s="80"/>
      <c r="E15" s="46" t="str">
        <f t="shared" si="0"/>
        <v/>
      </c>
      <c r="F15" s="13"/>
      <c r="G15" s="12">
        <v>9</v>
      </c>
      <c r="H15" s="79"/>
      <c r="I15" s="80"/>
      <c r="J15" s="46" t="str">
        <f t="shared" si="1"/>
        <v/>
      </c>
      <c r="K15" s="13"/>
      <c r="L15" s="51" t="s">
        <v>39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x14ac:dyDescent="0.25">
      <c r="A16" s="13"/>
      <c r="B16" s="12">
        <v>10</v>
      </c>
      <c r="C16" s="79"/>
      <c r="D16" s="80"/>
      <c r="E16" s="46" t="str">
        <f t="shared" si="0"/>
        <v/>
      </c>
      <c r="F16" s="13"/>
      <c r="G16" s="12">
        <v>10</v>
      </c>
      <c r="H16" s="79"/>
      <c r="I16" s="80"/>
      <c r="J16" s="46" t="str">
        <f t="shared" si="1"/>
        <v/>
      </c>
      <c r="K16" s="13"/>
      <c r="L16" s="67" t="s">
        <v>53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4" x14ac:dyDescent="0.25">
      <c r="A17" s="13"/>
      <c r="B17" s="12">
        <v>11</v>
      </c>
      <c r="C17" s="79"/>
      <c r="D17" s="80"/>
      <c r="E17" s="46" t="str">
        <f t="shared" si="0"/>
        <v/>
      </c>
      <c r="F17" s="13"/>
      <c r="G17" s="12">
        <v>11</v>
      </c>
      <c r="H17" s="79"/>
      <c r="I17" s="80"/>
      <c r="J17" s="46" t="str">
        <f t="shared" si="1"/>
        <v/>
      </c>
      <c r="K17" s="13"/>
      <c r="L17" s="67" t="s">
        <v>54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x14ac:dyDescent="0.25">
      <c r="A18" s="13"/>
      <c r="B18" s="12">
        <v>12</v>
      </c>
      <c r="C18" s="79"/>
      <c r="D18" s="80"/>
      <c r="E18" s="46" t="str">
        <f t="shared" si="0"/>
        <v/>
      </c>
      <c r="F18" s="13"/>
      <c r="G18" s="12">
        <v>12</v>
      </c>
      <c r="H18" s="79"/>
      <c r="I18" s="80"/>
      <c r="J18" s="46" t="str">
        <f t="shared" si="1"/>
        <v/>
      </c>
      <c r="K18" s="13"/>
      <c r="L18" s="67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x14ac:dyDescent="0.25">
      <c r="A19" s="13"/>
      <c r="B19" s="12">
        <v>13</v>
      </c>
      <c r="C19" s="79"/>
      <c r="D19" s="80"/>
      <c r="E19" s="46" t="str">
        <f t="shared" si="0"/>
        <v/>
      </c>
      <c r="F19" s="13"/>
      <c r="G19" s="12">
        <v>13</v>
      </c>
      <c r="H19" s="79"/>
      <c r="I19" s="80"/>
      <c r="J19" s="46" t="str">
        <f t="shared" si="1"/>
        <v/>
      </c>
      <c r="K19" s="13"/>
      <c r="L19" s="67" t="s">
        <v>55</v>
      </c>
      <c r="M19" s="67"/>
      <c r="N19" s="67"/>
      <c r="O19" s="67"/>
      <c r="P19" s="67"/>
      <c r="Q19" s="67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1:34" x14ac:dyDescent="0.25">
      <c r="A20" s="13"/>
      <c r="B20" s="12">
        <v>14</v>
      </c>
      <c r="C20" s="79"/>
      <c r="D20" s="80"/>
      <c r="E20" s="46" t="str">
        <f t="shared" si="0"/>
        <v/>
      </c>
      <c r="F20" s="13"/>
      <c r="G20" s="12">
        <v>14</v>
      </c>
      <c r="H20" s="79"/>
      <c r="I20" s="80"/>
      <c r="J20" s="46" t="str">
        <f t="shared" si="1"/>
        <v/>
      </c>
      <c r="K20" s="13"/>
      <c r="L20" s="67" t="s">
        <v>56</v>
      </c>
      <c r="M20" s="67"/>
      <c r="N20" s="67"/>
      <c r="O20" s="67"/>
      <c r="P20" s="67"/>
      <c r="Q20" s="67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ht="15" customHeight="1" thickBot="1" x14ac:dyDescent="0.3">
      <c r="A21" s="13"/>
      <c r="B21" s="14">
        <v>15</v>
      </c>
      <c r="C21" s="81"/>
      <c r="D21" s="82"/>
      <c r="E21" s="47" t="str">
        <f t="shared" si="0"/>
        <v/>
      </c>
      <c r="F21" s="13"/>
      <c r="G21" s="14">
        <v>15</v>
      </c>
      <c r="H21" s="81"/>
      <c r="I21" s="82"/>
      <c r="J21" s="47" t="str">
        <f t="shared" si="1"/>
        <v/>
      </c>
      <c r="K21" s="13"/>
      <c r="L21" s="67"/>
      <c r="M21" s="67"/>
      <c r="N21" s="67"/>
      <c r="O21" s="67"/>
      <c r="P21" s="67"/>
      <c r="Q21" s="67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ht="14.25" customHeight="1" thickBot="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67" t="s">
        <v>64</v>
      </c>
      <c r="M22" s="67"/>
      <c r="N22" s="67"/>
      <c r="O22" s="67"/>
      <c r="P22" s="67"/>
      <c r="Q22" s="67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6.5" thickBot="1" x14ac:dyDescent="0.3">
      <c r="A23" s="13"/>
      <c r="B23" s="9" t="s">
        <v>13</v>
      </c>
      <c r="C23" s="6"/>
      <c r="D23" s="5"/>
      <c r="E23" s="7"/>
      <c r="F23" s="13"/>
      <c r="G23" s="9" t="s">
        <v>14</v>
      </c>
      <c r="H23" s="5"/>
      <c r="I23" s="5"/>
      <c r="J23" s="7"/>
      <c r="K23" s="13"/>
      <c r="L23" s="67" t="s">
        <v>65</v>
      </c>
      <c r="M23" s="67"/>
      <c r="N23" s="67"/>
      <c r="O23" s="67"/>
      <c r="P23" s="67"/>
      <c r="Q23" s="67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4" ht="16.5" thickBot="1" x14ac:dyDescent="0.3">
      <c r="A24" s="13"/>
      <c r="B24" s="4"/>
      <c r="C24" s="6"/>
      <c r="D24" s="5" t="s">
        <v>4</v>
      </c>
      <c r="E24" s="8" t="s">
        <v>5</v>
      </c>
      <c r="F24" s="13"/>
      <c r="G24" s="25" t="s">
        <v>15</v>
      </c>
      <c r="H24" s="13"/>
      <c r="I24" s="13"/>
      <c r="J24" s="26">
        <f>D27^2</f>
        <v>2.3885156283520937E-5</v>
      </c>
      <c r="K24" s="13"/>
      <c r="L24" s="68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8"/>
    </row>
    <row r="25" spans="1:34" x14ac:dyDescent="0.25">
      <c r="A25" s="13"/>
      <c r="B25" s="18" t="s">
        <v>9</v>
      </c>
      <c r="C25" s="19"/>
      <c r="D25" s="36">
        <f>AVERAGE(E7:E21)</f>
        <v>0.97629857922948915</v>
      </c>
      <c r="E25" s="37">
        <f>AVERAGE(J7:J21)</f>
        <v>0.91139405803136553</v>
      </c>
      <c r="F25" s="13"/>
      <c r="G25" s="25" t="s">
        <v>16</v>
      </c>
      <c r="H25" s="13"/>
      <c r="I25" s="13"/>
      <c r="J25" s="27">
        <f>E27^2</f>
        <v>1.3160478926114763E-4</v>
      </c>
      <c r="K25" s="13"/>
      <c r="L25" s="67" t="s">
        <v>2</v>
      </c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8"/>
    </row>
    <row r="26" spans="1:34" x14ac:dyDescent="0.25">
      <c r="A26" s="13"/>
      <c r="B26" s="20" t="s">
        <v>10</v>
      </c>
      <c r="C26" s="13"/>
      <c r="D26" s="10">
        <f>COUNT(E7:E21)</f>
        <v>6</v>
      </c>
      <c r="E26" s="2">
        <f>COUNT(J7:J21)</f>
        <v>3</v>
      </c>
      <c r="F26" s="13"/>
      <c r="G26" s="25" t="s">
        <v>17</v>
      </c>
      <c r="H26" s="13"/>
      <c r="I26" s="13"/>
      <c r="J26" s="27">
        <f>J25/J24</f>
        <v>5.5098986039268913</v>
      </c>
      <c r="K26" s="13"/>
      <c r="L26" s="67" t="s">
        <v>62</v>
      </c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8"/>
    </row>
    <row r="27" spans="1:34" x14ac:dyDescent="0.25">
      <c r="A27" s="13"/>
      <c r="B27" s="20" t="s">
        <v>11</v>
      </c>
      <c r="C27" s="13"/>
      <c r="D27" s="16">
        <f>STDEV(E7:E21)</f>
        <v>4.8872442422617816E-3</v>
      </c>
      <c r="E27" s="17">
        <f>STDEV(J7:J21)</f>
        <v>1.1471913060215704E-2</v>
      </c>
      <c r="F27" s="13"/>
      <c r="G27" s="25" t="s">
        <v>18</v>
      </c>
      <c r="H27" s="13"/>
      <c r="I27" s="13"/>
      <c r="J27" s="27">
        <f>FINV(0.975,E26-1,D26-1)</f>
        <v>2.5446440122317643E-2</v>
      </c>
      <c r="K27" s="13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8"/>
    </row>
    <row r="28" spans="1:34" ht="15.75" thickBot="1" x14ac:dyDescent="0.3">
      <c r="A28" s="13"/>
      <c r="B28" s="20" t="s">
        <v>24</v>
      </c>
      <c r="C28" s="13"/>
      <c r="D28" s="33">
        <f>D27^2</f>
        <v>2.3885156283520937E-5</v>
      </c>
      <c r="E28" s="34">
        <f>E27^2</f>
        <v>1.3160478926114763E-4</v>
      </c>
      <c r="F28" s="13"/>
      <c r="G28" s="25" t="s">
        <v>19</v>
      </c>
      <c r="H28" s="13"/>
      <c r="I28" s="13"/>
      <c r="J28" s="27">
        <f>FINV(0.025,E26-1,D26-1)</f>
        <v>8.4336207394327811</v>
      </c>
      <c r="K28" s="13"/>
      <c r="L28" s="67" t="s">
        <v>60</v>
      </c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8"/>
    </row>
    <row r="29" spans="1:34" ht="16.5" customHeight="1" thickBot="1" x14ac:dyDescent="0.35">
      <c r="A29" s="13"/>
      <c r="B29" s="21" t="s">
        <v>12</v>
      </c>
      <c r="C29" s="15"/>
      <c r="D29" s="35">
        <f>D25-E25</f>
        <v>6.4904521198123621E-2</v>
      </c>
      <c r="E29" s="3"/>
      <c r="F29" s="13"/>
      <c r="G29" s="28" t="s">
        <v>20</v>
      </c>
      <c r="H29" s="15"/>
      <c r="I29" s="15"/>
      <c r="J29" s="44" t="str">
        <f>IF(J26&lt;J28,IF(J26&gt;J27,"yes","no"),"no")</f>
        <v>yes</v>
      </c>
      <c r="K29" s="13" t="s">
        <v>46</v>
      </c>
      <c r="L29" s="69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8"/>
    </row>
    <row r="30" spans="1:34" ht="12" customHeight="1" thickBo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69" t="s">
        <v>57</v>
      </c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spans="1:34" ht="15.75" thickBot="1" x14ac:dyDescent="0.3">
      <c r="A31" s="13"/>
      <c r="B31" s="9" t="s">
        <v>33</v>
      </c>
      <c r="C31" s="5"/>
      <c r="D31" s="5"/>
      <c r="E31" s="7"/>
      <c r="F31" s="13"/>
      <c r="G31" s="9" t="s">
        <v>34</v>
      </c>
      <c r="H31" s="5"/>
      <c r="I31" s="5"/>
      <c r="J31" s="7"/>
      <c r="L31" s="69" t="s">
        <v>1</v>
      </c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x14ac:dyDescent="0.25">
      <c r="A32" s="13"/>
      <c r="B32" s="20" t="s">
        <v>27</v>
      </c>
      <c r="C32" s="13"/>
      <c r="D32" s="13"/>
      <c r="E32" s="26">
        <f>SQRT(((D26-1)*D27^2+(E26-1)*E27^2)/(D26+E26-2))</f>
        <v>7.3933885517486874E-3</v>
      </c>
      <c r="F32" s="13"/>
      <c r="G32" s="18" t="s">
        <v>23</v>
      </c>
      <c r="H32" s="19"/>
      <c r="I32" s="19"/>
      <c r="J32" s="22">
        <f>(D28/D26+E28/E26)^2/(((D28/D26)^2)/(D26-1)+((E28/E26)^2)/(E26-1))</f>
        <v>2.3716406863293034</v>
      </c>
      <c r="K32" s="13"/>
      <c r="L32" s="69" t="s">
        <v>58</v>
      </c>
      <c r="M32" s="68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 spans="1:34" x14ac:dyDescent="0.25">
      <c r="A33" s="13"/>
      <c r="B33" s="20" t="s">
        <v>21</v>
      </c>
      <c r="C33" s="13"/>
      <c r="D33" s="13"/>
      <c r="E33" s="23">
        <f>TINV(0.05,(D26+E26-2))</f>
        <v>2.3646242515927849</v>
      </c>
      <c r="F33" s="13"/>
      <c r="G33" s="20" t="s">
        <v>21</v>
      </c>
      <c r="H33" s="13"/>
      <c r="I33" s="13"/>
      <c r="J33" s="23">
        <f>SQRT(-BETAINV(0.05,J$32/2,0.5)*J$32*(BETAINV(0.05,J$32/2,0.5)-1))/BETAINV(0.05,J$32/2,0.5)</f>
        <v>3.7169483364949802</v>
      </c>
      <c r="K33" s="13"/>
      <c r="L33" s="69" t="s">
        <v>61</v>
      </c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 spans="1:34" ht="15.75" thickBot="1" x14ac:dyDescent="0.3">
      <c r="A34" s="13"/>
      <c r="B34" s="20" t="s">
        <v>29</v>
      </c>
      <c r="C34" s="13"/>
      <c r="D34" s="13"/>
      <c r="E34" s="23">
        <f>D29/(E32*SQRT(1/D26+1/E26))</f>
        <v>12.414991244577362</v>
      </c>
      <c r="F34" s="13"/>
      <c r="G34" s="20" t="s">
        <v>29</v>
      </c>
      <c r="H34" s="13"/>
      <c r="I34" s="13"/>
      <c r="J34" s="23">
        <f>D29/SQRT(D28/D26+E28/E26)</f>
        <v>9.3829188824126177</v>
      </c>
      <c r="K34" s="13"/>
      <c r="L34" s="70" t="s">
        <v>59</v>
      </c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ht="19.5" thickBot="1" x14ac:dyDescent="0.35">
      <c r="A35" s="13"/>
      <c r="B35" s="20" t="s">
        <v>32</v>
      </c>
      <c r="C35" s="13"/>
      <c r="D35" s="13"/>
      <c r="E35" s="44" t="str">
        <f>IF(E34&gt;E33,"yes","no")</f>
        <v>yes</v>
      </c>
      <c r="F35" s="13"/>
      <c r="G35" s="20" t="s">
        <v>32</v>
      </c>
      <c r="H35" s="13"/>
      <c r="I35" s="13"/>
      <c r="J35" s="44" t="str">
        <f>IF(J34&gt;J33,"yes","no")</f>
        <v>yes</v>
      </c>
      <c r="K35" s="13"/>
      <c r="L35" s="70" t="s">
        <v>0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 spans="1:34" ht="15.75" thickBot="1" x14ac:dyDescent="0.3">
      <c r="A36" s="13"/>
      <c r="B36" s="21" t="s">
        <v>22</v>
      </c>
      <c r="C36" s="15"/>
      <c r="D36" s="15"/>
      <c r="E36" s="24">
        <f>TDIST(E34,(D26+E26-2),2)</f>
        <v>5.059563697055715E-6</v>
      </c>
      <c r="F36" s="13"/>
      <c r="G36" s="21" t="s">
        <v>22</v>
      </c>
      <c r="H36" s="15"/>
      <c r="I36" s="15"/>
      <c r="J36" s="24">
        <f>BETADIST(J32/(J32+(J34^2)),J32/2,0.5)</f>
        <v>6.2795122219351865E-3</v>
      </c>
      <c r="K36" s="13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 spans="1:34" x14ac:dyDescent="0.25">
      <c r="A37" s="13"/>
      <c r="B37" s="38" t="s">
        <v>35</v>
      </c>
      <c r="C37" s="19"/>
      <c r="D37" s="19"/>
      <c r="E37" s="39">
        <f>D29-E33*E32*SQRT(1/D26+1/E26)</f>
        <v>5.2542466176124632E-2</v>
      </c>
      <c r="G37" s="38" t="s">
        <v>37</v>
      </c>
      <c r="H37" s="19"/>
      <c r="I37" s="19"/>
      <c r="J37" s="39">
        <f>D29-J33*(SQRT(D28/D26+E28/E26))</f>
        <v>3.9193252122722927E-2</v>
      </c>
      <c r="K37" s="13"/>
      <c r="L37" s="70" t="s">
        <v>63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ht="15.75" thickBot="1" x14ac:dyDescent="0.3">
      <c r="A38" s="13"/>
      <c r="B38" s="28" t="s">
        <v>36</v>
      </c>
      <c r="C38" s="15"/>
      <c r="D38" s="15"/>
      <c r="E38" s="40">
        <f>D29+E33*E32*SQRT(1/D26+1/E26)</f>
        <v>7.7266576220122618E-2</v>
      </c>
      <c r="F38" s="13"/>
      <c r="G38" s="28" t="s">
        <v>38</v>
      </c>
      <c r="H38" s="15"/>
      <c r="I38" s="15"/>
      <c r="J38" s="40">
        <f>D29+J33*(SQRT(D28/D26+E28/E26))</f>
        <v>9.0615790273524316E-2</v>
      </c>
      <c r="K38" s="13"/>
      <c r="L38" s="70" t="s">
        <v>66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 spans="1:34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70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 spans="1:34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72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 spans="1:34" x14ac:dyDescent="0.25">
      <c r="A41" s="13"/>
      <c r="B41" s="13"/>
      <c r="D41" s="13"/>
      <c r="E41" s="13"/>
      <c r="F41" s="13"/>
      <c r="G41" s="13"/>
      <c r="H41" s="13"/>
      <c r="I41" s="13"/>
      <c r="J41" s="13"/>
      <c r="K41" s="13"/>
      <c r="L41" s="72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 spans="1:34" x14ac:dyDescent="0.25">
      <c r="A42" s="13"/>
      <c r="B42" s="13"/>
      <c r="D42" s="13"/>
      <c r="E42" s="13"/>
      <c r="F42" s="13"/>
      <c r="G42" s="13"/>
      <c r="H42" s="13"/>
      <c r="I42" s="13"/>
      <c r="J42" s="13"/>
      <c r="K42" s="13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 spans="1:34" x14ac:dyDescent="0.25">
      <c r="A43" s="13"/>
      <c r="B43" s="43"/>
      <c r="C43" s="41" t="s">
        <v>3</v>
      </c>
      <c r="D43" s="31">
        <f>IF(J29="yes",E33,J33)</f>
        <v>2.3646242515927849</v>
      </c>
      <c r="E43" s="13"/>
      <c r="F43" s="13"/>
      <c r="G43" s="13"/>
      <c r="H43" s="13"/>
      <c r="I43" s="13"/>
      <c r="J43" s="13"/>
      <c r="K43" s="13"/>
      <c r="M43" s="67"/>
      <c r="N43" s="68"/>
      <c r="O43" s="68"/>
      <c r="P43" s="68"/>
      <c r="Q43" s="68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x14ac:dyDescent="0.25">
      <c r="A44" s="13"/>
      <c r="B44" s="42"/>
      <c r="C44" s="30" t="s">
        <v>26</v>
      </c>
      <c r="D44" s="32">
        <f>IF(J29="yes",E32*SQRT(1/D26+1/E26),(SQRT(D28/D26+E28/E26)))</f>
        <v>5.2279151808884853E-3</v>
      </c>
      <c r="E44" s="13"/>
      <c r="F44" s="13"/>
      <c r="G44" s="13"/>
      <c r="H44" s="13"/>
      <c r="I44" s="13"/>
      <c r="J44" s="13"/>
      <c r="K44" s="13"/>
      <c r="M44" s="67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</row>
    <row r="45" spans="1:34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</row>
    <row r="46" spans="1:34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</row>
    <row r="47" spans="1:34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</row>
    <row r="48" spans="1:34" x14ac:dyDescent="0.25"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</row>
    <row r="49" spans="18:34" x14ac:dyDescent="0.25"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</row>
  </sheetData>
  <sheetProtection password="F4E0" sheet="1"/>
  <mergeCells count="5">
    <mergeCell ref="B4:E4"/>
    <mergeCell ref="G4:J4"/>
    <mergeCell ref="C5:D5"/>
    <mergeCell ref="H5:I5"/>
    <mergeCell ref="N5:O5"/>
  </mergeCells>
  <dataValidations count="1">
    <dataValidation type="list" allowBlank="1" showInputMessage="1" showErrorMessage="1" sqref="F7:F11" xr:uid="{00000000-0002-0000-0B00-000000000000}">
      <formula1>"Y, N"</formula1>
    </dataValidation>
  </dataValidations>
  <pageMargins left="0.7" right="0.7" top="0.75" bottom="0.75" header="0.3" footer="0.3"/>
  <pageSetup scale="9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49"/>
  <sheetViews>
    <sheetView zoomScale="84" zoomScaleNormal="84" workbookViewId="0">
      <selection activeCell="J7" sqref="J7:J9"/>
    </sheetView>
  </sheetViews>
  <sheetFormatPr defaultColWidth="8.85546875" defaultRowHeight="15" x14ac:dyDescent="0.25"/>
  <cols>
    <col min="1" max="1" width="2.28515625" customWidth="1"/>
    <col min="3" max="3" width="13" customWidth="1"/>
    <col min="4" max="5" width="10.28515625" customWidth="1"/>
    <col min="6" max="6" width="7.42578125" customWidth="1"/>
    <col min="11" max="11" width="6.28515625" customWidth="1"/>
    <col min="12" max="12" width="17" customWidth="1"/>
    <col min="13" max="13" width="11.28515625" customWidth="1"/>
    <col min="14" max="14" width="10.28515625" customWidth="1"/>
    <col min="15" max="15" width="8.5703125" customWidth="1"/>
  </cols>
  <sheetData>
    <row r="1" spans="1:34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34" ht="18.75" x14ac:dyDescent="0.3">
      <c r="A2" s="13"/>
      <c r="B2" s="29" t="s">
        <v>28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ht="15.75" thickBo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ht="15.75" thickBot="1" x14ac:dyDescent="0.3">
      <c r="A4" s="13"/>
      <c r="B4" s="96" t="s">
        <v>47</v>
      </c>
      <c r="C4" s="97"/>
      <c r="D4" s="97"/>
      <c r="E4" s="98"/>
      <c r="F4" s="1"/>
      <c r="G4" s="99" t="s">
        <v>48</v>
      </c>
      <c r="H4" s="100"/>
      <c r="I4" s="100"/>
      <c r="J4" s="101"/>
      <c r="K4" s="13"/>
      <c r="L4" s="53" t="s">
        <v>40</v>
      </c>
      <c r="M4" s="54"/>
      <c r="N4" s="55"/>
      <c r="O4" s="56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ht="15.75" thickBot="1" x14ac:dyDescent="0.3">
      <c r="A5" s="13"/>
      <c r="B5" s="48"/>
      <c r="C5" s="102" t="s">
        <v>6</v>
      </c>
      <c r="D5" s="102"/>
      <c r="E5" s="49"/>
      <c r="F5" s="1"/>
      <c r="G5" s="50"/>
      <c r="H5" s="102" t="s">
        <v>6</v>
      </c>
      <c r="I5" s="102"/>
      <c r="J5" s="49"/>
      <c r="K5" s="13"/>
      <c r="L5" s="57"/>
      <c r="M5" s="58" t="s">
        <v>25</v>
      </c>
      <c r="N5" s="103" t="s">
        <v>51</v>
      </c>
      <c r="O5" s="104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9.5" thickBot="1" x14ac:dyDescent="0.35">
      <c r="A6" s="13"/>
      <c r="B6" s="48" t="s">
        <v>7</v>
      </c>
      <c r="C6" s="52" t="s">
        <v>5</v>
      </c>
      <c r="D6" s="52" t="s">
        <v>49</v>
      </c>
      <c r="E6" s="49" t="s">
        <v>8</v>
      </c>
      <c r="F6" s="1"/>
      <c r="G6" s="48" t="s">
        <v>7</v>
      </c>
      <c r="H6" s="52" t="s">
        <v>5</v>
      </c>
      <c r="I6" s="52" t="s">
        <v>50</v>
      </c>
      <c r="J6" s="49" t="s">
        <v>8</v>
      </c>
      <c r="K6" s="13"/>
      <c r="L6" s="59" t="s">
        <v>30</v>
      </c>
      <c r="M6" s="60">
        <f>D29/(D25)</f>
        <v>1.2410517645682694E-2</v>
      </c>
      <c r="N6" s="61" t="s">
        <v>52</v>
      </c>
      <c r="O6" s="62">
        <f>D43*D44/D25</f>
        <v>1.3766081238158936E-2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19.5" thickBot="1" x14ac:dyDescent="0.35">
      <c r="A7" s="13"/>
      <c r="B7" s="11">
        <v>1</v>
      </c>
      <c r="C7" s="73">
        <v>22.52</v>
      </c>
      <c r="D7" s="74">
        <v>21.58</v>
      </c>
      <c r="E7" s="45">
        <f t="shared" ref="E7:E21" si="0">IF(OR(D7="",C7=""),"",C7/D7)</f>
        <v>1.0435588507877664</v>
      </c>
      <c r="F7" s="1"/>
      <c r="G7" s="11">
        <v>1</v>
      </c>
      <c r="H7" s="73">
        <v>21.76</v>
      </c>
      <c r="I7" s="74">
        <v>21.26</v>
      </c>
      <c r="J7" s="45">
        <f t="shared" ref="J7:J21" si="1">IF(OR(I7="",H7=""),"",H7/I7)</f>
        <v>1.0235183443085607</v>
      </c>
      <c r="K7" s="13"/>
      <c r="L7" s="63" t="s">
        <v>31</v>
      </c>
      <c r="M7" s="64">
        <f>D29/(E25)</f>
        <v>1.2566474094172435E-2</v>
      </c>
      <c r="N7" s="65" t="s">
        <v>52</v>
      </c>
      <c r="O7" s="66">
        <f>D43*D44/E25</f>
        <v>1.3939072341416534E-2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 x14ac:dyDescent="0.25">
      <c r="A8" s="13"/>
      <c r="B8" s="12">
        <v>2</v>
      </c>
      <c r="C8" s="75">
        <v>22</v>
      </c>
      <c r="D8" s="76">
        <v>21.5</v>
      </c>
      <c r="E8" s="46">
        <f t="shared" si="0"/>
        <v>1.0232558139534884</v>
      </c>
      <c r="F8" s="1"/>
      <c r="G8" s="12">
        <v>2</v>
      </c>
      <c r="H8" s="75">
        <v>21.58</v>
      </c>
      <c r="I8" s="76">
        <v>21.3</v>
      </c>
      <c r="J8" s="46">
        <f t="shared" si="1"/>
        <v>1.0131455399061031</v>
      </c>
      <c r="K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4" x14ac:dyDescent="0.25">
      <c r="A9" s="13"/>
      <c r="B9" s="12">
        <v>3</v>
      </c>
      <c r="C9" s="75">
        <v>21.14</v>
      </c>
      <c r="D9" s="76">
        <v>20.54</v>
      </c>
      <c r="E9" s="46">
        <f t="shared" si="0"/>
        <v>1.0292112950340799</v>
      </c>
      <c r="F9" s="1"/>
      <c r="G9" s="12">
        <v>3</v>
      </c>
      <c r="H9" s="75">
        <v>21.72</v>
      </c>
      <c r="I9" s="76">
        <v>21.1</v>
      </c>
      <c r="J9" s="46">
        <f t="shared" si="1"/>
        <v>1.0293838862559241</v>
      </c>
      <c r="K9" s="13"/>
      <c r="L9" s="51" t="s">
        <v>41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x14ac:dyDescent="0.25">
      <c r="A10" s="13"/>
      <c r="B10" s="12">
        <v>4</v>
      </c>
      <c r="C10" s="77">
        <v>21.54</v>
      </c>
      <c r="D10" s="78">
        <v>20.52</v>
      </c>
      <c r="E10" s="46">
        <f t="shared" si="0"/>
        <v>1.0497076023391814</v>
      </c>
      <c r="F10" s="1"/>
      <c r="G10" s="12">
        <v>4</v>
      </c>
      <c r="H10" s="77"/>
      <c r="I10" s="78"/>
      <c r="J10" s="46" t="str">
        <f t="shared" si="1"/>
        <v/>
      </c>
      <c r="K10" s="13"/>
      <c r="L10" s="13" t="s">
        <v>42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x14ac:dyDescent="0.25">
      <c r="A11" s="13"/>
      <c r="B11" s="12">
        <v>5</v>
      </c>
      <c r="C11" s="77">
        <v>21.08</v>
      </c>
      <c r="D11" s="78">
        <v>20.5</v>
      </c>
      <c r="E11" s="46">
        <f t="shared" si="0"/>
        <v>1.0282926829268293</v>
      </c>
      <c r="F11" s="1"/>
      <c r="G11" s="12">
        <v>5</v>
      </c>
      <c r="H11" s="77"/>
      <c r="I11" s="78"/>
      <c r="J11" s="46" t="str">
        <f t="shared" si="1"/>
        <v/>
      </c>
      <c r="K11" s="13"/>
      <c r="L11" s="13" t="s">
        <v>43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x14ac:dyDescent="0.25">
      <c r="A12" s="13"/>
      <c r="B12" s="12">
        <v>6</v>
      </c>
      <c r="C12" s="79">
        <v>21.42</v>
      </c>
      <c r="D12" s="80">
        <v>20.7</v>
      </c>
      <c r="E12" s="46">
        <f t="shared" si="0"/>
        <v>1.0347826086956522</v>
      </c>
      <c r="F12" s="13"/>
      <c r="G12" s="12">
        <v>6</v>
      </c>
      <c r="H12" s="79"/>
      <c r="I12" s="80"/>
      <c r="J12" s="46" t="str">
        <f t="shared" si="1"/>
        <v/>
      </c>
      <c r="K12" s="13"/>
      <c r="L12" s="13" t="s">
        <v>45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x14ac:dyDescent="0.25">
      <c r="A13" s="13"/>
      <c r="B13" s="12">
        <v>7</v>
      </c>
      <c r="C13" s="79">
        <v>21.76</v>
      </c>
      <c r="D13" s="80">
        <v>21.02</v>
      </c>
      <c r="E13" s="46">
        <f t="shared" si="0"/>
        <v>1.0352045670789725</v>
      </c>
      <c r="F13" s="13"/>
      <c r="G13" s="12">
        <v>7</v>
      </c>
      <c r="H13" s="79"/>
      <c r="I13" s="80"/>
      <c r="J13" s="46" t="str">
        <f t="shared" si="1"/>
        <v/>
      </c>
      <c r="K13" s="13"/>
      <c r="L13" s="13" t="s">
        <v>44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 x14ac:dyDescent="0.25">
      <c r="A14" s="13"/>
      <c r="B14" s="12">
        <v>8</v>
      </c>
      <c r="C14" s="79"/>
      <c r="D14" s="80"/>
      <c r="E14" s="46" t="str">
        <f t="shared" si="0"/>
        <v/>
      </c>
      <c r="F14" s="13"/>
      <c r="G14" s="12">
        <v>8</v>
      </c>
      <c r="H14" s="79"/>
      <c r="I14" s="80"/>
      <c r="J14" s="46" t="str">
        <f t="shared" si="1"/>
        <v/>
      </c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x14ac:dyDescent="0.25">
      <c r="A15" s="13"/>
      <c r="B15" s="12">
        <v>9</v>
      </c>
      <c r="C15" s="79"/>
      <c r="D15" s="80"/>
      <c r="E15" s="46" t="str">
        <f t="shared" si="0"/>
        <v/>
      </c>
      <c r="F15" s="13"/>
      <c r="G15" s="12">
        <v>9</v>
      </c>
      <c r="H15" s="79"/>
      <c r="I15" s="80"/>
      <c r="J15" s="46" t="str">
        <f t="shared" si="1"/>
        <v/>
      </c>
      <c r="K15" s="13"/>
      <c r="L15" s="51" t="s">
        <v>39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x14ac:dyDescent="0.25">
      <c r="A16" s="13"/>
      <c r="B16" s="12">
        <v>10</v>
      </c>
      <c r="C16" s="79"/>
      <c r="D16" s="80"/>
      <c r="E16" s="46" t="str">
        <f t="shared" si="0"/>
        <v/>
      </c>
      <c r="F16" s="13"/>
      <c r="G16" s="12">
        <v>10</v>
      </c>
      <c r="H16" s="79"/>
      <c r="I16" s="80"/>
      <c r="J16" s="46" t="str">
        <f t="shared" si="1"/>
        <v/>
      </c>
      <c r="K16" s="13"/>
      <c r="L16" s="67" t="s">
        <v>53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4" x14ac:dyDescent="0.25">
      <c r="A17" s="13"/>
      <c r="B17" s="12">
        <v>11</v>
      </c>
      <c r="C17" s="79"/>
      <c r="D17" s="80"/>
      <c r="E17" s="46" t="str">
        <f t="shared" si="0"/>
        <v/>
      </c>
      <c r="F17" s="13"/>
      <c r="G17" s="12">
        <v>11</v>
      </c>
      <c r="H17" s="79"/>
      <c r="I17" s="80"/>
      <c r="J17" s="46" t="str">
        <f t="shared" si="1"/>
        <v/>
      </c>
      <c r="K17" s="13"/>
      <c r="L17" s="67" t="s">
        <v>54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x14ac:dyDescent="0.25">
      <c r="A18" s="13"/>
      <c r="B18" s="12">
        <v>12</v>
      </c>
      <c r="C18" s="79"/>
      <c r="D18" s="80"/>
      <c r="E18" s="46" t="str">
        <f t="shared" si="0"/>
        <v/>
      </c>
      <c r="F18" s="13"/>
      <c r="G18" s="12">
        <v>12</v>
      </c>
      <c r="H18" s="79"/>
      <c r="I18" s="80"/>
      <c r="J18" s="46" t="str">
        <f t="shared" si="1"/>
        <v/>
      </c>
      <c r="K18" s="13"/>
      <c r="L18" s="67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x14ac:dyDescent="0.25">
      <c r="A19" s="13"/>
      <c r="B19" s="12">
        <v>13</v>
      </c>
      <c r="C19" s="79"/>
      <c r="D19" s="80"/>
      <c r="E19" s="46" t="str">
        <f t="shared" si="0"/>
        <v/>
      </c>
      <c r="F19" s="13"/>
      <c r="G19" s="12">
        <v>13</v>
      </c>
      <c r="H19" s="79"/>
      <c r="I19" s="80"/>
      <c r="J19" s="46" t="str">
        <f t="shared" si="1"/>
        <v/>
      </c>
      <c r="K19" s="13"/>
      <c r="L19" s="67" t="s">
        <v>55</v>
      </c>
      <c r="M19" s="67"/>
      <c r="N19" s="67"/>
      <c r="O19" s="67"/>
      <c r="P19" s="67"/>
      <c r="Q19" s="67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1:34" x14ac:dyDescent="0.25">
      <c r="A20" s="13"/>
      <c r="B20" s="12">
        <v>14</v>
      </c>
      <c r="C20" s="79"/>
      <c r="D20" s="80"/>
      <c r="E20" s="46" t="str">
        <f t="shared" si="0"/>
        <v/>
      </c>
      <c r="F20" s="13"/>
      <c r="G20" s="12">
        <v>14</v>
      </c>
      <c r="H20" s="79"/>
      <c r="I20" s="80"/>
      <c r="J20" s="46" t="str">
        <f t="shared" si="1"/>
        <v/>
      </c>
      <c r="K20" s="13"/>
      <c r="L20" s="67" t="s">
        <v>56</v>
      </c>
      <c r="M20" s="67"/>
      <c r="N20" s="67"/>
      <c r="O20" s="67"/>
      <c r="P20" s="67"/>
      <c r="Q20" s="67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ht="15" customHeight="1" thickBot="1" x14ac:dyDescent="0.3">
      <c r="A21" s="13"/>
      <c r="B21" s="14">
        <v>15</v>
      </c>
      <c r="C21" s="81"/>
      <c r="D21" s="82"/>
      <c r="E21" s="47" t="str">
        <f t="shared" si="0"/>
        <v/>
      </c>
      <c r="F21" s="13"/>
      <c r="G21" s="14">
        <v>15</v>
      </c>
      <c r="H21" s="81"/>
      <c r="I21" s="82"/>
      <c r="J21" s="47" t="str">
        <f t="shared" si="1"/>
        <v/>
      </c>
      <c r="K21" s="13"/>
      <c r="L21" s="67"/>
      <c r="M21" s="67"/>
      <c r="N21" s="67"/>
      <c r="O21" s="67"/>
      <c r="P21" s="67"/>
      <c r="Q21" s="67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ht="14.25" customHeight="1" thickBot="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67" t="s">
        <v>64</v>
      </c>
      <c r="M22" s="67"/>
      <c r="N22" s="67"/>
      <c r="O22" s="67"/>
      <c r="P22" s="67"/>
      <c r="Q22" s="67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6.5" thickBot="1" x14ac:dyDescent="0.3">
      <c r="A23" s="13"/>
      <c r="B23" s="9" t="s">
        <v>13</v>
      </c>
      <c r="C23" s="6"/>
      <c r="D23" s="5"/>
      <c r="E23" s="7"/>
      <c r="F23" s="13"/>
      <c r="G23" s="9" t="s">
        <v>14</v>
      </c>
      <c r="H23" s="5"/>
      <c r="I23" s="5"/>
      <c r="J23" s="7"/>
      <c r="K23" s="13"/>
      <c r="L23" s="67" t="s">
        <v>65</v>
      </c>
      <c r="M23" s="67"/>
      <c r="N23" s="67"/>
      <c r="O23" s="67"/>
      <c r="P23" s="67"/>
      <c r="Q23" s="67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4" ht="16.5" thickBot="1" x14ac:dyDescent="0.3">
      <c r="A24" s="13"/>
      <c r="B24" s="4"/>
      <c r="C24" s="6"/>
      <c r="D24" s="5" t="s">
        <v>4</v>
      </c>
      <c r="E24" s="8" t="s">
        <v>5</v>
      </c>
      <c r="F24" s="13"/>
      <c r="G24" s="25" t="s">
        <v>15</v>
      </c>
      <c r="H24" s="13"/>
      <c r="I24" s="13"/>
      <c r="J24" s="26">
        <f>D27^2</f>
        <v>8.4323444181024453E-5</v>
      </c>
      <c r="K24" s="13"/>
      <c r="L24" s="68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8"/>
    </row>
    <row r="25" spans="1:34" x14ac:dyDescent="0.25">
      <c r="A25" s="13"/>
      <c r="B25" s="18" t="s">
        <v>9</v>
      </c>
      <c r="C25" s="19"/>
      <c r="D25" s="36">
        <f>AVERAGE(E7:E21)</f>
        <v>1.0348590601165673</v>
      </c>
      <c r="E25" s="37">
        <f>AVERAGE(J7:J21)</f>
        <v>1.022015923490196</v>
      </c>
      <c r="F25" s="13"/>
      <c r="G25" s="25" t="s">
        <v>16</v>
      </c>
      <c r="H25" s="13"/>
      <c r="I25" s="13"/>
      <c r="J25" s="27">
        <f>E27^2</f>
        <v>6.7613924280778194E-5</v>
      </c>
      <c r="K25" s="13"/>
      <c r="L25" s="67" t="s">
        <v>2</v>
      </c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8"/>
    </row>
    <row r="26" spans="1:34" x14ac:dyDescent="0.25">
      <c r="A26" s="13"/>
      <c r="B26" s="20" t="s">
        <v>10</v>
      </c>
      <c r="C26" s="13"/>
      <c r="D26" s="10">
        <f>COUNT(E7:E21)</f>
        <v>7</v>
      </c>
      <c r="E26" s="2">
        <f>COUNT(J7:J21)</f>
        <v>3</v>
      </c>
      <c r="F26" s="13"/>
      <c r="G26" s="25" t="s">
        <v>17</v>
      </c>
      <c r="H26" s="13"/>
      <c r="I26" s="13"/>
      <c r="J26" s="27">
        <f>J25/J24</f>
        <v>0.80184016363972888</v>
      </c>
      <c r="K26" s="13"/>
      <c r="L26" s="67" t="s">
        <v>62</v>
      </c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8"/>
    </row>
    <row r="27" spans="1:34" x14ac:dyDescent="0.25">
      <c r="A27" s="13"/>
      <c r="B27" s="20" t="s">
        <v>11</v>
      </c>
      <c r="C27" s="13"/>
      <c r="D27" s="16">
        <f>STDEV(E7:E21)</f>
        <v>9.1827797632865211E-3</v>
      </c>
      <c r="E27" s="17">
        <f>STDEV(J7:J21)</f>
        <v>8.2227686505688697E-3</v>
      </c>
      <c r="F27" s="13"/>
      <c r="G27" s="25" t="s">
        <v>18</v>
      </c>
      <c r="H27" s="13"/>
      <c r="I27" s="13"/>
      <c r="J27" s="27">
        <f>FINV(0.975,E26-1,D26-1)</f>
        <v>2.5424941047334615E-2</v>
      </c>
      <c r="K27" s="13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8"/>
    </row>
    <row r="28" spans="1:34" ht="15.75" thickBot="1" x14ac:dyDescent="0.3">
      <c r="A28" s="13"/>
      <c r="B28" s="20" t="s">
        <v>24</v>
      </c>
      <c r="C28" s="13"/>
      <c r="D28" s="33">
        <f>D27^2</f>
        <v>8.4323444181024453E-5</v>
      </c>
      <c r="E28" s="34">
        <f>E27^2</f>
        <v>6.7613924280778194E-5</v>
      </c>
      <c r="F28" s="13"/>
      <c r="G28" s="25" t="s">
        <v>19</v>
      </c>
      <c r="H28" s="13"/>
      <c r="I28" s="13"/>
      <c r="J28" s="27">
        <f>FINV(0.025,E26-1,D26-1)</f>
        <v>7.2598556800601788</v>
      </c>
      <c r="K28" s="13"/>
      <c r="L28" s="67" t="s">
        <v>60</v>
      </c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8"/>
    </row>
    <row r="29" spans="1:34" ht="16.5" customHeight="1" thickBot="1" x14ac:dyDescent="0.35">
      <c r="A29" s="13"/>
      <c r="B29" s="21" t="s">
        <v>12</v>
      </c>
      <c r="C29" s="15"/>
      <c r="D29" s="35">
        <f>D25-E25</f>
        <v>1.2843136626371265E-2</v>
      </c>
      <c r="E29" s="3"/>
      <c r="F29" s="13"/>
      <c r="G29" s="28" t="s">
        <v>20</v>
      </c>
      <c r="H29" s="15"/>
      <c r="I29" s="15"/>
      <c r="J29" s="44" t="str">
        <f>IF(J26&lt;J28,IF(J26&gt;J27,"yes","no"),"no")</f>
        <v>yes</v>
      </c>
      <c r="K29" s="13" t="s">
        <v>46</v>
      </c>
      <c r="L29" s="69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8"/>
    </row>
    <row r="30" spans="1:34" ht="12" customHeight="1" thickBo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69" t="s">
        <v>57</v>
      </c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spans="1:34" ht="15.75" thickBot="1" x14ac:dyDescent="0.3">
      <c r="A31" s="13"/>
      <c r="B31" s="9" t="s">
        <v>33</v>
      </c>
      <c r="C31" s="5"/>
      <c r="D31" s="5"/>
      <c r="E31" s="7"/>
      <c r="F31" s="13"/>
      <c r="G31" s="9" t="s">
        <v>34</v>
      </c>
      <c r="H31" s="5"/>
      <c r="I31" s="5"/>
      <c r="J31" s="7"/>
      <c r="L31" s="69" t="s">
        <v>1</v>
      </c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x14ac:dyDescent="0.25">
      <c r="A32" s="13"/>
      <c r="B32" s="20" t="s">
        <v>27</v>
      </c>
      <c r="C32" s="13"/>
      <c r="D32" s="13"/>
      <c r="E32" s="26">
        <f>SQRT(((D26-1)*D27^2+(E26-1)*E27^2)/(D26+E26-2))</f>
        <v>8.9524334237101634E-3</v>
      </c>
      <c r="F32" s="13"/>
      <c r="G32" s="18" t="s">
        <v>23</v>
      </c>
      <c r="H32" s="19"/>
      <c r="I32" s="19"/>
      <c r="J32" s="22">
        <f>(D28/D26+E28/E26)^2/(((D28/D26)^2)/(D26-1)+((E28/E26)^2)/(E26-1))</f>
        <v>4.2998369430825569</v>
      </c>
      <c r="K32" s="13"/>
      <c r="L32" s="69" t="s">
        <v>58</v>
      </c>
      <c r="M32" s="68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 spans="1:34" x14ac:dyDescent="0.25">
      <c r="A33" s="13"/>
      <c r="B33" s="20" t="s">
        <v>21</v>
      </c>
      <c r="C33" s="13"/>
      <c r="D33" s="13"/>
      <c r="E33" s="23">
        <f>TINV(0.05,(D26+E26-2))</f>
        <v>2.3060041352041671</v>
      </c>
      <c r="F33" s="13"/>
      <c r="G33" s="20" t="s">
        <v>21</v>
      </c>
      <c r="H33" s="13"/>
      <c r="I33" s="13"/>
      <c r="J33" s="23">
        <f>SQRT(-BETAINV(0.05,J$32/2,0.5)*J$32*(BETAINV(0.05,J$32/2,0.5)-1))/BETAINV(0.05,J$32/2,0.5)</f>
        <v>2.7017318756691715</v>
      </c>
      <c r="K33" s="13"/>
      <c r="L33" s="69" t="s">
        <v>61</v>
      </c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 spans="1:34" ht="15.75" thickBot="1" x14ac:dyDescent="0.3">
      <c r="A34" s="13"/>
      <c r="B34" s="20" t="s">
        <v>29</v>
      </c>
      <c r="C34" s="13"/>
      <c r="D34" s="13"/>
      <c r="E34" s="23">
        <f>D29/(E32*SQRT(1/D26+1/E26))</f>
        <v>2.0789289643038615</v>
      </c>
      <c r="F34" s="13"/>
      <c r="G34" s="20" t="s">
        <v>29</v>
      </c>
      <c r="H34" s="13"/>
      <c r="I34" s="13"/>
      <c r="J34" s="23">
        <f>D29/SQRT(D28/D26+E28/E26)</f>
        <v>2.1838980195353725</v>
      </c>
      <c r="K34" s="13"/>
      <c r="L34" s="70" t="s">
        <v>59</v>
      </c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ht="19.5" thickBot="1" x14ac:dyDescent="0.35">
      <c r="A35" s="13"/>
      <c r="B35" s="20" t="s">
        <v>32</v>
      </c>
      <c r="C35" s="13"/>
      <c r="D35" s="13"/>
      <c r="E35" s="44" t="str">
        <f>IF(E34&gt;E33,"yes","no")</f>
        <v>no</v>
      </c>
      <c r="F35" s="13"/>
      <c r="G35" s="20" t="s">
        <v>32</v>
      </c>
      <c r="H35" s="13"/>
      <c r="I35" s="13"/>
      <c r="J35" s="44" t="str">
        <f>IF(J34&gt;J33,"yes","no")</f>
        <v>no</v>
      </c>
      <c r="K35" s="13"/>
      <c r="L35" s="70" t="s">
        <v>0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 spans="1:34" ht="15.75" thickBot="1" x14ac:dyDescent="0.3">
      <c r="A36" s="13"/>
      <c r="B36" s="21" t="s">
        <v>22</v>
      </c>
      <c r="C36" s="15"/>
      <c r="D36" s="15"/>
      <c r="E36" s="24">
        <f>TDIST(E34,(D26+E26-2),2)</f>
        <v>7.1233678240926065E-2</v>
      </c>
      <c r="F36" s="13"/>
      <c r="G36" s="21" t="s">
        <v>22</v>
      </c>
      <c r="H36" s="15"/>
      <c r="I36" s="15"/>
      <c r="J36" s="24">
        <f>BETADIST(J32/(J32+(J34^2)),J32/2,0.5)</f>
        <v>8.9583104597601035E-2</v>
      </c>
      <c r="K36" s="13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 spans="1:34" x14ac:dyDescent="0.25">
      <c r="A37" s="13"/>
      <c r="B37" s="38" t="s">
        <v>35</v>
      </c>
      <c r="C37" s="19"/>
      <c r="D37" s="19"/>
      <c r="E37" s="39">
        <f>D29-E33*E32*SQRT(1/D26+1/E26)</f>
        <v>-1.4028172652382018E-3</v>
      </c>
      <c r="G37" s="38" t="s">
        <v>37</v>
      </c>
      <c r="H37" s="19"/>
      <c r="I37" s="19"/>
      <c r="J37" s="39">
        <f>D29-J33*(SQRT(D28/D26+E28/E26))</f>
        <v>-3.0452937383504686E-3</v>
      </c>
      <c r="K37" s="13"/>
      <c r="L37" s="70" t="s">
        <v>63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ht="15.75" thickBot="1" x14ac:dyDescent="0.3">
      <c r="A38" s="13"/>
      <c r="B38" s="28" t="s">
        <v>36</v>
      </c>
      <c r="C38" s="15"/>
      <c r="D38" s="15"/>
      <c r="E38" s="40">
        <f>D29+E33*E32*SQRT(1/D26+1/E26)</f>
        <v>2.7089090517980731E-2</v>
      </c>
      <c r="F38" s="13"/>
      <c r="G38" s="28" t="s">
        <v>38</v>
      </c>
      <c r="H38" s="15"/>
      <c r="I38" s="15"/>
      <c r="J38" s="40">
        <f>D29+J33*(SQRT(D28/D26+E28/E26))</f>
        <v>2.8731566991092999E-2</v>
      </c>
      <c r="K38" s="13"/>
      <c r="L38" s="70" t="s">
        <v>66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 spans="1:34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70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 spans="1:34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72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 spans="1:34" x14ac:dyDescent="0.25">
      <c r="A41" s="13"/>
      <c r="B41" s="13"/>
      <c r="D41" s="13"/>
      <c r="E41" s="13"/>
      <c r="F41" s="13"/>
      <c r="G41" s="13"/>
      <c r="H41" s="13"/>
      <c r="I41" s="13"/>
      <c r="J41" s="13"/>
      <c r="K41" s="13"/>
      <c r="L41" s="72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 spans="1:34" x14ac:dyDescent="0.25">
      <c r="A42" s="13"/>
      <c r="B42" s="13"/>
      <c r="D42" s="13"/>
      <c r="E42" s="13"/>
      <c r="F42" s="13"/>
      <c r="G42" s="13"/>
      <c r="H42" s="13"/>
      <c r="I42" s="13"/>
      <c r="J42" s="13"/>
      <c r="K42" s="13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 spans="1:34" x14ac:dyDescent="0.25">
      <c r="A43" s="13"/>
      <c r="B43" s="43"/>
      <c r="C43" s="41" t="s">
        <v>3</v>
      </c>
      <c r="D43" s="31">
        <f>IF(J29="yes",E33,J33)</f>
        <v>2.3060041352041671</v>
      </c>
      <c r="E43" s="13"/>
      <c r="F43" s="13"/>
      <c r="G43" s="13"/>
      <c r="H43" s="13"/>
      <c r="I43" s="13"/>
      <c r="J43" s="13"/>
      <c r="K43" s="13"/>
      <c r="M43" s="67"/>
      <c r="N43" s="68"/>
      <c r="O43" s="68"/>
      <c r="P43" s="68"/>
      <c r="Q43" s="68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x14ac:dyDescent="0.25">
      <c r="A44" s="13"/>
      <c r="B44" s="42"/>
      <c r="C44" s="30" t="s">
        <v>26</v>
      </c>
      <c r="D44" s="32">
        <f>IF(J29="yes",E32*SQRT(1/D26+1/E26),(SQRT(D28/D26+E28/E26)))</f>
        <v>6.1777659780077416E-3</v>
      </c>
      <c r="E44" s="13"/>
      <c r="F44" s="13"/>
      <c r="G44" s="13"/>
      <c r="H44" s="13"/>
      <c r="I44" s="13"/>
      <c r="J44" s="13"/>
      <c r="K44" s="13"/>
      <c r="M44" s="67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</row>
    <row r="45" spans="1:34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</row>
    <row r="46" spans="1:34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</row>
    <row r="47" spans="1:34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</row>
    <row r="48" spans="1:34" x14ac:dyDescent="0.25"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</row>
    <row r="49" spans="18:34" x14ac:dyDescent="0.25"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</row>
  </sheetData>
  <sheetProtection password="F4E0" sheet="1"/>
  <mergeCells count="5">
    <mergeCell ref="B4:E4"/>
    <mergeCell ref="G4:J4"/>
    <mergeCell ref="C5:D5"/>
    <mergeCell ref="H5:I5"/>
    <mergeCell ref="N5:O5"/>
  </mergeCells>
  <dataValidations count="1">
    <dataValidation type="list" allowBlank="1" showInputMessage="1" showErrorMessage="1" sqref="F7:F11" xr:uid="{00000000-0002-0000-0C00-000000000000}">
      <formula1>"Y, N"</formula1>
    </dataValidation>
  </dataValidations>
  <pageMargins left="0.7" right="0.7" top="0.75" bottom="0.75" header="0.3" footer="0.3"/>
  <pageSetup scale="9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49"/>
  <sheetViews>
    <sheetView zoomScale="84" zoomScaleNormal="84" workbookViewId="0">
      <selection activeCell="J7" sqref="J7:J9"/>
    </sheetView>
  </sheetViews>
  <sheetFormatPr defaultColWidth="8.85546875" defaultRowHeight="15" x14ac:dyDescent="0.25"/>
  <cols>
    <col min="1" max="1" width="2.28515625" customWidth="1"/>
    <col min="3" max="3" width="13" customWidth="1"/>
    <col min="4" max="5" width="10.28515625" customWidth="1"/>
    <col min="6" max="6" width="7.42578125" customWidth="1"/>
    <col min="11" max="11" width="6.28515625" customWidth="1"/>
    <col min="12" max="12" width="17" customWidth="1"/>
    <col min="13" max="13" width="11.28515625" customWidth="1"/>
    <col min="14" max="14" width="10.28515625" customWidth="1"/>
    <col min="15" max="15" width="8.5703125" customWidth="1"/>
  </cols>
  <sheetData>
    <row r="1" spans="1:34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34" ht="18.75" x14ac:dyDescent="0.3">
      <c r="A2" s="13"/>
      <c r="B2" s="29" t="s">
        <v>28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ht="15.75" thickBo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ht="15.75" thickBot="1" x14ac:dyDescent="0.3">
      <c r="A4" s="13"/>
      <c r="B4" s="96" t="s">
        <v>47</v>
      </c>
      <c r="C4" s="97"/>
      <c r="D4" s="97"/>
      <c r="E4" s="98"/>
      <c r="F4" s="1"/>
      <c r="G4" s="99" t="s">
        <v>48</v>
      </c>
      <c r="H4" s="100"/>
      <c r="I4" s="100"/>
      <c r="J4" s="101"/>
      <c r="K4" s="13"/>
      <c r="L4" s="53" t="s">
        <v>40</v>
      </c>
      <c r="M4" s="54"/>
      <c r="N4" s="55"/>
      <c r="O4" s="56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ht="15.75" thickBot="1" x14ac:dyDescent="0.3">
      <c r="A5" s="13"/>
      <c r="B5" s="48"/>
      <c r="C5" s="102" t="s">
        <v>6</v>
      </c>
      <c r="D5" s="102"/>
      <c r="E5" s="49"/>
      <c r="F5" s="1"/>
      <c r="G5" s="50"/>
      <c r="H5" s="102" t="s">
        <v>6</v>
      </c>
      <c r="I5" s="102"/>
      <c r="J5" s="49"/>
      <c r="K5" s="13"/>
      <c r="L5" s="57"/>
      <c r="M5" s="58" t="s">
        <v>25</v>
      </c>
      <c r="N5" s="103" t="s">
        <v>51</v>
      </c>
      <c r="O5" s="104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9.5" thickBot="1" x14ac:dyDescent="0.35">
      <c r="A6" s="13"/>
      <c r="B6" s="48" t="s">
        <v>7</v>
      </c>
      <c r="C6" s="52" t="s">
        <v>5</v>
      </c>
      <c r="D6" s="52" t="s">
        <v>49</v>
      </c>
      <c r="E6" s="49" t="s">
        <v>8</v>
      </c>
      <c r="F6" s="1"/>
      <c r="G6" s="48" t="s">
        <v>7</v>
      </c>
      <c r="H6" s="52" t="s">
        <v>5</v>
      </c>
      <c r="I6" s="52" t="s">
        <v>50</v>
      </c>
      <c r="J6" s="49" t="s">
        <v>8</v>
      </c>
      <c r="K6" s="13"/>
      <c r="L6" s="59" t="s">
        <v>30</v>
      </c>
      <c r="M6" s="60">
        <f>D29/(D25)</f>
        <v>5.7388500423687525E-2</v>
      </c>
      <c r="N6" s="61" t="s">
        <v>52</v>
      </c>
      <c r="O6" s="62">
        <f>D43*D44/D25</f>
        <v>1.1493735582751099E-2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19.5" thickBot="1" x14ac:dyDescent="0.35">
      <c r="A7" s="13"/>
      <c r="B7" s="11">
        <v>1</v>
      </c>
      <c r="C7" s="73">
        <v>21.96</v>
      </c>
      <c r="D7" s="74">
        <v>21.58</v>
      </c>
      <c r="E7" s="45">
        <f t="shared" ref="E7:E21" si="0">IF(OR(D7="",C7=""),"",C7/D7)</f>
        <v>1.0176088971269694</v>
      </c>
      <c r="F7" s="1"/>
      <c r="G7" s="11">
        <v>1</v>
      </c>
      <c r="H7" s="73">
        <v>20.16</v>
      </c>
      <c r="I7" s="74">
        <v>21.26</v>
      </c>
      <c r="J7" s="45">
        <f t="shared" ref="J7:J21" si="1">IF(OR(I7="",H7=""),"",H7/I7)</f>
        <v>0.94825964252116646</v>
      </c>
      <c r="K7" s="13"/>
      <c r="L7" s="63" t="s">
        <v>31</v>
      </c>
      <c r="M7" s="64">
        <f>D29/(E25)</f>
        <v>6.0882453109772861E-2</v>
      </c>
      <c r="N7" s="65" t="s">
        <v>52</v>
      </c>
      <c r="O7" s="66">
        <f>D43*D44/E25</f>
        <v>1.2193502400424071E-2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 x14ac:dyDescent="0.25">
      <c r="A8" s="13"/>
      <c r="B8" s="12">
        <v>2</v>
      </c>
      <c r="C8" s="75">
        <v>21.46</v>
      </c>
      <c r="D8" s="76">
        <v>21.5</v>
      </c>
      <c r="E8" s="46">
        <f t="shared" si="0"/>
        <v>0.99813953488372098</v>
      </c>
      <c r="F8" s="1"/>
      <c r="G8" s="12">
        <v>2</v>
      </c>
      <c r="H8" s="75">
        <v>20.2</v>
      </c>
      <c r="I8" s="76">
        <v>21.3</v>
      </c>
      <c r="J8" s="46">
        <f t="shared" si="1"/>
        <v>0.94835680751173701</v>
      </c>
      <c r="K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4" x14ac:dyDescent="0.25">
      <c r="A9" s="13"/>
      <c r="B9" s="12">
        <v>3</v>
      </c>
      <c r="C9" s="75">
        <v>20.76</v>
      </c>
      <c r="D9" s="76">
        <v>20.54</v>
      </c>
      <c r="E9" s="46">
        <f t="shared" si="0"/>
        <v>1.0107108081791627</v>
      </c>
      <c r="F9" s="1"/>
      <c r="G9" s="12">
        <v>3</v>
      </c>
      <c r="H9" s="75">
        <v>20.260000000000002</v>
      </c>
      <c r="I9" s="76">
        <v>21.1</v>
      </c>
      <c r="J9" s="46">
        <f t="shared" si="1"/>
        <v>0.96018957345971567</v>
      </c>
      <c r="K9" s="13"/>
      <c r="L9" s="51" t="s">
        <v>41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x14ac:dyDescent="0.25">
      <c r="A10" s="13"/>
      <c r="B10" s="12">
        <v>4</v>
      </c>
      <c r="C10" s="77">
        <v>20.86</v>
      </c>
      <c r="D10" s="78">
        <v>20.52</v>
      </c>
      <c r="E10" s="46">
        <f t="shared" si="0"/>
        <v>1.0165692007797271</v>
      </c>
      <c r="F10" s="1"/>
      <c r="G10" s="12">
        <v>4</v>
      </c>
      <c r="H10" s="77"/>
      <c r="I10" s="78"/>
      <c r="J10" s="46" t="str">
        <f t="shared" si="1"/>
        <v/>
      </c>
      <c r="K10" s="13"/>
      <c r="L10" s="13" t="s">
        <v>42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x14ac:dyDescent="0.25">
      <c r="A11" s="13"/>
      <c r="B11" s="12">
        <v>5</v>
      </c>
      <c r="C11" s="77">
        <v>20.68</v>
      </c>
      <c r="D11" s="78">
        <v>20.5</v>
      </c>
      <c r="E11" s="46">
        <f t="shared" si="0"/>
        <v>1.0087804878048781</v>
      </c>
      <c r="F11" s="1"/>
      <c r="G11" s="12">
        <v>5</v>
      </c>
      <c r="H11" s="77"/>
      <c r="I11" s="78"/>
      <c r="J11" s="46" t="str">
        <f t="shared" si="1"/>
        <v/>
      </c>
      <c r="K11" s="13"/>
      <c r="L11" s="13" t="s">
        <v>43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x14ac:dyDescent="0.25">
      <c r="A12" s="13"/>
      <c r="B12" s="12">
        <v>6</v>
      </c>
      <c r="C12" s="79">
        <v>20.9</v>
      </c>
      <c r="D12" s="80">
        <v>20.7</v>
      </c>
      <c r="E12" s="46">
        <f t="shared" si="0"/>
        <v>1.0096618357487923</v>
      </c>
      <c r="F12" s="13"/>
      <c r="G12" s="12">
        <v>6</v>
      </c>
      <c r="H12" s="79"/>
      <c r="I12" s="80"/>
      <c r="J12" s="46" t="str">
        <f t="shared" si="1"/>
        <v/>
      </c>
      <c r="K12" s="13"/>
      <c r="L12" s="13" t="s">
        <v>45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x14ac:dyDescent="0.25">
      <c r="A13" s="13"/>
      <c r="B13" s="12">
        <v>7</v>
      </c>
      <c r="C13" s="79"/>
      <c r="D13" s="80"/>
      <c r="E13" s="46" t="str">
        <f t="shared" si="0"/>
        <v/>
      </c>
      <c r="F13" s="13"/>
      <c r="G13" s="12">
        <v>7</v>
      </c>
      <c r="H13" s="79"/>
      <c r="I13" s="80"/>
      <c r="J13" s="46" t="str">
        <f t="shared" si="1"/>
        <v/>
      </c>
      <c r="K13" s="13"/>
      <c r="L13" s="13" t="s">
        <v>44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 x14ac:dyDescent="0.25">
      <c r="A14" s="13"/>
      <c r="B14" s="12">
        <v>8</v>
      </c>
      <c r="C14" s="79"/>
      <c r="D14" s="80"/>
      <c r="E14" s="46" t="str">
        <f t="shared" si="0"/>
        <v/>
      </c>
      <c r="F14" s="13"/>
      <c r="G14" s="12">
        <v>8</v>
      </c>
      <c r="H14" s="79"/>
      <c r="I14" s="80"/>
      <c r="J14" s="46" t="str">
        <f t="shared" si="1"/>
        <v/>
      </c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x14ac:dyDescent="0.25">
      <c r="A15" s="13"/>
      <c r="B15" s="12">
        <v>9</v>
      </c>
      <c r="C15" s="79"/>
      <c r="D15" s="80"/>
      <c r="E15" s="46" t="str">
        <f t="shared" si="0"/>
        <v/>
      </c>
      <c r="F15" s="13"/>
      <c r="G15" s="12">
        <v>9</v>
      </c>
      <c r="H15" s="79"/>
      <c r="I15" s="80"/>
      <c r="J15" s="46" t="str">
        <f t="shared" si="1"/>
        <v/>
      </c>
      <c r="K15" s="13"/>
      <c r="L15" s="51" t="s">
        <v>39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x14ac:dyDescent="0.25">
      <c r="A16" s="13"/>
      <c r="B16" s="12">
        <v>10</v>
      </c>
      <c r="C16" s="79"/>
      <c r="D16" s="80"/>
      <c r="E16" s="46" t="str">
        <f t="shared" si="0"/>
        <v/>
      </c>
      <c r="F16" s="13"/>
      <c r="G16" s="12">
        <v>10</v>
      </c>
      <c r="H16" s="79"/>
      <c r="I16" s="80"/>
      <c r="J16" s="46" t="str">
        <f t="shared" si="1"/>
        <v/>
      </c>
      <c r="K16" s="13"/>
      <c r="L16" s="67" t="s">
        <v>53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4" x14ac:dyDescent="0.25">
      <c r="A17" s="13"/>
      <c r="B17" s="12">
        <v>11</v>
      </c>
      <c r="C17" s="79"/>
      <c r="D17" s="80"/>
      <c r="E17" s="46" t="str">
        <f t="shared" si="0"/>
        <v/>
      </c>
      <c r="F17" s="13"/>
      <c r="G17" s="12">
        <v>11</v>
      </c>
      <c r="H17" s="79"/>
      <c r="I17" s="80"/>
      <c r="J17" s="46" t="str">
        <f t="shared" si="1"/>
        <v/>
      </c>
      <c r="K17" s="13"/>
      <c r="L17" s="67" t="s">
        <v>54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x14ac:dyDescent="0.25">
      <c r="A18" s="13"/>
      <c r="B18" s="12">
        <v>12</v>
      </c>
      <c r="C18" s="79"/>
      <c r="D18" s="80"/>
      <c r="E18" s="46" t="str">
        <f t="shared" si="0"/>
        <v/>
      </c>
      <c r="F18" s="13"/>
      <c r="G18" s="12">
        <v>12</v>
      </c>
      <c r="H18" s="79"/>
      <c r="I18" s="80"/>
      <c r="J18" s="46" t="str">
        <f t="shared" si="1"/>
        <v/>
      </c>
      <c r="K18" s="13"/>
      <c r="L18" s="67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x14ac:dyDescent="0.25">
      <c r="A19" s="13"/>
      <c r="B19" s="12">
        <v>13</v>
      </c>
      <c r="C19" s="79"/>
      <c r="D19" s="80"/>
      <c r="E19" s="46" t="str">
        <f t="shared" si="0"/>
        <v/>
      </c>
      <c r="F19" s="13"/>
      <c r="G19" s="12">
        <v>13</v>
      </c>
      <c r="H19" s="79"/>
      <c r="I19" s="80"/>
      <c r="J19" s="46" t="str">
        <f t="shared" si="1"/>
        <v/>
      </c>
      <c r="K19" s="13"/>
      <c r="L19" s="67" t="s">
        <v>55</v>
      </c>
      <c r="M19" s="67"/>
      <c r="N19" s="67"/>
      <c r="O19" s="67"/>
      <c r="P19" s="67"/>
      <c r="Q19" s="67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1:34" x14ac:dyDescent="0.25">
      <c r="A20" s="13"/>
      <c r="B20" s="12">
        <v>14</v>
      </c>
      <c r="C20" s="79"/>
      <c r="D20" s="80"/>
      <c r="E20" s="46" t="str">
        <f t="shared" si="0"/>
        <v/>
      </c>
      <c r="F20" s="13"/>
      <c r="G20" s="12">
        <v>14</v>
      </c>
      <c r="H20" s="79"/>
      <c r="I20" s="80"/>
      <c r="J20" s="46" t="str">
        <f t="shared" si="1"/>
        <v/>
      </c>
      <c r="K20" s="13"/>
      <c r="L20" s="67" t="s">
        <v>56</v>
      </c>
      <c r="M20" s="67"/>
      <c r="N20" s="67"/>
      <c r="O20" s="67"/>
      <c r="P20" s="67"/>
      <c r="Q20" s="67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ht="15" customHeight="1" thickBot="1" x14ac:dyDescent="0.3">
      <c r="A21" s="13"/>
      <c r="B21" s="14">
        <v>15</v>
      </c>
      <c r="C21" s="81"/>
      <c r="D21" s="82"/>
      <c r="E21" s="47" t="str">
        <f t="shared" si="0"/>
        <v/>
      </c>
      <c r="F21" s="13"/>
      <c r="G21" s="14">
        <v>15</v>
      </c>
      <c r="H21" s="81"/>
      <c r="I21" s="82"/>
      <c r="J21" s="47" t="str">
        <f t="shared" si="1"/>
        <v/>
      </c>
      <c r="K21" s="13"/>
      <c r="L21" s="67"/>
      <c r="M21" s="67"/>
      <c r="N21" s="67"/>
      <c r="O21" s="67"/>
      <c r="P21" s="67"/>
      <c r="Q21" s="67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ht="14.25" customHeight="1" thickBot="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67" t="s">
        <v>64</v>
      </c>
      <c r="M22" s="67"/>
      <c r="N22" s="67"/>
      <c r="O22" s="67"/>
      <c r="P22" s="67"/>
      <c r="Q22" s="67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6.5" thickBot="1" x14ac:dyDescent="0.3">
      <c r="A23" s="13"/>
      <c r="B23" s="9" t="s">
        <v>13</v>
      </c>
      <c r="C23" s="6"/>
      <c r="D23" s="5"/>
      <c r="E23" s="7"/>
      <c r="F23" s="13"/>
      <c r="G23" s="9" t="s">
        <v>14</v>
      </c>
      <c r="H23" s="5"/>
      <c r="I23" s="5"/>
      <c r="J23" s="7"/>
      <c r="K23" s="13"/>
      <c r="L23" s="67" t="s">
        <v>65</v>
      </c>
      <c r="M23" s="67"/>
      <c r="N23" s="67"/>
      <c r="O23" s="67"/>
      <c r="P23" s="67"/>
      <c r="Q23" s="67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4" ht="16.5" thickBot="1" x14ac:dyDescent="0.3">
      <c r="A24" s="13"/>
      <c r="B24" s="4"/>
      <c r="C24" s="6"/>
      <c r="D24" s="5" t="s">
        <v>4</v>
      </c>
      <c r="E24" s="8" t="s">
        <v>5</v>
      </c>
      <c r="F24" s="13"/>
      <c r="G24" s="25" t="s">
        <v>15</v>
      </c>
      <c r="H24" s="13"/>
      <c r="I24" s="13"/>
      <c r="J24" s="26">
        <f>D27^2</f>
        <v>4.8693327151248931E-5</v>
      </c>
      <c r="K24" s="13"/>
      <c r="L24" s="68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8"/>
    </row>
    <row r="25" spans="1:34" x14ac:dyDescent="0.25">
      <c r="A25" s="13"/>
      <c r="B25" s="18" t="s">
        <v>9</v>
      </c>
      <c r="C25" s="19"/>
      <c r="D25" s="36">
        <f>AVERAGE(E7:E21)</f>
        <v>1.0102451274205417</v>
      </c>
      <c r="E25" s="37">
        <f>AVERAGE(J7:J21)</f>
        <v>0.95226867449753971</v>
      </c>
      <c r="F25" s="13"/>
      <c r="G25" s="25" t="s">
        <v>16</v>
      </c>
      <c r="H25" s="13"/>
      <c r="I25" s="13"/>
      <c r="J25" s="27">
        <f>E27^2</f>
        <v>4.7057840535598284E-5</v>
      </c>
      <c r="K25" s="13"/>
      <c r="L25" s="67" t="s">
        <v>2</v>
      </c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8"/>
    </row>
    <row r="26" spans="1:34" x14ac:dyDescent="0.25">
      <c r="A26" s="13"/>
      <c r="B26" s="20" t="s">
        <v>10</v>
      </c>
      <c r="C26" s="13"/>
      <c r="D26" s="10">
        <f>COUNT(E7:E21)</f>
        <v>6</v>
      </c>
      <c r="E26" s="2">
        <f>COUNT(J7:J21)</f>
        <v>3</v>
      </c>
      <c r="F26" s="13"/>
      <c r="G26" s="25" t="s">
        <v>17</v>
      </c>
      <c r="H26" s="13"/>
      <c r="I26" s="13"/>
      <c r="J26" s="27">
        <f>J25/J24</f>
        <v>0.96641251047457544</v>
      </c>
      <c r="K26" s="13"/>
      <c r="L26" s="67" t="s">
        <v>62</v>
      </c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8"/>
    </row>
    <row r="27" spans="1:34" x14ac:dyDescent="0.25">
      <c r="A27" s="13"/>
      <c r="B27" s="20" t="s">
        <v>11</v>
      </c>
      <c r="C27" s="13"/>
      <c r="D27" s="16">
        <f>STDEV(E7:E21)</f>
        <v>6.9780604147032816E-3</v>
      </c>
      <c r="E27" s="17">
        <f>STDEV(J7:J21)</f>
        <v>6.8598717579557043E-3</v>
      </c>
      <c r="F27" s="13"/>
      <c r="G27" s="25" t="s">
        <v>18</v>
      </c>
      <c r="H27" s="13"/>
      <c r="I27" s="13"/>
      <c r="J27" s="27">
        <f>FINV(0.975,E26-1,D26-1)</f>
        <v>2.5446440122317643E-2</v>
      </c>
      <c r="K27" s="13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8"/>
    </row>
    <row r="28" spans="1:34" ht="15.75" thickBot="1" x14ac:dyDescent="0.3">
      <c r="A28" s="13"/>
      <c r="B28" s="20" t="s">
        <v>24</v>
      </c>
      <c r="C28" s="13"/>
      <c r="D28" s="33">
        <f>D27^2</f>
        <v>4.8693327151248931E-5</v>
      </c>
      <c r="E28" s="34">
        <f>E27^2</f>
        <v>4.7057840535598284E-5</v>
      </c>
      <c r="F28" s="13"/>
      <c r="G28" s="25" t="s">
        <v>19</v>
      </c>
      <c r="H28" s="13"/>
      <c r="I28" s="13"/>
      <c r="J28" s="27">
        <f>FINV(0.025,E26-1,D26-1)</f>
        <v>8.4336207394327811</v>
      </c>
      <c r="K28" s="13"/>
      <c r="L28" s="67" t="s">
        <v>60</v>
      </c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8"/>
    </row>
    <row r="29" spans="1:34" ht="16.5" customHeight="1" thickBot="1" x14ac:dyDescent="0.35">
      <c r="A29" s="13"/>
      <c r="B29" s="21" t="s">
        <v>12</v>
      </c>
      <c r="C29" s="15"/>
      <c r="D29" s="35">
        <f>D25-E25</f>
        <v>5.797645292300202E-2</v>
      </c>
      <c r="E29" s="3"/>
      <c r="F29" s="13"/>
      <c r="G29" s="28" t="s">
        <v>20</v>
      </c>
      <c r="H29" s="15"/>
      <c r="I29" s="15"/>
      <c r="J29" s="44" t="str">
        <f>IF(J26&lt;J28,IF(J26&gt;J27,"yes","no"),"no")</f>
        <v>yes</v>
      </c>
      <c r="K29" s="13" t="s">
        <v>46</v>
      </c>
      <c r="L29" s="69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8"/>
    </row>
    <row r="30" spans="1:34" ht="12" customHeight="1" thickBo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69" t="s">
        <v>57</v>
      </c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spans="1:34" ht="15.75" thickBot="1" x14ac:dyDescent="0.3">
      <c r="A31" s="13"/>
      <c r="B31" s="9" t="s">
        <v>33</v>
      </c>
      <c r="C31" s="5"/>
      <c r="D31" s="5"/>
      <c r="E31" s="7"/>
      <c r="F31" s="13"/>
      <c r="G31" s="9" t="s">
        <v>34</v>
      </c>
      <c r="H31" s="5"/>
      <c r="I31" s="5"/>
      <c r="J31" s="7"/>
      <c r="L31" s="69" t="s">
        <v>1</v>
      </c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x14ac:dyDescent="0.25">
      <c r="A32" s="13"/>
      <c r="B32" s="20" t="s">
        <v>27</v>
      </c>
      <c r="C32" s="13"/>
      <c r="D32" s="13"/>
      <c r="E32" s="26">
        <f>SQRT(((D26-1)*D27^2+(E26-1)*E27^2)/(D26+E26-2))</f>
        <v>6.9444974808162349E-3</v>
      </c>
      <c r="F32" s="13"/>
      <c r="G32" s="18" t="s">
        <v>23</v>
      </c>
      <c r="H32" s="19"/>
      <c r="I32" s="19"/>
      <c r="J32" s="22">
        <f>(D28/D26+E28/E26)^2/(((D28/D26)^2)/(D26-1)+((E28/E26)^2)/(E26-1))</f>
        <v>4.1595031087013536</v>
      </c>
      <c r="K32" s="13"/>
      <c r="L32" s="69" t="s">
        <v>58</v>
      </c>
      <c r="M32" s="68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 spans="1:34" x14ac:dyDescent="0.25">
      <c r="A33" s="13"/>
      <c r="B33" s="20" t="s">
        <v>21</v>
      </c>
      <c r="C33" s="13"/>
      <c r="D33" s="13"/>
      <c r="E33" s="23">
        <f>TINV(0.05,(D26+E26-2))</f>
        <v>2.3646242515927849</v>
      </c>
      <c r="F33" s="13"/>
      <c r="G33" s="20" t="s">
        <v>21</v>
      </c>
      <c r="H33" s="13"/>
      <c r="I33" s="13"/>
      <c r="J33" s="23">
        <f>SQRT(-BETAINV(0.05,J$32/2,0.5)*J$32*(BETAINV(0.05,J$32/2,0.5)-1))/BETAINV(0.05,J$32/2,0.5)</f>
        <v>2.734956326212254</v>
      </c>
      <c r="K33" s="13"/>
      <c r="L33" s="69" t="s">
        <v>61</v>
      </c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 spans="1:34" ht="15.75" thickBot="1" x14ac:dyDescent="0.3">
      <c r="A34" s="13"/>
      <c r="B34" s="20" t="s">
        <v>29</v>
      </c>
      <c r="C34" s="13"/>
      <c r="D34" s="13"/>
      <c r="E34" s="23">
        <f>D29/(E32*SQRT(1/D26+1/E26))</f>
        <v>11.8066262171583</v>
      </c>
      <c r="F34" s="13"/>
      <c r="G34" s="20" t="s">
        <v>29</v>
      </c>
      <c r="H34" s="13"/>
      <c r="I34" s="13"/>
      <c r="J34" s="23">
        <f>D29/SQRT(D28/D26+E28/E26)</f>
        <v>11.883639393655759</v>
      </c>
      <c r="K34" s="13"/>
      <c r="L34" s="70" t="s">
        <v>59</v>
      </c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ht="19.5" thickBot="1" x14ac:dyDescent="0.35">
      <c r="A35" s="13"/>
      <c r="B35" s="20" t="s">
        <v>32</v>
      </c>
      <c r="C35" s="13"/>
      <c r="D35" s="13"/>
      <c r="E35" s="44" t="str">
        <f>IF(E34&gt;E33,"yes","no")</f>
        <v>yes</v>
      </c>
      <c r="F35" s="13"/>
      <c r="G35" s="20" t="s">
        <v>32</v>
      </c>
      <c r="H35" s="13"/>
      <c r="I35" s="13"/>
      <c r="J35" s="44" t="str">
        <f>IF(J34&gt;J33,"yes","no")</f>
        <v>yes</v>
      </c>
      <c r="K35" s="13"/>
      <c r="L35" s="70" t="s">
        <v>0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 spans="1:34" ht="15.75" thickBot="1" x14ac:dyDescent="0.3">
      <c r="A36" s="13"/>
      <c r="B36" s="21" t="s">
        <v>22</v>
      </c>
      <c r="C36" s="15"/>
      <c r="D36" s="15"/>
      <c r="E36" s="24">
        <f>TDIST(E34,(D26+E26-2),2)</f>
        <v>7.0902370629760541E-6</v>
      </c>
      <c r="F36" s="13"/>
      <c r="G36" s="21" t="s">
        <v>22</v>
      </c>
      <c r="H36" s="15"/>
      <c r="I36" s="15"/>
      <c r="J36" s="24">
        <f>BETADIST(J32/(J32+(J34^2)),J32/2,0.5)</f>
        <v>2.2949580465295651E-4</v>
      </c>
      <c r="K36" s="13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 spans="1:34" x14ac:dyDescent="0.25">
      <c r="A37" s="13"/>
      <c r="B37" s="38" t="s">
        <v>35</v>
      </c>
      <c r="C37" s="19"/>
      <c r="D37" s="19"/>
      <c r="E37" s="39">
        <f>D29-E33*E32*SQRT(1/D26+1/E26)</f>
        <v>4.636496255466762E-2</v>
      </c>
      <c r="G37" s="38" t="s">
        <v>37</v>
      </c>
      <c r="H37" s="19"/>
      <c r="I37" s="19"/>
      <c r="J37" s="39">
        <f>D29-J33*(SQRT(D28/D26+E28/E26))</f>
        <v>4.4633481006691407E-2</v>
      </c>
      <c r="K37" s="13"/>
      <c r="L37" s="70" t="s">
        <v>63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ht="15.75" thickBot="1" x14ac:dyDescent="0.3">
      <c r="A38" s="13"/>
      <c r="B38" s="28" t="s">
        <v>36</v>
      </c>
      <c r="C38" s="15"/>
      <c r="D38" s="15"/>
      <c r="E38" s="40">
        <f>D29+E33*E32*SQRT(1/D26+1/E26)</f>
        <v>6.9587943291336413E-2</v>
      </c>
      <c r="F38" s="13"/>
      <c r="G38" s="28" t="s">
        <v>38</v>
      </c>
      <c r="H38" s="15"/>
      <c r="I38" s="15"/>
      <c r="J38" s="40">
        <f>D29+J33*(SQRT(D28/D26+E28/E26))</f>
        <v>7.131942483931264E-2</v>
      </c>
      <c r="K38" s="13"/>
      <c r="L38" s="70" t="s">
        <v>66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 spans="1:34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70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 spans="1:34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72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 spans="1:34" x14ac:dyDescent="0.25">
      <c r="A41" s="13"/>
      <c r="B41" s="13"/>
      <c r="D41" s="13"/>
      <c r="E41" s="13"/>
      <c r="F41" s="13"/>
      <c r="G41" s="13"/>
      <c r="H41" s="13"/>
      <c r="I41" s="13"/>
      <c r="J41" s="13"/>
      <c r="K41" s="13"/>
      <c r="L41" s="72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 spans="1:34" x14ac:dyDescent="0.25">
      <c r="A42" s="13"/>
      <c r="B42" s="13"/>
      <c r="D42" s="13"/>
      <c r="E42" s="13"/>
      <c r="F42" s="13"/>
      <c r="G42" s="13"/>
      <c r="H42" s="13"/>
      <c r="I42" s="13"/>
      <c r="J42" s="13"/>
      <c r="K42" s="13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 spans="1:34" x14ac:dyDescent="0.25">
      <c r="A43" s="13"/>
      <c r="B43" s="43"/>
      <c r="C43" s="41" t="s">
        <v>3</v>
      </c>
      <c r="D43" s="31">
        <f>IF(J29="yes",E33,J33)</f>
        <v>2.3646242515927849</v>
      </c>
      <c r="E43" s="13"/>
      <c r="F43" s="13"/>
      <c r="G43" s="13"/>
      <c r="H43" s="13"/>
      <c r="I43" s="13"/>
      <c r="J43" s="13"/>
      <c r="K43" s="13"/>
      <c r="M43" s="67"/>
      <c r="N43" s="68"/>
      <c r="O43" s="68"/>
      <c r="P43" s="68"/>
      <c r="Q43" s="68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x14ac:dyDescent="0.25">
      <c r="A44" s="13"/>
      <c r="B44" s="42"/>
      <c r="C44" s="30" t="s">
        <v>26</v>
      </c>
      <c r="D44" s="32">
        <f>IF(J29="yes",E32*SQRT(1/D26+1/E26),(SQRT(D28/D26+E28/E26)))</f>
        <v>4.9105012606180561E-3</v>
      </c>
      <c r="E44" s="13"/>
      <c r="F44" s="13"/>
      <c r="G44" s="13"/>
      <c r="H44" s="13"/>
      <c r="I44" s="13"/>
      <c r="J44" s="13"/>
      <c r="K44" s="13"/>
      <c r="M44" s="67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</row>
    <row r="45" spans="1:34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</row>
    <row r="46" spans="1:34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</row>
    <row r="47" spans="1:34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</row>
    <row r="48" spans="1:34" x14ac:dyDescent="0.25"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</row>
    <row r="49" spans="18:34" x14ac:dyDescent="0.25"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</row>
  </sheetData>
  <sheetProtection password="F4E0" sheet="1"/>
  <mergeCells count="5">
    <mergeCell ref="B4:E4"/>
    <mergeCell ref="G4:J4"/>
    <mergeCell ref="C5:D5"/>
    <mergeCell ref="H5:I5"/>
    <mergeCell ref="N5:O5"/>
  </mergeCells>
  <dataValidations count="1">
    <dataValidation type="list" allowBlank="1" showInputMessage="1" showErrorMessage="1" sqref="F7:F11" xr:uid="{00000000-0002-0000-0D00-000000000000}">
      <formula1>"Y, N"</formula1>
    </dataValidation>
  </dataValidations>
  <pageMargins left="0.7" right="0.7" top="0.75" bottom="0.75" header="0.3" footer="0.3"/>
  <pageSetup scale="9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49"/>
  <sheetViews>
    <sheetView zoomScale="84" zoomScaleNormal="84" workbookViewId="0">
      <selection activeCell="I7" sqref="I7:I9"/>
    </sheetView>
  </sheetViews>
  <sheetFormatPr defaultColWidth="8.85546875" defaultRowHeight="15" x14ac:dyDescent="0.25"/>
  <cols>
    <col min="1" max="1" width="2.28515625" customWidth="1"/>
    <col min="3" max="3" width="13" customWidth="1"/>
    <col min="4" max="5" width="10.28515625" customWidth="1"/>
    <col min="6" max="6" width="7.42578125" customWidth="1"/>
    <col min="11" max="11" width="6.28515625" customWidth="1"/>
    <col min="12" max="12" width="17" customWidth="1"/>
    <col min="13" max="13" width="11.28515625" customWidth="1"/>
    <col min="14" max="14" width="10.28515625" customWidth="1"/>
    <col min="15" max="15" width="8.5703125" customWidth="1"/>
  </cols>
  <sheetData>
    <row r="1" spans="1:34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34" ht="18.75" x14ac:dyDescent="0.3">
      <c r="A2" s="13"/>
      <c r="B2" s="29" t="s">
        <v>28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ht="15.75" thickBo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ht="15.75" thickBot="1" x14ac:dyDescent="0.3">
      <c r="A4" s="13"/>
      <c r="B4" s="96" t="s">
        <v>47</v>
      </c>
      <c r="C4" s="97"/>
      <c r="D4" s="97"/>
      <c r="E4" s="98"/>
      <c r="F4" s="1"/>
      <c r="G4" s="99" t="s">
        <v>48</v>
      </c>
      <c r="H4" s="100"/>
      <c r="I4" s="100"/>
      <c r="J4" s="101"/>
      <c r="K4" s="13"/>
      <c r="L4" s="53" t="s">
        <v>40</v>
      </c>
      <c r="M4" s="54"/>
      <c r="N4" s="55"/>
      <c r="O4" s="56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ht="15.75" thickBot="1" x14ac:dyDescent="0.3">
      <c r="A5" s="13"/>
      <c r="B5" s="48"/>
      <c r="C5" s="102" t="s">
        <v>6</v>
      </c>
      <c r="D5" s="102"/>
      <c r="E5" s="49"/>
      <c r="F5" s="1"/>
      <c r="G5" s="50"/>
      <c r="H5" s="102" t="s">
        <v>6</v>
      </c>
      <c r="I5" s="102"/>
      <c r="J5" s="49"/>
      <c r="K5" s="13"/>
      <c r="L5" s="57"/>
      <c r="M5" s="58" t="s">
        <v>25</v>
      </c>
      <c r="N5" s="103" t="s">
        <v>51</v>
      </c>
      <c r="O5" s="104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9.5" thickBot="1" x14ac:dyDescent="0.35">
      <c r="A6" s="13"/>
      <c r="B6" s="48" t="s">
        <v>7</v>
      </c>
      <c r="C6" s="52" t="s">
        <v>5</v>
      </c>
      <c r="D6" s="52" t="s">
        <v>49</v>
      </c>
      <c r="E6" s="49" t="s">
        <v>8</v>
      </c>
      <c r="F6" s="1"/>
      <c r="G6" s="48" t="s">
        <v>7</v>
      </c>
      <c r="H6" s="52" t="s">
        <v>5</v>
      </c>
      <c r="I6" s="52" t="s">
        <v>50</v>
      </c>
      <c r="J6" s="49" t="s">
        <v>8</v>
      </c>
      <c r="K6" s="13"/>
      <c r="L6" s="59" t="s">
        <v>30</v>
      </c>
      <c r="M6" s="60">
        <f>D29/(D25)</f>
        <v>4.5611866848424304E-2</v>
      </c>
      <c r="N6" s="61" t="s">
        <v>52</v>
      </c>
      <c r="O6" s="62">
        <f>D43*D44/D25</f>
        <v>8.3617928723651851E-3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19.5" thickBot="1" x14ac:dyDescent="0.35">
      <c r="A7" s="13"/>
      <c r="B7" s="11">
        <v>1</v>
      </c>
      <c r="C7" s="73">
        <v>21.96</v>
      </c>
      <c r="D7" s="74">
        <v>22.52</v>
      </c>
      <c r="E7" s="45">
        <f t="shared" ref="E7:E21" si="0">IF(OR(D7="",C7=""),"",C7/D7)</f>
        <v>0.9751332149200711</v>
      </c>
      <c r="F7" s="1"/>
      <c r="G7" s="11">
        <v>1</v>
      </c>
      <c r="H7" s="73">
        <v>20.16</v>
      </c>
      <c r="I7" s="74">
        <v>21.76</v>
      </c>
      <c r="J7" s="45">
        <f t="shared" ref="J7:J21" si="1">IF(OR(I7="",H7=""),"",H7/I7)</f>
        <v>0.92647058823529405</v>
      </c>
      <c r="K7" s="13"/>
      <c r="L7" s="63" t="s">
        <v>31</v>
      </c>
      <c r="M7" s="64">
        <f>D29/(E25)</f>
        <v>4.7791737202143351E-2</v>
      </c>
      <c r="N7" s="65" t="s">
        <v>52</v>
      </c>
      <c r="O7" s="66">
        <f>D43*D44/E25</f>
        <v>8.7614174798600168E-3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 x14ac:dyDescent="0.25">
      <c r="A8" s="13"/>
      <c r="B8" s="12">
        <v>2</v>
      </c>
      <c r="C8" s="75">
        <v>21.46</v>
      </c>
      <c r="D8" s="76">
        <v>22</v>
      </c>
      <c r="E8" s="46">
        <f t="shared" si="0"/>
        <v>0.97545454545454546</v>
      </c>
      <c r="F8" s="1"/>
      <c r="G8" s="12">
        <v>2</v>
      </c>
      <c r="H8" s="75">
        <v>20.2</v>
      </c>
      <c r="I8" s="76">
        <v>21.58</v>
      </c>
      <c r="J8" s="46">
        <f t="shared" si="1"/>
        <v>0.93605189990732163</v>
      </c>
      <c r="K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4" x14ac:dyDescent="0.25">
      <c r="A9" s="13"/>
      <c r="B9" s="12">
        <v>3</v>
      </c>
      <c r="C9" s="75">
        <v>20.76</v>
      </c>
      <c r="D9" s="76">
        <v>21.14</v>
      </c>
      <c r="E9" s="46">
        <f t="shared" si="0"/>
        <v>0.98202459791863772</v>
      </c>
      <c r="F9" s="1"/>
      <c r="G9" s="12">
        <v>3</v>
      </c>
      <c r="H9" s="75">
        <v>20.260000000000002</v>
      </c>
      <c r="I9" s="76">
        <v>21.72</v>
      </c>
      <c r="J9" s="46">
        <f t="shared" si="1"/>
        <v>0.93278084714548815</v>
      </c>
      <c r="K9" s="13"/>
      <c r="L9" s="51" t="s">
        <v>41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x14ac:dyDescent="0.25">
      <c r="A10" s="13"/>
      <c r="B10" s="12">
        <v>4</v>
      </c>
      <c r="C10" s="77">
        <v>20.86</v>
      </c>
      <c r="D10" s="78">
        <v>21.54</v>
      </c>
      <c r="E10" s="46">
        <f t="shared" si="0"/>
        <v>0.96843082636954503</v>
      </c>
      <c r="F10" s="1"/>
      <c r="G10" s="12">
        <v>4</v>
      </c>
      <c r="H10" s="77"/>
      <c r="I10" s="78"/>
      <c r="J10" s="46" t="str">
        <f t="shared" si="1"/>
        <v/>
      </c>
      <c r="K10" s="13"/>
      <c r="L10" s="13" t="s">
        <v>42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x14ac:dyDescent="0.25">
      <c r="A11" s="13"/>
      <c r="B11" s="12">
        <v>5</v>
      </c>
      <c r="C11" s="77">
        <v>20.68</v>
      </c>
      <c r="D11" s="78">
        <v>21.08</v>
      </c>
      <c r="E11" s="46">
        <f t="shared" si="0"/>
        <v>0.98102466793168885</v>
      </c>
      <c r="F11" s="1"/>
      <c r="G11" s="12">
        <v>5</v>
      </c>
      <c r="H11" s="77"/>
      <c r="I11" s="78"/>
      <c r="J11" s="46" t="str">
        <f t="shared" si="1"/>
        <v/>
      </c>
      <c r="K11" s="13"/>
      <c r="L11" s="13" t="s">
        <v>43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x14ac:dyDescent="0.25">
      <c r="A12" s="13"/>
      <c r="B12" s="12">
        <v>6</v>
      </c>
      <c r="C12" s="79">
        <v>20.9</v>
      </c>
      <c r="D12" s="80">
        <v>21.42</v>
      </c>
      <c r="E12" s="46">
        <f t="shared" si="0"/>
        <v>0.97572362278244618</v>
      </c>
      <c r="F12" s="13"/>
      <c r="G12" s="12">
        <v>6</v>
      </c>
      <c r="H12" s="79"/>
      <c r="I12" s="80"/>
      <c r="J12" s="46" t="str">
        <f t="shared" si="1"/>
        <v/>
      </c>
      <c r="K12" s="13"/>
      <c r="L12" s="13" t="s">
        <v>45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x14ac:dyDescent="0.25">
      <c r="A13" s="13"/>
      <c r="B13" s="12">
        <v>7</v>
      </c>
      <c r="C13" s="79"/>
      <c r="D13" s="80"/>
      <c r="E13" s="46" t="str">
        <f t="shared" si="0"/>
        <v/>
      </c>
      <c r="F13" s="13"/>
      <c r="G13" s="12">
        <v>7</v>
      </c>
      <c r="H13" s="79"/>
      <c r="I13" s="80"/>
      <c r="J13" s="46" t="str">
        <f t="shared" si="1"/>
        <v/>
      </c>
      <c r="K13" s="13"/>
      <c r="L13" s="13" t="s">
        <v>44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 x14ac:dyDescent="0.25">
      <c r="A14" s="13"/>
      <c r="B14" s="12">
        <v>8</v>
      </c>
      <c r="C14" s="79"/>
      <c r="D14" s="80"/>
      <c r="E14" s="46" t="str">
        <f t="shared" si="0"/>
        <v/>
      </c>
      <c r="F14" s="13"/>
      <c r="G14" s="12">
        <v>8</v>
      </c>
      <c r="H14" s="79"/>
      <c r="I14" s="80"/>
      <c r="J14" s="46" t="str">
        <f t="shared" si="1"/>
        <v/>
      </c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x14ac:dyDescent="0.25">
      <c r="A15" s="13"/>
      <c r="B15" s="12">
        <v>9</v>
      </c>
      <c r="C15" s="79"/>
      <c r="D15" s="80"/>
      <c r="E15" s="46" t="str">
        <f t="shared" si="0"/>
        <v/>
      </c>
      <c r="F15" s="13"/>
      <c r="G15" s="12">
        <v>9</v>
      </c>
      <c r="H15" s="79"/>
      <c r="I15" s="80"/>
      <c r="J15" s="46" t="str">
        <f t="shared" si="1"/>
        <v/>
      </c>
      <c r="K15" s="13"/>
      <c r="L15" s="51" t="s">
        <v>39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x14ac:dyDescent="0.25">
      <c r="A16" s="13"/>
      <c r="B16" s="12">
        <v>10</v>
      </c>
      <c r="C16" s="79"/>
      <c r="D16" s="80"/>
      <c r="E16" s="46" t="str">
        <f t="shared" si="0"/>
        <v/>
      </c>
      <c r="F16" s="13"/>
      <c r="G16" s="12">
        <v>10</v>
      </c>
      <c r="H16" s="79"/>
      <c r="I16" s="80"/>
      <c r="J16" s="46" t="str">
        <f t="shared" si="1"/>
        <v/>
      </c>
      <c r="K16" s="13"/>
      <c r="L16" s="67" t="s">
        <v>53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4" x14ac:dyDescent="0.25">
      <c r="A17" s="13"/>
      <c r="B17" s="12">
        <v>11</v>
      </c>
      <c r="C17" s="79"/>
      <c r="D17" s="80"/>
      <c r="E17" s="46" t="str">
        <f t="shared" si="0"/>
        <v/>
      </c>
      <c r="F17" s="13"/>
      <c r="G17" s="12">
        <v>11</v>
      </c>
      <c r="H17" s="79"/>
      <c r="I17" s="80"/>
      <c r="J17" s="46" t="str">
        <f t="shared" si="1"/>
        <v/>
      </c>
      <c r="K17" s="13"/>
      <c r="L17" s="67" t="s">
        <v>54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x14ac:dyDescent="0.25">
      <c r="A18" s="13"/>
      <c r="B18" s="12">
        <v>12</v>
      </c>
      <c r="C18" s="79"/>
      <c r="D18" s="80"/>
      <c r="E18" s="46" t="str">
        <f t="shared" si="0"/>
        <v/>
      </c>
      <c r="F18" s="13"/>
      <c r="G18" s="12">
        <v>12</v>
      </c>
      <c r="H18" s="79"/>
      <c r="I18" s="80"/>
      <c r="J18" s="46" t="str">
        <f t="shared" si="1"/>
        <v/>
      </c>
      <c r="K18" s="13"/>
      <c r="L18" s="67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x14ac:dyDescent="0.25">
      <c r="A19" s="13"/>
      <c r="B19" s="12">
        <v>13</v>
      </c>
      <c r="C19" s="79"/>
      <c r="D19" s="80"/>
      <c r="E19" s="46" t="str">
        <f t="shared" si="0"/>
        <v/>
      </c>
      <c r="F19" s="13"/>
      <c r="G19" s="12">
        <v>13</v>
      </c>
      <c r="H19" s="79"/>
      <c r="I19" s="80"/>
      <c r="J19" s="46" t="str">
        <f t="shared" si="1"/>
        <v/>
      </c>
      <c r="K19" s="13"/>
      <c r="L19" s="67" t="s">
        <v>55</v>
      </c>
      <c r="M19" s="67"/>
      <c r="N19" s="67"/>
      <c r="O19" s="67"/>
      <c r="P19" s="67"/>
      <c r="Q19" s="67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1:34" x14ac:dyDescent="0.25">
      <c r="A20" s="13"/>
      <c r="B20" s="12">
        <v>14</v>
      </c>
      <c r="C20" s="79"/>
      <c r="D20" s="80"/>
      <c r="E20" s="46" t="str">
        <f t="shared" si="0"/>
        <v/>
      </c>
      <c r="F20" s="13"/>
      <c r="G20" s="12">
        <v>14</v>
      </c>
      <c r="H20" s="79"/>
      <c r="I20" s="80"/>
      <c r="J20" s="46" t="str">
        <f t="shared" si="1"/>
        <v/>
      </c>
      <c r="K20" s="13"/>
      <c r="L20" s="67" t="s">
        <v>56</v>
      </c>
      <c r="M20" s="67"/>
      <c r="N20" s="67"/>
      <c r="O20" s="67"/>
      <c r="P20" s="67"/>
      <c r="Q20" s="67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ht="15" customHeight="1" thickBot="1" x14ac:dyDescent="0.3">
      <c r="A21" s="13"/>
      <c r="B21" s="14">
        <v>15</v>
      </c>
      <c r="C21" s="81"/>
      <c r="D21" s="82"/>
      <c r="E21" s="47" t="str">
        <f t="shared" si="0"/>
        <v/>
      </c>
      <c r="F21" s="13"/>
      <c r="G21" s="14">
        <v>15</v>
      </c>
      <c r="H21" s="81"/>
      <c r="I21" s="82"/>
      <c r="J21" s="47" t="str">
        <f t="shared" si="1"/>
        <v/>
      </c>
      <c r="K21" s="13"/>
      <c r="L21" s="67"/>
      <c r="M21" s="67"/>
      <c r="N21" s="67"/>
      <c r="O21" s="67"/>
      <c r="P21" s="67"/>
      <c r="Q21" s="67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ht="14.25" customHeight="1" thickBot="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67" t="s">
        <v>64</v>
      </c>
      <c r="M22" s="67"/>
      <c r="N22" s="67"/>
      <c r="O22" s="67"/>
      <c r="P22" s="67"/>
      <c r="Q22" s="67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6.5" thickBot="1" x14ac:dyDescent="0.3">
      <c r="A23" s="13"/>
      <c r="B23" s="9" t="s">
        <v>13</v>
      </c>
      <c r="C23" s="6"/>
      <c r="D23" s="5"/>
      <c r="E23" s="7"/>
      <c r="F23" s="13"/>
      <c r="G23" s="9" t="s">
        <v>14</v>
      </c>
      <c r="H23" s="5"/>
      <c r="I23" s="5"/>
      <c r="J23" s="7"/>
      <c r="K23" s="13"/>
      <c r="L23" s="67" t="s">
        <v>65</v>
      </c>
      <c r="M23" s="67"/>
      <c r="N23" s="67"/>
      <c r="O23" s="67"/>
      <c r="P23" s="67"/>
      <c r="Q23" s="67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4" ht="16.5" thickBot="1" x14ac:dyDescent="0.3">
      <c r="A24" s="13"/>
      <c r="B24" s="4"/>
      <c r="C24" s="6"/>
      <c r="D24" s="5" t="s">
        <v>4</v>
      </c>
      <c r="E24" s="8" t="s">
        <v>5</v>
      </c>
      <c r="F24" s="13"/>
      <c r="G24" s="25" t="s">
        <v>15</v>
      </c>
      <c r="H24" s="13"/>
      <c r="I24" s="13"/>
      <c r="J24" s="26">
        <f>D27^2</f>
        <v>2.3885156283520937E-5</v>
      </c>
      <c r="K24" s="13"/>
      <c r="L24" s="68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8"/>
    </row>
    <row r="25" spans="1:34" x14ac:dyDescent="0.25">
      <c r="A25" s="13"/>
      <c r="B25" s="18" t="s">
        <v>9</v>
      </c>
      <c r="C25" s="19"/>
      <c r="D25" s="36">
        <f>AVERAGE(E7:E21)</f>
        <v>0.97629857922948915</v>
      </c>
      <c r="E25" s="37">
        <f>AVERAGE(J7:J21)</f>
        <v>0.93176777842936787</v>
      </c>
      <c r="F25" s="13"/>
      <c r="G25" s="25" t="s">
        <v>16</v>
      </c>
      <c r="H25" s="13"/>
      <c r="I25" s="13"/>
      <c r="J25" s="27">
        <f>E27^2</f>
        <v>2.3720114506819076E-5</v>
      </c>
      <c r="K25" s="13"/>
      <c r="L25" s="67" t="s">
        <v>2</v>
      </c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8"/>
    </row>
    <row r="26" spans="1:34" x14ac:dyDescent="0.25">
      <c r="A26" s="13"/>
      <c r="B26" s="20" t="s">
        <v>10</v>
      </c>
      <c r="C26" s="13"/>
      <c r="D26" s="10">
        <f>COUNT(E7:E21)</f>
        <v>6</v>
      </c>
      <c r="E26" s="2">
        <f>COUNT(J7:J21)</f>
        <v>3</v>
      </c>
      <c r="F26" s="13"/>
      <c r="G26" s="25" t="s">
        <v>17</v>
      </c>
      <c r="H26" s="13"/>
      <c r="I26" s="13"/>
      <c r="J26" s="27">
        <f>J25/J24</f>
        <v>0.99309019481627892</v>
      </c>
      <c r="K26" s="13"/>
      <c r="L26" s="67" t="s">
        <v>62</v>
      </c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8"/>
    </row>
    <row r="27" spans="1:34" x14ac:dyDescent="0.25">
      <c r="A27" s="13"/>
      <c r="B27" s="20" t="s">
        <v>11</v>
      </c>
      <c r="C27" s="13"/>
      <c r="D27" s="16">
        <f>STDEV(E7:E21)</f>
        <v>4.8872442422617816E-3</v>
      </c>
      <c r="E27" s="17">
        <f>STDEV(J7:J21)</f>
        <v>4.8703300203188568E-3</v>
      </c>
      <c r="F27" s="13"/>
      <c r="G27" s="25" t="s">
        <v>18</v>
      </c>
      <c r="H27" s="13"/>
      <c r="I27" s="13"/>
      <c r="J27" s="27">
        <f>FINV(0.975,E26-1,D26-1)</f>
        <v>2.5446440122317643E-2</v>
      </c>
      <c r="K27" s="13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8"/>
    </row>
    <row r="28" spans="1:34" ht="15.75" thickBot="1" x14ac:dyDescent="0.3">
      <c r="A28" s="13"/>
      <c r="B28" s="20" t="s">
        <v>24</v>
      </c>
      <c r="C28" s="13"/>
      <c r="D28" s="33">
        <f>D27^2</f>
        <v>2.3885156283520937E-5</v>
      </c>
      <c r="E28" s="34">
        <f>E27^2</f>
        <v>2.3720114506819076E-5</v>
      </c>
      <c r="F28" s="13"/>
      <c r="G28" s="25" t="s">
        <v>19</v>
      </c>
      <c r="H28" s="13"/>
      <c r="I28" s="13"/>
      <c r="J28" s="27">
        <f>FINV(0.025,E26-1,D26-1)</f>
        <v>8.4336207394327811</v>
      </c>
      <c r="K28" s="13"/>
      <c r="L28" s="67" t="s">
        <v>60</v>
      </c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8"/>
    </row>
    <row r="29" spans="1:34" ht="16.5" customHeight="1" thickBot="1" x14ac:dyDescent="0.35">
      <c r="A29" s="13"/>
      <c r="B29" s="21" t="s">
        <v>12</v>
      </c>
      <c r="C29" s="15"/>
      <c r="D29" s="35">
        <f>D25-E25</f>
        <v>4.4530800800121284E-2</v>
      </c>
      <c r="E29" s="3"/>
      <c r="F29" s="13"/>
      <c r="G29" s="28" t="s">
        <v>20</v>
      </c>
      <c r="H29" s="15"/>
      <c r="I29" s="15"/>
      <c r="J29" s="44" t="str">
        <f>IF(J26&lt;J28,IF(J26&gt;J27,"yes","no"),"no")</f>
        <v>yes</v>
      </c>
      <c r="K29" s="13" t="s">
        <v>46</v>
      </c>
      <c r="L29" s="69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8"/>
    </row>
    <row r="30" spans="1:34" ht="12" customHeight="1" thickBo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69" t="s">
        <v>57</v>
      </c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spans="1:34" ht="15.75" thickBot="1" x14ac:dyDescent="0.3">
      <c r="A31" s="13"/>
      <c r="B31" s="9" t="s">
        <v>33</v>
      </c>
      <c r="C31" s="5"/>
      <c r="D31" s="5"/>
      <c r="E31" s="7"/>
      <c r="F31" s="13"/>
      <c r="G31" s="9" t="s">
        <v>34</v>
      </c>
      <c r="H31" s="5"/>
      <c r="I31" s="5"/>
      <c r="J31" s="7"/>
      <c r="L31" s="69" t="s">
        <v>1</v>
      </c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x14ac:dyDescent="0.25">
      <c r="A32" s="13"/>
      <c r="B32" s="20" t="s">
        <v>27</v>
      </c>
      <c r="C32" s="13"/>
      <c r="D32" s="13"/>
      <c r="E32" s="26">
        <f>SQRT(((D26-1)*D27^2+(E26-1)*E27^2)/(D26+E26-2))</f>
        <v>4.8824175866242275E-3</v>
      </c>
      <c r="F32" s="13"/>
      <c r="G32" s="18" t="s">
        <v>23</v>
      </c>
      <c r="H32" s="19"/>
      <c r="I32" s="19"/>
      <c r="J32" s="22">
        <f>(D28/D26+E28/E26)^2/(((D28/D26)^2)/(D26-1)+((E28/E26)^2)/(E26-1))</f>
        <v>4.1046963486614869</v>
      </c>
      <c r="K32" s="13"/>
      <c r="L32" s="69" t="s">
        <v>58</v>
      </c>
      <c r="M32" s="68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 spans="1:34" x14ac:dyDescent="0.25">
      <c r="A33" s="13"/>
      <c r="B33" s="20" t="s">
        <v>21</v>
      </c>
      <c r="C33" s="13"/>
      <c r="D33" s="13"/>
      <c r="E33" s="23">
        <f>TINV(0.05,(D26+E26-2))</f>
        <v>2.3646242515927849</v>
      </c>
      <c r="F33" s="13"/>
      <c r="G33" s="20" t="s">
        <v>21</v>
      </c>
      <c r="H33" s="13"/>
      <c r="I33" s="13"/>
      <c r="J33" s="23">
        <f>SQRT(-BETAINV(0.05,J$32/2,0.5)*J$32*(BETAINV(0.05,J$32/2,0.5)-1))/BETAINV(0.05,J$32/2,0.5)</f>
        <v>2.7487379278453004</v>
      </c>
      <c r="K33" s="13"/>
      <c r="L33" s="69" t="s">
        <v>61</v>
      </c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 spans="1:34" ht="15.75" thickBot="1" x14ac:dyDescent="0.3">
      <c r="A34" s="13"/>
      <c r="B34" s="20" t="s">
        <v>29</v>
      </c>
      <c r="C34" s="13"/>
      <c r="D34" s="13"/>
      <c r="E34" s="23">
        <f>D29/(E32*SQRT(1/D26+1/E26))</f>
        <v>12.898540798188613</v>
      </c>
      <c r="F34" s="13"/>
      <c r="G34" s="20" t="s">
        <v>29</v>
      </c>
      <c r="H34" s="13"/>
      <c r="I34" s="13"/>
      <c r="J34" s="23">
        <f>D29/SQRT(D28/D26+E28/E26)</f>
        <v>12.915584560126138</v>
      </c>
      <c r="K34" s="13"/>
      <c r="L34" s="70" t="s">
        <v>59</v>
      </c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ht="19.5" thickBot="1" x14ac:dyDescent="0.35">
      <c r="A35" s="13"/>
      <c r="B35" s="20" t="s">
        <v>32</v>
      </c>
      <c r="C35" s="13"/>
      <c r="D35" s="13"/>
      <c r="E35" s="44" t="str">
        <f>IF(E34&gt;E33,"yes","no")</f>
        <v>yes</v>
      </c>
      <c r="F35" s="13"/>
      <c r="G35" s="20" t="s">
        <v>32</v>
      </c>
      <c r="H35" s="13"/>
      <c r="I35" s="13"/>
      <c r="J35" s="44" t="str">
        <f>IF(J34&gt;J33,"yes","no")</f>
        <v>yes</v>
      </c>
      <c r="K35" s="13"/>
      <c r="L35" s="70" t="s">
        <v>0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 spans="1:34" ht="15.75" thickBot="1" x14ac:dyDescent="0.3">
      <c r="A36" s="13"/>
      <c r="B36" s="21" t="s">
        <v>22</v>
      </c>
      <c r="C36" s="15"/>
      <c r="D36" s="15"/>
      <c r="E36" s="24">
        <f>TDIST(E34,(D26+E26-2),2)</f>
        <v>3.9109571484092578E-6</v>
      </c>
      <c r="F36" s="13"/>
      <c r="G36" s="21" t="s">
        <v>22</v>
      </c>
      <c r="H36" s="15"/>
      <c r="I36" s="15"/>
      <c r="J36" s="24">
        <f>BETADIST(J32/(J32+(J34^2)),J32/2,0.5)</f>
        <v>1.7735676327354852E-4</v>
      </c>
      <c r="K36" s="13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 spans="1:34" x14ac:dyDescent="0.25">
      <c r="A37" s="13"/>
      <c r="B37" s="38" t="s">
        <v>35</v>
      </c>
      <c r="C37" s="19"/>
      <c r="D37" s="19"/>
      <c r="E37" s="39">
        <f>D29-E33*E32*SQRT(1/D26+1/E26)</f>
        <v>3.6367194299019884E-2</v>
      </c>
      <c r="G37" s="38" t="s">
        <v>37</v>
      </c>
      <c r="H37" s="19"/>
      <c r="I37" s="19"/>
      <c r="J37" s="39">
        <f>D29-J33*(SQRT(D28/D26+E28/E26))</f>
        <v>3.5053606752357504E-2</v>
      </c>
      <c r="K37" s="13"/>
      <c r="L37" s="70" t="s">
        <v>63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ht="15.75" thickBot="1" x14ac:dyDescent="0.3">
      <c r="A38" s="13"/>
      <c r="B38" s="28" t="s">
        <v>36</v>
      </c>
      <c r="C38" s="15"/>
      <c r="D38" s="15"/>
      <c r="E38" s="40">
        <f>D29+E33*E32*SQRT(1/D26+1/E26)</f>
        <v>5.2694407301222684E-2</v>
      </c>
      <c r="F38" s="13"/>
      <c r="G38" s="28" t="s">
        <v>38</v>
      </c>
      <c r="H38" s="15"/>
      <c r="I38" s="15"/>
      <c r="J38" s="40">
        <f>D29+J33*(SQRT(D28/D26+E28/E26))</f>
        <v>5.4007994847885064E-2</v>
      </c>
      <c r="K38" s="13"/>
      <c r="L38" s="70" t="s">
        <v>66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 spans="1:34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70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 spans="1:34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72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 spans="1:34" x14ac:dyDescent="0.25">
      <c r="A41" s="13"/>
      <c r="B41" s="13"/>
      <c r="D41" s="13"/>
      <c r="E41" s="13"/>
      <c r="F41" s="13"/>
      <c r="G41" s="13"/>
      <c r="H41" s="13"/>
      <c r="I41" s="13"/>
      <c r="J41" s="13"/>
      <c r="K41" s="13"/>
      <c r="L41" s="72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 spans="1:34" x14ac:dyDescent="0.25">
      <c r="A42" s="13"/>
      <c r="B42" s="13"/>
      <c r="D42" s="13"/>
      <c r="E42" s="13"/>
      <c r="F42" s="13"/>
      <c r="G42" s="13"/>
      <c r="H42" s="13"/>
      <c r="I42" s="13"/>
      <c r="J42" s="13"/>
      <c r="K42" s="13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 spans="1:34" x14ac:dyDescent="0.25">
      <c r="A43" s="13"/>
      <c r="B43" s="43"/>
      <c r="C43" s="41" t="s">
        <v>3</v>
      </c>
      <c r="D43" s="31">
        <f>IF(J29="yes",E33,J33)</f>
        <v>2.3646242515927849</v>
      </c>
      <c r="E43" s="13"/>
      <c r="F43" s="13"/>
      <c r="G43" s="13"/>
      <c r="H43" s="13"/>
      <c r="I43" s="13"/>
      <c r="J43" s="13"/>
      <c r="K43" s="13"/>
      <c r="M43" s="67"/>
      <c r="N43" s="68"/>
      <c r="O43" s="68"/>
      <c r="P43" s="68"/>
      <c r="Q43" s="68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x14ac:dyDescent="0.25">
      <c r="A44" s="13"/>
      <c r="B44" s="42"/>
      <c r="C44" s="30" t="s">
        <v>26</v>
      </c>
      <c r="D44" s="32">
        <f>IF(J29="yes",E32*SQRT(1/D26+1/E26),(SQRT(D28/D26+E28/E26)))</f>
        <v>3.4523905840864494E-3</v>
      </c>
      <c r="E44" s="13"/>
      <c r="F44" s="13"/>
      <c r="G44" s="13"/>
      <c r="H44" s="13"/>
      <c r="I44" s="13"/>
      <c r="J44" s="13"/>
      <c r="K44" s="13"/>
      <c r="M44" s="67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</row>
    <row r="45" spans="1:34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</row>
    <row r="46" spans="1:34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</row>
    <row r="47" spans="1:34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</row>
    <row r="48" spans="1:34" x14ac:dyDescent="0.25"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</row>
    <row r="49" spans="18:34" x14ac:dyDescent="0.25"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</row>
  </sheetData>
  <sheetProtection password="F4E0" sheet="1"/>
  <mergeCells count="5">
    <mergeCell ref="B4:E4"/>
    <mergeCell ref="G4:J4"/>
    <mergeCell ref="C5:D5"/>
    <mergeCell ref="H5:I5"/>
    <mergeCell ref="N5:O5"/>
  </mergeCells>
  <dataValidations count="1">
    <dataValidation type="list" allowBlank="1" showInputMessage="1" showErrorMessage="1" sqref="F7:F11" xr:uid="{00000000-0002-0000-0E00-000000000000}">
      <formula1>"Y, N"</formula1>
    </dataValidation>
  </dataValidations>
  <pageMargins left="0.7" right="0.7" top="0.75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D0C8-6F72-4202-8ADC-50D8C77FB6AF}">
  <dimension ref="A1:U162"/>
  <sheetViews>
    <sheetView tabSelected="1" topLeftCell="E52" workbookViewId="0">
      <selection activeCell="H72" sqref="H72"/>
    </sheetView>
  </sheetViews>
  <sheetFormatPr defaultRowHeight="15" x14ac:dyDescent="0.25"/>
  <cols>
    <col min="4" max="4" width="12" bestFit="1" customWidth="1"/>
    <col min="13" max="13" width="11.85546875" bestFit="1" customWidth="1"/>
    <col min="14" max="14" width="10.85546875" bestFit="1" customWidth="1"/>
  </cols>
  <sheetData>
    <row r="1" spans="1:21" x14ac:dyDescent="0.25">
      <c r="D1" t="s">
        <v>208</v>
      </c>
      <c r="E1">
        <v>30</v>
      </c>
      <c r="F1">
        <v>40</v>
      </c>
      <c r="G1">
        <v>50</v>
      </c>
      <c r="H1">
        <v>75</v>
      </c>
      <c r="I1">
        <v>150</v>
      </c>
      <c r="J1">
        <v>258</v>
      </c>
      <c r="O1" t="s">
        <v>208</v>
      </c>
      <c r="P1">
        <v>30</v>
      </c>
      <c r="Q1">
        <v>40</v>
      </c>
      <c r="R1">
        <v>50</v>
      </c>
      <c r="S1">
        <v>75</v>
      </c>
      <c r="T1">
        <v>150</v>
      </c>
      <c r="U1">
        <v>258</v>
      </c>
    </row>
    <row r="2" spans="1:21" x14ac:dyDescent="0.25">
      <c r="B2" t="s">
        <v>205</v>
      </c>
      <c r="D2" t="s">
        <v>207</v>
      </c>
      <c r="E2">
        <f>CONVERT(E1,"ft","m")</f>
        <v>9.1440000000000001</v>
      </c>
      <c r="F2">
        <f t="shared" ref="F2:K2" si="0">CONVERT(F1,"ft","m")</f>
        <v>12.192</v>
      </c>
      <c r="G2">
        <f t="shared" si="0"/>
        <v>15.24</v>
      </c>
      <c r="H2">
        <f t="shared" si="0"/>
        <v>22.86</v>
      </c>
      <c r="I2">
        <f t="shared" si="0"/>
        <v>45.72</v>
      </c>
      <c r="J2">
        <f t="shared" si="0"/>
        <v>78.638400000000004</v>
      </c>
      <c r="M2" t="s">
        <v>206</v>
      </c>
      <c r="O2" t="s">
        <v>207</v>
      </c>
      <c r="P2">
        <f>CONVERT(P1,"ft","m")</f>
        <v>9.1440000000000001</v>
      </c>
      <c r="Q2">
        <f t="shared" ref="Q2" si="1">CONVERT(Q1,"ft","m")</f>
        <v>12.192</v>
      </c>
      <c r="R2">
        <f t="shared" ref="R2" si="2">CONVERT(R1,"ft","m")</f>
        <v>15.24</v>
      </c>
      <c r="S2">
        <f t="shared" ref="S2" si="3">CONVERT(S1,"ft","m")</f>
        <v>22.86</v>
      </c>
      <c r="T2">
        <f t="shared" ref="T2" si="4">CONVERT(T1,"ft","m")</f>
        <v>45.72</v>
      </c>
      <c r="U2">
        <f t="shared" ref="U2" si="5">CONVERT(U1,"ft","m")</f>
        <v>78.638400000000004</v>
      </c>
    </row>
    <row r="3" spans="1:21" x14ac:dyDescent="0.25">
      <c r="B3">
        <v>1.0435588507877664</v>
      </c>
      <c r="D3" t="s">
        <v>211</v>
      </c>
      <c r="E3">
        <v>0.97428571428571431</v>
      </c>
      <c r="F3">
        <v>0.9923518164435946</v>
      </c>
      <c r="G3">
        <v>0.99334600760456271</v>
      </c>
      <c r="H3">
        <v>1.0138888888888888</v>
      </c>
      <c r="I3">
        <v>1.0297121634168989</v>
      </c>
      <c r="J3">
        <v>1.0235183443085607</v>
      </c>
      <c r="M3">
        <v>1.0176088971269694</v>
      </c>
      <c r="O3" t="s">
        <v>211</v>
      </c>
      <c r="P3">
        <v>0.90190476190476199</v>
      </c>
      <c r="Q3">
        <v>0.90057361376673029</v>
      </c>
      <c r="R3">
        <v>0.88878326996197721</v>
      </c>
      <c r="S3">
        <v>0.90509259259259256</v>
      </c>
      <c r="T3">
        <v>0.9405756731662025</v>
      </c>
      <c r="U3">
        <v>0.94825964252116646</v>
      </c>
    </row>
    <row r="4" spans="1:21" x14ac:dyDescent="0.25">
      <c r="B4">
        <v>1.0232558139534884</v>
      </c>
      <c r="D4" t="s">
        <v>212</v>
      </c>
      <c r="E4">
        <v>0.97315436241610742</v>
      </c>
      <c r="F4">
        <v>0.97452830188679251</v>
      </c>
      <c r="G4">
        <v>1.0038022813688214</v>
      </c>
      <c r="H4">
        <v>1.0198863636363635</v>
      </c>
      <c r="I4">
        <v>1.0162748643761301</v>
      </c>
      <c r="J4">
        <v>1.0131455399061031</v>
      </c>
      <c r="M4">
        <v>0.99813953488372098</v>
      </c>
      <c r="O4" t="s">
        <v>212</v>
      </c>
      <c r="P4">
        <v>0.90987535953978915</v>
      </c>
      <c r="Q4">
        <v>0.8801886792452831</v>
      </c>
      <c r="R4">
        <v>0.89828897338403035</v>
      </c>
      <c r="S4">
        <v>0.90909090909090906</v>
      </c>
      <c r="T4">
        <v>0.93670886075949356</v>
      </c>
      <c r="U4">
        <v>0.94835680751173701</v>
      </c>
    </row>
    <row r="5" spans="1:21" x14ac:dyDescent="0.25">
      <c r="B5">
        <v>1.0292112950340799</v>
      </c>
      <c r="D5" t="s">
        <v>213</v>
      </c>
      <c r="E5">
        <v>0.96356663470757442</v>
      </c>
      <c r="F5">
        <v>0.98171318575553401</v>
      </c>
      <c r="G5">
        <v>0.99714013346043862</v>
      </c>
      <c r="H5">
        <v>1.0009354536950421</v>
      </c>
      <c r="I5">
        <v>1.0437956204379562</v>
      </c>
      <c r="J5">
        <v>1.0293838862559241</v>
      </c>
      <c r="M5">
        <v>1.0107108081791627</v>
      </c>
      <c r="O5" t="s">
        <v>213</v>
      </c>
      <c r="P5">
        <v>0.90508149568552254</v>
      </c>
      <c r="Q5">
        <v>0.89316650625601524</v>
      </c>
      <c r="R5">
        <v>0.89227836034318386</v>
      </c>
      <c r="S5">
        <v>0.89335827876520124</v>
      </c>
      <c r="T5">
        <v>0.93841240875912402</v>
      </c>
      <c r="U5">
        <v>0.96018957345971567</v>
      </c>
    </row>
    <row r="6" spans="1:21" x14ac:dyDescent="0.25">
      <c r="B6">
        <v>1.0497076023391814</v>
      </c>
      <c r="D6" t="s">
        <v>222</v>
      </c>
      <c r="E6">
        <f>AVERAGE(E3:E5)/$B$10</f>
        <v>0.93764997366936065</v>
      </c>
      <c r="F6">
        <f t="shared" ref="F6:J6" si="6">AVERAGE(F3:F5)/$B$10</f>
        <v>0.94975680512918981</v>
      </c>
      <c r="G6">
        <f t="shared" si="6"/>
        <v>0.9644754336874124</v>
      </c>
      <c r="H6">
        <f t="shared" si="6"/>
        <v>0.97749565558504248</v>
      </c>
      <c r="I6">
        <f t="shared" si="6"/>
        <v>0.99523460643453865</v>
      </c>
      <c r="J6">
        <f t="shared" si="6"/>
        <v>0.98758948235431732</v>
      </c>
      <c r="M6">
        <v>1.0165692007797271</v>
      </c>
      <c r="O6" t="s">
        <v>221</v>
      </c>
      <c r="P6">
        <f>AVERAGE(P3:P5)/$M$9</f>
        <v>0.89643643355714886</v>
      </c>
      <c r="Q6">
        <f t="shared" ref="Q6:U6" si="7">AVERAGE(Q3:Q5)/$M$9</f>
        <v>0.8822706247856793</v>
      </c>
      <c r="R6">
        <f t="shared" si="7"/>
        <v>0.88405956500556637</v>
      </c>
      <c r="S6">
        <f t="shared" si="7"/>
        <v>0.89336132619676434</v>
      </c>
      <c r="T6">
        <f t="shared" si="7"/>
        <v>0.92904743817774771</v>
      </c>
      <c r="U6">
        <f t="shared" si="7"/>
        <v>0.94261149957631252</v>
      </c>
    </row>
    <row r="7" spans="1:21" x14ac:dyDescent="0.25">
      <c r="B7">
        <v>1.0282926829268293</v>
      </c>
      <c r="D7" t="s">
        <v>210</v>
      </c>
      <c r="E7">
        <f>IF(E2&lt;$C$18,$C$15*E2^$C$16+$C$17,1)</f>
        <v>0.88618986712322079</v>
      </c>
      <c r="F7">
        <f>IF(F2&lt;$C$18,$C$15*F2^$C$16+$C$17,1)</f>
        <v>0.90993139547758473</v>
      </c>
      <c r="G7">
        <f>IF(G2&lt;$C$18,$C$15*G2^$C$16+$C$17,1)</f>
        <v>0.92878390316796966</v>
      </c>
      <c r="H7">
        <f>IF(H2&lt;$C$18,$C$15*H2^$C$16+$C$17,1)</f>
        <v>0.96404535560332683</v>
      </c>
      <c r="I7">
        <f>IF(I2&lt;$C$18,$C$15*I2^$C$16+$C$17,1)</f>
        <v>1</v>
      </c>
      <c r="J7">
        <f>IF(J2&lt;$C$18,$C$15*J2^$C$16+$C$17,1)</f>
        <v>1</v>
      </c>
      <c r="M7">
        <v>1.0087804878048781</v>
      </c>
      <c r="O7" t="s">
        <v>210</v>
      </c>
      <c r="P7">
        <f>$D$15*P2^$D$16+$D$17</f>
        <v>0.80500407166420263</v>
      </c>
      <c r="Q7">
        <f>$D$15*Q2^$D$16+$D$17</f>
        <v>0.8171916599669633</v>
      </c>
      <c r="R7">
        <f>$D$15*R2^$D$16+$D$17</f>
        <v>0.82698123148631764</v>
      </c>
      <c r="S7">
        <f>$D$15*S2^$D$16+$D$17</f>
        <v>0.84555322976250324</v>
      </c>
      <c r="T7">
        <f>$D$15*T2^$D$16+$D$17</f>
        <v>0.87979031099243465</v>
      </c>
      <c r="U7">
        <f>$D$15*U2^$D$16+$D$17</f>
        <v>0.9089373584201994</v>
      </c>
    </row>
    <row r="8" spans="1:21" x14ac:dyDescent="0.25">
      <c r="B8">
        <v>1.0347826086956522</v>
      </c>
      <c r="D8" t="s">
        <v>224</v>
      </c>
      <c r="E8" s="107">
        <f>($C$21*E2^3+$C$22*E2^2+$C$23*E2+$C$24)/($C$25*E2^3+$C$26*E2^2+$C$27*E2+$C$28)</f>
        <v>0.89449256593047477</v>
      </c>
      <c r="F8" s="107">
        <f>($C$21*F2^3+$C$22*F2^2+$C$23*F2+$C$24)/($C$25*F2^3+$C$26*F2^2+$C$27*F2+$C$28)</f>
        <v>0.93289705278394053</v>
      </c>
      <c r="G8" s="107">
        <f>($C$21*G2^3+$C$22*G2^2+$C$23*G2+$C$24)/($C$25*G2^3+$C$26*G2^2+$C$27*G2+$C$28)</f>
        <v>0.96692598495554827</v>
      </c>
      <c r="H8" s="107">
        <f>($C$21*H2^3+$C$22*H2^2+$C$23*H2+$C$24)/($C$25*H2^3+$C$26*H2^2+$C$27*H2+$C$28)</f>
        <v>0.99952767835710365</v>
      </c>
      <c r="I8" s="107">
        <f>($C$21*I2^3+$C$22*I2^2+$C$23*I2+$C$24)/($C$25*I2^3+$C$26*I2^2+$C$27*I2+$C$28)</f>
        <v>1.0019979063225524</v>
      </c>
      <c r="J8" s="107">
        <f>($C$21*J2^3+$C$22*J2^2+$C$23*J2+$C$24)/($C$25*J2^3+$C$26*J2^2+$C$27*J2+$C$28)</f>
        <v>0.99778388128552797</v>
      </c>
      <c r="M8">
        <v>1.0096618357487923</v>
      </c>
      <c r="O8" t="s">
        <v>224</v>
      </c>
      <c r="P8" s="107">
        <f>($D$21*P2^3+$D$22*P2^2+$D$23*P2+$D$24)/($D$25*P2^3+$D$26*P2^2+$D$27*P2+$D$28)</f>
        <v>0.81586073127991066</v>
      </c>
      <c r="Q8" s="107">
        <f t="shared" ref="Q8:U8" si="8">($D$21*Q2^3+$D$22*Q2^2+$D$23*Q2+$D$24)/($D$25*Q2^3+$D$26*Q2^2+$D$27*Q2+$D$28)</f>
        <v>0.79939524851089283</v>
      </c>
      <c r="R8" s="107">
        <f t="shared" si="8"/>
        <v>0.79558411228870962</v>
      </c>
      <c r="S8" s="107">
        <f t="shared" si="8"/>
        <v>0.80491669106848818</v>
      </c>
      <c r="T8" s="107">
        <f t="shared" si="8"/>
        <v>0.84501404359477261</v>
      </c>
      <c r="U8" s="107">
        <f t="shared" si="8"/>
        <v>0.89199566024237242</v>
      </c>
    </row>
    <row r="9" spans="1:21" x14ac:dyDescent="0.25">
      <c r="B9">
        <v>1.0352045670789725</v>
      </c>
      <c r="D9" t="s">
        <v>209</v>
      </c>
      <c r="E9">
        <v>0.93969999999999998</v>
      </c>
      <c r="F9">
        <v>0.96260000000000001</v>
      </c>
      <c r="G9">
        <v>0.97519999999999996</v>
      </c>
      <c r="H9">
        <v>0.98929999999999996</v>
      </c>
      <c r="I9">
        <v>0.99790000000000001</v>
      </c>
      <c r="J9">
        <v>0.99950000000000006</v>
      </c>
      <c r="L9" t="s">
        <v>221</v>
      </c>
      <c r="M9">
        <f>AVERAGE(M3:M8)</f>
        <v>1.0102451274205417</v>
      </c>
      <c r="O9" t="s">
        <v>209</v>
      </c>
      <c r="P9">
        <v>0.83409999999999995</v>
      </c>
      <c r="Q9">
        <v>0.83030000000000004</v>
      </c>
      <c r="R9">
        <v>0.83550000000000002</v>
      </c>
      <c r="S9">
        <v>0.85650000000000004</v>
      </c>
      <c r="T9">
        <v>0.90110000000000001</v>
      </c>
      <c r="U9">
        <v>0.92959999999999998</v>
      </c>
    </row>
    <row r="10" spans="1:21" x14ac:dyDescent="0.25">
      <c r="A10" t="s">
        <v>221</v>
      </c>
      <c r="B10">
        <f>AVERAGE(B3:B9)</f>
        <v>1.0348590601165673</v>
      </c>
      <c r="O10" t="s">
        <v>223</v>
      </c>
    </row>
    <row r="13" spans="1:21" x14ac:dyDescent="0.25">
      <c r="C13" t="s">
        <v>220</v>
      </c>
      <c r="F13" t="s">
        <v>240</v>
      </c>
      <c r="J13" t="s">
        <v>239</v>
      </c>
      <c r="M13" t="s">
        <v>240</v>
      </c>
      <c r="Q13" t="s">
        <v>239</v>
      </c>
    </row>
    <row r="14" spans="1:21" x14ac:dyDescent="0.25">
      <c r="C14" t="s">
        <v>214</v>
      </c>
      <c r="D14" t="s">
        <v>215</v>
      </c>
      <c r="F14" t="s">
        <v>235</v>
      </c>
      <c r="G14" t="s">
        <v>236</v>
      </c>
      <c r="H14" t="s">
        <v>237</v>
      </c>
      <c r="I14" t="s">
        <v>238</v>
      </c>
      <c r="M14" t="s">
        <v>235</v>
      </c>
      <c r="N14" t="s">
        <v>236</v>
      </c>
      <c r="O14" t="s">
        <v>237</v>
      </c>
      <c r="P14" t="s">
        <v>238</v>
      </c>
    </row>
    <row r="15" spans="1:21" x14ac:dyDescent="0.25">
      <c r="B15" t="s">
        <v>216</v>
      </c>
      <c r="C15" s="105">
        <v>0.72309999999999997</v>
      </c>
      <c r="D15" s="105">
        <v>0.22409999999999999</v>
      </c>
      <c r="E15">
        <v>9.1440000000000001</v>
      </c>
      <c r="F15">
        <v>0.88618986712322079</v>
      </c>
      <c r="G15">
        <v>0.89449256593047477</v>
      </c>
      <c r="H15">
        <v>0.93969999999999998</v>
      </c>
      <c r="J15">
        <v>0.94146705752952498</v>
      </c>
      <c r="L15">
        <v>9.1440000000000001</v>
      </c>
      <c r="M15">
        <v>0.80500407166420263</v>
      </c>
      <c r="N15">
        <v>0.81586073127991066</v>
      </c>
      <c r="O15">
        <v>0.83409999999999995</v>
      </c>
      <c r="Q15">
        <v>0.89275833896630108</v>
      </c>
    </row>
    <row r="16" spans="1:21" x14ac:dyDescent="0.25">
      <c r="B16" t="s">
        <v>217</v>
      </c>
      <c r="C16" s="105">
        <v>9.1899999999999996E-2</v>
      </c>
      <c r="D16" s="105">
        <v>0.13689999999999999</v>
      </c>
      <c r="E16">
        <v>12.192</v>
      </c>
      <c r="F16">
        <v>0.90993139547758473</v>
      </c>
      <c r="G16">
        <v>0.93289705278394053</v>
      </c>
      <c r="H16">
        <v>0.96260000000000001</v>
      </c>
      <c r="J16">
        <v>0.95892460595727436</v>
      </c>
      <c r="L16">
        <v>12.192</v>
      </c>
      <c r="M16">
        <v>0.8171916599669633</v>
      </c>
      <c r="N16">
        <v>0.79939524851089283</v>
      </c>
      <c r="O16">
        <v>0.83030000000000004</v>
      </c>
      <c r="Q16">
        <v>0.8914406903066826</v>
      </c>
    </row>
    <row r="17" spans="2:17" x14ac:dyDescent="0.25">
      <c r="B17" t="s">
        <v>218</v>
      </c>
      <c r="C17" s="105">
        <v>0</v>
      </c>
      <c r="D17" s="105">
        <v>0.50160000000000005</v>
      </c>
      <c r="E17">
        <v>15.24</v>
      </c>
      <c r="F17">
        <v>0.92878390316796966</v>
      </c>
      <c r="G17">
        <v>0.96692598495554827</v>
      </c>
      <c r="H17">
        <v>0.97519999999999996</v>
      </c>
      <c r="J17">
        <v>0.95988530794973326</v>
      </c>
      <c r="L17">
        <v>15.24</v>
      </c>
      <c r="M17">
        <v>0.82698123148631764</v>
      </c>
      <c r="N17">
        <v>0.79558411228870962</v>
      </c>
      <c r="O17">
        <v>0.83550000000000002</v>
      </c>
      <c r="Q17">
        <v>0.87976991508121105</v>
      </c>
    </row>
    <row r="18" spans="2:17" x14ac:dyDescent="0.25">
      <c r="B18" t="s">
        <v>219</v>
      </c>
      <c r="C18" s="105">
        <v>34.018099999999997</v>
      </c>
      <c r="D18" s="105">
        <v>320</v>
      </c>
      <c r="E18">
        <v>22.86</v>
      </c>
      <c r="F18">
        <v>0.96404535560332683</v>
      </c>
      <c r="G18">
        <v>0.99952767835710365</v>
      </c>
      <c r="H18">
        <v>0.98929999999999996</v>
      </c>
      <c r="J18">
        <v>0.9797362055995178</v>
      </c>
      <c r="L18">
        <v>22.86</v>
      </c>
      <c r="M18">
        <v>0.84555322976250324</v>
      </c>
      <c r="N18">
        <v>0.80491669106848818</v>
      </c>
      <c r="O18">
        <v>0.85650000000000004</v>
      </c>
      <c r="Q18">
        <v>0.8959138411323645</v>
      </c>
    </row>
    <row r="19" spans="2:17" x14ac:dyDescent="0.25">
      <c r="E19">
        <v>45.72</v>
      </c>
      <c r="F19">
        <v>1</v>
      </c>
      <c r="G19">
        <v>1.0019979063225524</v>
      </c>
      <c r="H19">
        <v>0.99790000000000001</v>
      </c>
      <c r="J19">
        <v>0.99502647568347269</v>
      </c>
      <c r="L19">
        <v>45.72</v>
      </c>
      <c r="M19">
        <v>0.87979031099243465</v>
      </c>
      <c r="N19">
        <v>0.84501404359477261</v>
      </c>
      <c r="O19">
        <v>0.90110000000000001</v>
      </c>
      <c r="Q19">
        <v>0.93103707965191951</v>
      </c>
    </row>
    <row r="20" spans="2:17" x14ac:dyDescent="0.25">
      <c r="C20" t="s">
        <v>225</v>
      </c>
      <c r="E20">
        <v>78.638400000000004</v>
      </c>
      <c r="F20">
        <v>1</v>
      </c>
      <c r="G20">
        <v>0.99778388128552797</v>
      </c>
      <c r="H20">
        <v>0.99950000000000006</v>
      </c>
      <c r="J20">
        <v>0.98904129437033761</v>
      </c>
      <c r="L20">
        <v>78.638400000000004</v>
      </c>
      <c r="M20">
        <v>0.9089373584201994</v>
      </c>
      <c r="N20">
        <v>0.89199566024237242</v>
      </c>
      <c r="O20">
        <v>0.92959999999999998</v>
      </c>
      <c r="Q20">
        <v>0.93864312411222139</v>
      </c>
    </row>
    <row r="21" spans="2:17" x14ac:dyDescent="0.25">
      <c r="B21" t="s">
        <v>226</v>
      </c>
      <c r="C21" s="107">
        <v>3.1099999999999999E-2</v>
      </c>
      <c r="D21" s="107">
        <v>2.0594999999999999E-4</v>
      </c>
      <c r="E21">
        <v>9.1440000000000001</v>
      </c>
      <c r="F21">
        <v>0.88618986712322079</v>
      </c>
      <c r="G21">
        <v>0.89449256593047477</v>
      </c>
      <c r="H21">
        <v>0.93969999999999998</v>
      </c>
      <c r="J21">
        <v>0.94037381506472062</v>
      </c>
      <c r="L21">
        <v>9.1440000000000001</v>
      </c>
      <c r="M21">
        <v>0.80500407166420263</v>
      </c>
      <c r="N21">
        <v>0.81586073127991066</v>
      </c>
      <c r="O21">
        <v>0.83409999999999995</v>
      </c>
      <c r="Q21">
        <v>0.90064810494357284</v>
      </c>
    </row>
    <row r="22" spans="2:17" x14ac:dyDescent="0.25">
      <c r="B22" t="s">
        <v>227</v>
      </c>
      <c r="C22" s="107">
        <v>-0.52600000000000002</v>
      </c>
      <c r="D22" s="107">
        <v>2.5316999999999999E-2</v>
      </c>
      <c r="E22">
        <v>12.192</v>
      </c>
      <c r="F22">
        <v>0.90993139547758473</v>
      </c>
      <c r="G22">
        <v>0.93289705278394053</v>
      </c>
      <c r="H22">
        <v>0.96260000000000001</v>
      </c>
      <c r="J22">
        <v>0.94170147360648415</v>
      </c>
      <c r="L22">
        <v>12.192</v>
      </c>
      <c r="M22">
        <v>0.8171916599669633</v>
      </c>
      <c r="N22">
        <v>0.79939524851089283</v>
      </c>
      <c r="O22">
        <v>0.83030000000000004</v>
      </c>
      <c r="Q22">
        <v>0.87126248407915441</v>
      </c>
    </row>
    <row r="23" spans="2:17" x14ac:dyDescent="0.25">
      <c r="B23" t="s">
        <v>228</v>
      </c>
      <c r="C23">
        <v>3.9748000000000001</v>
      </c>
      <c r="D23" s="107">
        <v>-0.35898999999999998</v>
      </c>
      <c r="E23">
        <v>15.24</v>
      </c>
      <c r="F23">
        <v>0.92878390316796966</v>
      </c>
      <c r="G23">
        <v>0.96692598495554827</v>
      </c>
      <c r="H23">
        <v>0.97519999999999996</v>
      </c>
      <c r="J23">
        <v>0.96998936382288858</v>
      </c>
      <c r="L23">
        <v>15.24</v>
      </c>
      <c r="M23">
        <v>0.82698123148631764</v>
      </c>
      <c r="N23">
        <v>0.79558411228870962</v>
      </c>
      <c r="O23">
        <v>0.83550000000000002</v>
      </c>
      <c r="Q23">
        <v>0.88917921898582286</v>
      </c>
    </row>
    <row r="24" spans="2:17" x14ac:dyDescent="0.25">
      <c r="B24" t="s">
        <v>229</v>
      </c>
      <c r="C24">
        <v>3.4752000000000001</v>
      </c>
      <c r="D24" s="107">
        <v>2.2498999999999998</v>
      </c>
      <c r="E24">
        <v>22.86</v>
      </c>
      <c r="F24">
        <v>0.96404535560332683</v>
      </c>
      <c r="G24">
        <v>0.99952767835710365</v>
      </c>
      <c r="H24">
        <v>0.98929999999999996</v>
      </c>
      <c r="J24">
        <v>0.98553165637983864</v>
      </c>
      <c r="L24">
        <v>22.86</v>
      </c>
      <c r="M24">
        <v>0.84555322976250324</v>
      </c>
      <c r="N24">
        <v>0.80491669106848818</v>
      </c>
      <c r="O24">
        <v>0.85650000000000004</v>
      </c>
      <c r="Q24">
        <v>0.89987160978651815</v>
      </c>
    </row>
    <row r="25" spans="2:17" x14ac:dyDescent="0.25">
      <c r="B25" t="s">
        <v>230</v>
      </c>
      <c r="C25" s="107">
        <v>3.1399999999999997E-2</v>
      </c>
      <c r="D25" s="107">
        <v>1.6232E-4</v>
      </c>
      <c r="E25">
        <v>45.72</v>
      </c>
      <c r="F25">
        <v>1</v>
      </c>
      <c r="G25">
        <v>1.0019979063225524</v>
      </c>
      <c r="H25">
        <v>0.99790000000000001</v>
      </c>
      <c r="J25">
        <v>0.98204180988825296</v>
      </c>
      <c r="L25">
        <v>45.72</v>
      </c>
      <c r="M25">
        <v>0.87979031099243465</v>
      </c>
      <c r="N25">
        <v>0.84501404359477261</v>
      </c>
      <c r="O25">
        <v>0.90110000000000001</v>
      </c>
      <c r="Q25">
        <v>0.92720948147623505</v>
      </c>
    </row>
    <row r="26" spans="2:17" x14ac:dyDescent="0.25">
      <c r="B26" s="106" t="s">
        <v>231</v>
      </c>
      <c r="C26" s="107">
        <v>-0.54990000000000006</v>
      </c>
      <c r="D26" s="107">
        <v>3.4562000000000002E-2</v>
      </c>
      <c r="E26">
        <v>78.638400000000004</v>
      </c>
      <c r="F26">
        <v>1</v>
      </c>
      <c r="G26">
        <v>0.99778388128552797</v>
      </c>
      <c r="H26">
        <v>0.99950000000000006</v>
      </c>
      <c r="J26">
        <v>0.97901789620702717</v>
      </c>
      <c r="L26">
        <v>78.638400000000004</v>
      </c>
      <c r="M26">
        <v>0.9089373584201994</v>
      </c>
      <c r="N26">
        <v>0.89199566024237242</v>
      </c>
      <c r="O26">
        <v>0.92959999999999998</v>
      </c>
      <c r="Q26">
        <v>0.93873930373034897</v>
      </c>
    </row>
    <row r="27" spans="2:17" x14ac:dyDescent="0.25">
      <c r="B27" t="s">
        <v>232</v>
      </c>
      <c r="C27" s="107">
        <v>4.3330000000000002</v>
      </c>
      <c r="D27" s="107">
        <v>-0.46772999999999998</v>
      </c>
      <c r="E27">
        <v>9.1440000000000001</v>
      </c>
      <c r="F27">
        <v>0.88618986712322079</v>
      </c>
      <c r="G27">
        <v>0.89449256593047477</v>
      </c>
      <c r="H27">
        <v>0.93969999999999998</v>
      </c>
      <c r="J27">
        <v>0.93110904841383679</v>
      </c>
      <c r="L27">
        <v>9.1440000000000001</v>
      </c>
      <c r="M27">
        <v>0.80500407166420263</v>
      </c>
      <c r="N27">
        <v>0.81586073127991066</v>
      </c>
      <c r="O27">
        <v>0.83409999999999995</v>
      </c>
      <c r="Q27">
        <v>0.89590285676157289</v>
      </c>
    </row>
    <row r="28" spans="2:17" x14ac:dyDescent="0.25">
      <c r="B28" t="s">
        <v>233</v>
      </c>
      <c r="C28" s="107">
        <v>4.2827999999999999</v>
      </c>
      <c r="D28" s="107">
        <v>2.7848000000000002</v>
      </c>
      <c r="E28">
        <v>12.192</v>
      </c>
      <c r="F28">
        <v>0.90993139547758473</v>
      </c>
      <c r="G28">
        <v>0.93289705278394053</v>
      </c>
      <c r="H28">
        <v>0.96260000000000001</v>
      </c>
      <c r="J28">
        <v>0.9486443358238108</v>
      </c>
      <c r="L28">
        <v>12.192</v>
      </c>
      <c r="M28">
        <v>0.8171916599669633</v>
      </c>
      <c r="N28">
        <v>0.79939524851089283</v>
      </c>
      <c r="O28">
        <v>0.83030000000000004</v>
      </c>
      <c r="Q28">
        <v>0.88410869997120078</v>
      </c>
    </row>
    <row r="29" spans="2:17" x14ac:dyDescent="0.25">
      <c r="B29" t="s">
        <v>234</v>
      </c>
      <c r="D29" s="107">
        <v>199.97</v>
      </c>
      <c r="E29">
        <v>15.24</v>
      </c>
      <c r="F29">
        <v>0.92878390316796966</v>
      </c>
      <c r="G29">
        <v>0.96692598495554827</v>
      </c>
      <c r="H29">
        <v>0.97519999999999996</v>
      </c>
      <c r="J29">
        <v>0.96355162928961557</v>
      </c>
      <c r="L29">
        <v>15.24</v>
      </c>
      <c r="M29">
        <v>0.82698123148631764</v>
      </c>
      <c r="N29">
        <v>0.79558411228870962</v>
      </c>
      <c r="O29">
        <v>0.83550000000000002</v>
      </c>
      <c r="Q29">
        <v>0.88322956094966543</v>
      </c>
    </row>
    <row r="30" spans="2:17" x14ac:dyDescent="0.25">
      <c r="E30">
        <v>22.86</v>
      </c>
      <c r="F30">
        <v>0.96404535560332683</v>
      </c>
      <c r="G30">
        <v>0.99952767835710365</v>
      </c>
      <c r="H30">
        <v>0.98929999999999996</v>
      </c>
      <c r="J30">
        <v>0.96721910477577111</v>
      </c>
      <c r="L30">
        <v>22.86</v>
      </c>
      <c r="M30">
        <v>0.84555322976250324</v>
      </c>
      <c r="N30">
        <v>0.80491669106848818</v>
      </c>
      <c r="O30">
        <v>0.85650000000000004</v>
      </c>
      <c r="Q30">
        <v>0.88429852767141015</v>
      </c>
    </row>
    <row r="31" spans="2:17" x14ac:dyDescent="0.25">
      <c r="E31">
        <v>45.72</v>
      </c>
      <c r="F31">
        <v>1</v>
      </c>
      <c r="G31">
        <v>1.0019979063225524</v>
      </c>
      <c r="H31">
        <v>0.99790000000000001</v>
      </c>
      <c r="J31">
        <v>1.0086355337318902</v>
      </c>
      <c r="L31">
        <v>45.72</v>
      </c>
      <c r="M31">
        <v>0.87979031099243465</v>
      </c>
      <c r="N31">
        <v>0.84501404359477261</v>
      </c>
      <c r="O31">
        <v>0.90110000000000001</v>
      </c>
      <c r="Q31">
        <v>0.92889575340508879</v>
      </c>
    </row>
    <row r="32" spans="2:17" x14ac:dyDescent="0.25">
      <c r="E32">
        <v>78.638400000000004</v>
      </c>
      <c r="F32">
        <v>1</v>
      </c>
      <c r="G32">
        <v>0.99778388128552797</v>
      </c>
      <c r="H32">
        <v>0.99950000000000006</v>
      </c>
      <c r="J32">
        <v>0.99470925648558717</v>
      </c>
      <c r="L32">
        <v>78.638400000000004</v>
      </c>
      <c r="M32">
        <v>0.9089373584201994</v>
      </c>
      <c r="N32">
        <v>0.89199566024237242</v>
      </c>
      <c r="O32">
        <v>0.92959999999999998</v>
      </c>
      <c r="Q32">
        <v>0.95045207088636707</v>
      </c>
    </row>
    <row r="61" spans="5:7" x14ac:dyDescent="0.25">
      <c r="E61" t="s">
        <v>241</v>
      </c>
      <c r="F61" t="s">
        <v>242</v>
      </c>
      <c r="G61" t="s">
        <v>243</v>
      </c>
    </row>
    <row r="62" spans="5:7" x14ac:dyDescent="0.25">
      <c r="E62" s="107">
        <v>3.1331000000000002E-3</v>
      </c>
      <c r="F62" s="107">
        <v>5.1576000000000002E-5</v>
      </c>
      <c r="G62" s="107">
        <v>4.9857999999999999E-4</v>
      </c>
    </row>
    <row r="63" spans="5:7" x14ac:dyDescent="0.25">
      <c r="E63" s="107">
        <v>-7.4406E-2</v>
      </c>
      <c r="F63" s="107">
        <v>0.10138</v>
      </c>
      <c r="G63" s="107">
        <v>9.7766000000000006E-2</v>
      </c>
    </row>
    <row r="64" spans="5:7" x14ac:dyDescent="0.25">
      <c r="E64" s="107">
        <v>0.43815999999999999</v>
      </c>
      <c r="F64" s="107">
        <v>0.12129</v>
      </c>
      <c r="G64" s="107">
        <v>-1.9899</v>
      </c>
    </row>
    <row r="65" spans="4:7" x14ac:dyDescent="0.25">
      <c r="E65" s="107">
        <v>4.2538999999999998</v>
      </c>
      <c r="F65" s="107">
        <v>2.3616000000000001</v>
      </c>
      <c r="G65" s="107">
        <v>18.372</v>
      </c>
    </row>
    <row r="66" spans="4:7" x14ac:dyDescent="0.25">
      <c r="E66" s="107">
        <v>3.042E-3</v>
      </c>
      <c r="F66" s="107">
        <v>5.4957000000000002E-7</v>
      </c>
      <c r="G66" s="107">
        <v>4.3155999999999999E-4</v>
      </c>
    </row>
    <row r="67" spans="4:7" x14ac:dyDescent="0.25">
      <c r="E67" s="107">
        <v>-6.5107999999999999E-2</v>
      </c>
      <c r="F67" s="107">
        <v>0.11700000000000001</v>
      </c>
      <c r="G67" s="107">
        <v>0.13238</v>
      </c>
    </row>
    <row r="68" spans="4:7" x14ac:dyDescent="0.25">
      <c r="E68" s="107">
        <v>0.19037000000000001</v>
      </c>
      <c r="F68" s="107">
        <v>0.34343000000000001</v>
      </c>
      <c r="G68" s="107">
        <v>-2.5571999999999999</v>
      </c>
    </row>
    <row r="69" spans="4:7" x14ac:dyDescent="0.25">
      <c r="E69" s="107">
        <v>6.3670999999999998</v>
      </c>
      <c r="F69" s="107">
        <v>3.8254999999999999</v>
      </c>
      <c r="G69" s="107">
        <v>23.704000000000001</v>
      </c>
    </row>
    <row r="70" spans="4:7" x14ac:dyDescent="0.25">
      <c r="E70" s="107"/>
      <c r="F70" s="107">
        <v>320.01</v>
      </c>
      <c r="G70" s="107">
        <v>500.56</v>
      </c>
    </row>
    <row r="75" spans="4:7" x14ac:dyDescent="0.25">
      <c r="D75">
        <v>1</v>
      </c>
      <c r="E75" s="107">
        <f>(E$62*$D75^3+E$63*$D75^2+E$64*$D75+E$65)/(E$66*$D75^3+E$67*$D75^2+E$68*$D75+E$69)</f>
        <v>0.71139333288583739</v>
      </c>
      <c r="F75" s="107">
        <f>(F$62*$D75^3+F$63*$D75^2+F$64*$D75+F$65)/(F$66*$D75^3+F$67*$D75^2+F$68*$D75+F$69)</f>
        <v>0.60297794052199027</v>
      </c>
      <c r="G75" s="107">
        <f>(G$62*$D75^3+G$63*$D75^2+G$64*$D75+G$65)/(G$66*$D75^3+G$67*$D75^2+G$68*$D75+G$69)</f>
        <v>0.77446735968520664</v>
      </c>
    </row>
    <row r="76" spans="4:7" x14ac:dyDescent="0.25">
      <c r="D76">
        <v>2</v>
      </c>
      <c r="E76" s="107">
        <f t="shared" ref="E76:G139" si="9">(E$62*$D76^3+E$63*$D76^2+E$64*$D76+E$65)/(E$66*$D76^3+E$67*$D76^2+E$68*$D76+E$69)</f>
        <v>0.74598460873154715</v>
      </c>
      <c r="F76" s="107">
        <f t="shared" si="9"/>
        <v>0.60439605786257777</v>
      </c>
      <c r="G76" s="107">
        <f t="shared" si="9"/>
        <v>0.77328783329051332</v>
      </c>
    </row>
    <row r="77" spans="4:7" x14ac:dyDescent="0.25">
      <c r="D77">
        <v>3</v>
      </c>
      <c r="E77" s="107">
        <f t="shared" si="9"/>
        <v>0.77448423871047556</v>
      </c>
      <c r="F77" s="107">
        <f t="shared" si="9"/>
        <v>0.61590840305898686</v>
      </c>
      <c r="G77" s="107">
        <f t="shared" si="9"/>
        <v>0.77141232728819509</v>
      </c>
    </row>
    <row r="78" spans="4:7" x14ac:dyDescent="0.25">
      <c r="D78">
        <v>4</v>
      </c>
      <c r="E78" s="107">
        <f t="shared" si="9"/>
        <v>0.7986198288954619</v>
      </c>
      <c r="F78" s="107">
        <f t="shared" si="9"/>
        <v>0.63243946865398581</v>
      </c>
      <c r="G78" s="107">
        <f t="shared" si="9"/>
        <v>0.76874989552458461</v>
      </c>
    </row>
    <row r="79" spans="4:7" x14ac:dyDescent="0.25">
      <c r="D79">
        <v>5</v>
      </c>
      <c r="E79" s="107">
        <f t="shared" si="9"/>
        <v>0.81959771061516917</v>
      </c>
      <c r="F79" s="107">
        <f t="shared" si="9"/>
        <v>0.65058809788281058</v>
      </c>
      <c r="G79" s="107">
        <f t="shared" si="9"/>
        <v>0.76525677198630804</v>
      </c>
    </row>
    <row r="80" spans="4:7" x14ac:dyDescent="0.25">
      <c r="D80">
        <v>6</v>
      </c>
      <c r="E80" s="107">
        <f t="shared" si="9"/>
        <v>0.8382980243551571</v>
      </c>
      <c r="F80" s="107">
        <f t="shared" si="9"/>
        <v>0.66845193006953019</v>
      </c>
      <c r="G80" s="107">
        <f t="shared" si="9"/>
        <v>0.76097578563555823</v>
      </c>
    </row>
    <row r="81" spans="4:7" x14ac:dyDescent="0.25">
      <c r="D81">
        <v>7</v>
      </c>
      <c r="E81" s="107">
        <f t="shared" si="9"/>
        <v>0.8553839285521333</v>
      </c>
      <c r="F81" s="107">
        <f t="shared" si="9"/>
        <v>0.68512472886283449</v>
      </c>
      <c r="G81" s="107">
        <f t="shared" si="9"/>
        <v>0.75607506360535526</v>
      </c>
    </row>
    <row r="82" spans="4:7" x14ac:dyDescent="0.25">
      <c r="D82">
        <v>8</v>
      </c>
      <c r="E82" s="107">
        <f t="shared" si="9"/>
        <v>0.87135891552785527</v>
      </c>
      <c r="F82" s="107">
        <f t="shared" si="9"/>
        <v>0.70026967402116547</v>
      </c>
      <c r="G82" s="107">
        <f t="shared" si="9"/>
        <v>0.75086584574362814</v>
      </c>
    </row>
    <row r="83" spans="4:7" x14ac:dyDescent="0.25">
      <c r="D83">
        <v>9</v>
      </c>
      <c r="E83" s="107">
        <f t="shared" si="9"/>
        <v>0.88658796250223915</v>
      </c>
      <c r="F83" s="107">
        <f t="shared" si="9"/>
        <v>0.71384363996915334</v>
      </c>
      <c r="G83" s="107">
        <f t="shared" si="9"/>
        <v>0.74577629799818901</v>
      </c>
    </row>
    <row r="84" spans="4:7" x14ac:dyDescent="0.25">
      <c r="D84">
        <v>10</v>
      </c>
      <c r="E84" s="107">
        <f t="shared" si="9"/>
        <v>0.90129112869637662</v>
      </c>
      <c r="F84" s="107">
        <f t="shared" si="9"/>
        <v>0.72593999120027819</v>
      </c>
      <c r="G84" s="107">
        <f t="shared" si="9"/>
        <v>0.74127318761248506</v>
      </c>
    </row>
    <row r="85" spans="4:7" x14ac:dyDescent="0.25">
      <c r="D85">
        <v>11</v>
      </c>
      <c r="E85" s="107">
        <f t="shared" si="9"/>
        <v>0.91551952459453834</v>
      </c>
      <c r="F85" s="107">
        <f t="shared" si="9"/>
        <v>0.73670539201361251</v>
      </c>
      <c r="G85" s="107">
        <f t="shared" si="9"/>
        <v>0.73775445813094265</v>
      </c>
    </row>
    <row r="86" spans="4:7" x14ac:dyDescent="0.25">
      <c r="D86">
        <v>12</v>
      </c>
      <c r="E86" s="107">
        <f t="shared" si="9"/>
        <v>0.92913256161413282</v>
      </c>
      <c r="F86" s="107">
        <f t="shared" si="9"/>
        <v>0.74629838039919949</v>
      </c>
      <c r="G86" s="107">
        <f t="shared" si="9"/>
        <v>0.73545994773040035</v>
      </c>
    </row>
    <row r="87" spans="4:7" x14ac:dyDescent="0.25">
      <c r="D87">
        <v>13</v>
      </c>
      <c r="E87" s="107">
        <f t="shared" si="9"/>
        <v>0.94180688696778281</v>
      </c>
      <c r="F87" s="107">
        <f t="shared" si="9"/>
        <v>0.75487022411637983</v>
      </c>
      <c r="G87" s="107">
        <f t="shared" si="9"/>
        <v>0.73443962657343986</v>
      </c>
    </row>
    <row r="88" spans="4:7" x14ac:dyDescent="0.25">
      <c r="D88">
        <v>14</v>
      </c>
      <c r="E88" s="107">
        <f t="shared" si="9"/>
        <v>0.95310681713855105</v>
      </c>
      <c r="F88" s="107">
        <f t="shared" si="9"/>
        <v>0.7625572014155988</v>
      </c>
      <c r="G88" s="107">
        <f t="shared" si="9"/>
        <v>0.7345834242302457</v>
      </c>
    </row>
    <row r="89" spans="4:7" x14ac:dyDescent="0.25">
      <c r="D89">
        <v>15</v>
      </c>
      <c r="E89" s="107">
        <f t="shared" si="9"/>
        <v>0.96261699138447576</v>
      </c>
      <c r="F89" s="107">
        <f t="shared" si="9"/>
        <v>0.76947850677448359</v>
      </c>
      <c r="G89" s="107">
        <f t="shared" si="9"/>
        <v>0.7356852221317618</v>
      </c>
    </row>
    <row r="90" spans="4:7" x14ac:dyDescent="0.25">
      <c r="D90">
        <v>16</v>
      </c>
      <c r="E90" s="107">
        <f t="shared" si="9"/>
        <v>0.97008831591169498</v>
      </c>
      <c r="F90" s="107">
        <f t="shared" si="9"/>
        <v>0.77573676671751468</v>
      </c>
      <c r="G90" s="107">
        <f t="shared" si="9"/>
        <v>0.73750754818870556</v>
      </c>
    </row>
    <row r="91" spans="4:7" x14ac:dyDescent="0.25">
      <c r="D91">
        <v>17</v>
      </c>
      <c r="E91" s="107">
        <f t="shared" si="9"/>
        <v>0.97552252724977728</v>
      </c>
      <c r="F91" s="107">
        <f t="shared" si="9"/>
        <v>0.7814196355655133</v>
      </c>
      <c r="G91" s="107">
        <f t="shared" si="9"/>
        <v>0.73982719633742822</v>
      </c>
    </row>
    <row r="92" spans="4:7" x14ac:dyDescent="0.25">
      <c r="D92">
        <v>18</v>
      </c>
      <c r="E92" s="107">
        <f t="shared" si="9"/>
        <v>0.97915484419179033</v>
      </c>
      <c r="F92" s="107">
        <f t="shared" si="9"/>
        <v>0.7866017179698519</v>
      </c>
      <c r="G92" s="107">
        <f t="shared" si="9"/>
        <v>0.74245827788612906</v>
      </c>
    </row>
    <row r="93" spans="4:7" x14ac:dyDescent="0.25">
      <c r="D93">
        <v>19</v>
      </c>
      <c r="E93" s="107">
        <f t="shared" si="9"/>
        <v>0.98136024516624454</v>
      </c>
      <c r="F93" s="107">
        <f t="shared" si="9"/>
        <v>0.79134646587305235</v>
      </c>
      <c r="G93" s="107">
        <f t="shared" si="9"/>
        <v>0.74525828593369647</v>
      </c>
    </row>
    <row r="94" spans="4:7" x14ac:dyDescent="0.25">
      <c r="D94">
        <v>20</v>
      </c>
      <c r="E94" s="107">
        <f t="shared" si="9"/>
        <v>0.98254461280455418</v>
      </c>
      <c r="F94" s="107">
        <f t="shared" si="9"/>
        <v>0.79570790085367749</v>
      </c>
      <c r="G94" s="107">
        <f t="shared" si="9"/>
        <v>0.74812459950946797</v>
      </c>
    </row>
    <row r="95" spans="4:7" x14ac:dyDescent="0.25">
      <c r="D95">
        <v>21</v>
      </c>
      <c r="E95" s="107">
        <f t="shared" si="9"/>
        <v>0.98306723883176683</v>
      </c>
      <c r="F95" s="107">
        <f t="shared" si="9"/>
        <v>0.79973211334404981</v>
      </c>
      <c r="G95" s="107">
        <f t="shared" si="9"/>
        <v>0.75098713529063132</v>
      </c>
    </row>
    <row r="96" spans="4:7" x14ac:dyDescent="0.25">
      <c r="D96">
        <v>22</v>
      </c>
      <c r="E96" s="107">
        <f t="shared" si="9"/>
        <v>0.98320656725482136</v>
      </c>
      <c r="F96" s="107">
        <f t="shared" si="9"/>
        <v>0.80345853770102071</v>
      </c>
      <c r="G96" s="107">
        <f t="shared" si="9"/>
        <v>0.75380047491941427</v>
      </c>
    </row>
    <row r="97" spans="4:7" x14ac:dyDescent="0.25">
      <c r="D97">
        <v>23</v>
      </c>
      <c r="E97" s="107">
        <f t="shared" si="9"/>
        <v>0.98315809134202481</v>
      </c>
      <c r="F97" s="107">
        <f t="shared" si="9"/>
        <v>0.80692102259007636</v>
      </c>
      <c r="G97" s="107">
        <f t="shared" si="9"/>
        <v>0.75653698451090468</v>
      </c>
    </row>
    <row r="98" spans="4:7" x14ac:dyDescent="0.25">
      <c r="D98">
        <v>24</v>
      </c>
      <c r="E98" s="107">
        <f t="shared" si="9"/>
        <v>0.9830482268935673</v>
      </c>
      <c r="F98" s="107">
        <f t="shared" si="9"/>
        <v>0.81014872317872344</v>
      </c>
      <c r="G98" s="107">
        <f t="shared" si="9"/>
        <v>0.75918138092189413</v>
      </c>
    </row>
    <row r="99" spans="4:7" x14ac:dyDescent="0.25">
      <c r="D99">
        <v>25</v>
      </c>
      <c r="E99" s="107">
        <f t="shared" si="9"/>
        <v>0.98295236319308055</v>
      </c>
      <c r="F99" s="107">
        <f t="shared" si="9"/>
        <v>0.81316684225593328</v>
      </c>
      <c r="G99" s="107">
        <f t="shared" si="9"/>
        <v>0.76172669064072662</v>
      </c>
    </row>
    <row r="100" spans="4:7" x14ac:dyDescent="0.25">
      <c r="D100">
        <v>26</v>
      </c>
      <c r="E100" s="107">
        <f t="shared" si="9"/>
        <v>0.98291111985881108</v>
      </c>
      <c r="F100" s="107">
        <f t="shared" si="9"/>
        <v>0.81599724520119987</v>
      </c>
      <c r="G100" s="107">
        <f t="shared" si="9"/>
        <v>0.76417135985901774</v>
      </c>
    </row>
    <row r="101" spans="4:7" x14ac:dyDescent="0.25">
      <c r="D101">
        <v>27</v>
      </c>
      <c r="E101" s="107">
        <f t="shared" si="9"/>
        <v>0.98294285089320477</v>
      </c>
      <c r="F101" s="107">
        <f t="shared" si="9"/>
        <v>0.81865897052479086</v>
      </c>
      <c r="G101" s="107">
        <f t="shared" si="9"/>
        <v>0.76651724424333412</v>
      </c>
    </row>
    <row r="102" spans="4:7" x14ac:dyDescent="0.25">
      <c r="D102">
        <v>28</v>
      </c>
      <c r="E102" s="107">
        <f t="shared" si="9"/>
        <v>0.98305243468904169</v>
      </c>
      <c r="F102" s="107">
        <f t="shared" si="9"/>
        <v>0.82116865435981989</v>
      </c>
      <c r="G102" s="107">
        <f t="shared" si="9"/>
        <v>0.7687682403440198</v>
      </c>
    </row>
    <row r="103" spans="4:7" x14ac:dyDescent="0.25">
      <c r="D103">
        <v>29</v>
      </c>
      <c r="E103" s="107">
        <f t="shared" si="9"/>
        <v>0.98323709732103914</v>
      </c>
      <c r="F103" s="107">
        <f t="shared" si="9"/>
        <v>0.82354088419424321</v>
      </c>
      <c r="G103" s="107">
        <f t="shared" si="9"/>
        <v>0.77092937121088612</v>
      </c>
    </row>
    <row r="104" spans="4:7" x14ac:dyDescent="0.25">
      <c r="D104">
        <v>30</v>
      </c>
      <c r="E104" s="107">
        <f t="shared" si="9"/>
        <v>0.9834901024849082</v>
      </c>
      <c r="F104" s="107">
        <f t="shared" si="9"/>
        <v>0.82578849443065561</v>
      </c>
      <c r="G104" s="107">
        <f t="shared" si="9"/>
        <v>0.77300618702601576</v>
      </c>
    </row>
    <row r="105" spans="4:7" x14ac:dyDescent="0.25">
      <c r="D105">
        <v>31</v>
      </c>
      <c r="E105" s="107">
        <f t="shared" si="9"/>
        <v>0.98380299982114883</v>
      </c>
      <c r="F105" s="107">
        <f t="shared" si="9"/>
        <v>0.82792281407916246</v>
      </c>
      <c r="G105" s="107">
        <f t="shared" si="9"/>
        <v>0.77500438095760826</v>
      </c>
    </row>
    <row r="106" spans="4:7" x14ac:dyDescent="0.25">
      <c r="D106">
        <v>32</v>
      </c>
      <c r="E106" s="107">
        <f t="shared" si="9"/>
        <v>0.98416693857590187</v>
      </c>
      <c r="F106" s="107">
        <f t="shared" si="9"/>
        <v>0.82995387499554341</v>
      </c>
      <c r="G106" s="107">
        <f t="shared" si="9"/>
        <v>0.77692955027017763</v>
      </c>
    </row>
    <row r="107" spans="4:7" x14ac:dyDescent="0.25">
      <c r="D107">
        <v>33</v>
      </c>
      <c r="E107" s="107">
        <f t="shared" si="9"/>
        <v>0.98457339381956155</v>
      </c>
      <c r="F107" s="107">
        <f t="shared" si="9"/>
        <v>0.83189058752481815</v>
      </c>
      <c r="G107" s="107">
        <f t="shared" si="9"/>
        <v>0.77878705437022955</v>
      </c>
    </row>
    <row r="108" spans="4:7" x14ac:dyDescent="0.25">
      <c r="D108">
        <v>34</v>
      </c>
      <c r="E108" s="107">
        <f t="shared" si="9"/>
        <v>0.98501453333706734</v>
      </c>
      <c r="F108" s="107">
        <f t="shared" si="9"/>
        <v>0.83374088914632927</v>
      </c>
      <c r="G108" s="107">
        <f t="shared" si="9"/>
        <v>0.78058193676507082</v>
      </c>
    </row>
    <row r="109" spans="4:7" x14ac:dyDescent="0.25">
      <c r="D109">
        <v>35</v>
      </c>
      <c r="E109" s="107">
        <f t="shared" si="9"/>
        <v>0.98548337088000537</v>
      </c>
      <c r="F109" s="107">
        <f t="shared" si="9"/>
        <v>0.83551187069093491</v>
      </c>
      <c r="G109" s="107">
        <f t="shared" si="9"/>
        <v>0.78231888854797416</v>
      </c>
    </row>
    <row r="110" spans="4:7" x14ac:dyDescent="0.25">
      <c r="D110">
        <v>36</v>
      </c>
      <c r="E110" s="107">
        <f t="shared" si="9"/>
        <v>0.98597379685881814</v>
      </c>
      <c r="F110" s="107">
        <f t="shared" si="9"/>
        <v>0.8372098838702029</v>
      </c>
      <c r="G110" s="107">
        <f t="shared" si="9"/>
        <v>0.78400223833700167</v>
      </c>
    </row>
    <row r="111" spans="4:7" x14ac:dyDescent="0.25">
      <c r="D111">
        <v>37</v>
      </c>
      <c r="E111" s="107">
        <f t="shared" si="9"/>
        <v>0.9864805423546863</v>
      </c>
      <c r="F111" s="107">
        <f t="shared" si="9"/>
        <v>0.83884063318483393</v>
      </c>
      <c r="G111" s="107">
        <f t="shared" si="9"/>
        <v>0.78563595858812618</v>
      </c>
    </row>
    <row r="112" spans="4:7" x14ac:dyDescent="0.25">
      <c r="D112">
        <v>38</v>
      </c>
      <c r="E112" s="107">
        <f t="shared" si="9"/>
        <v>0.98699911007156182</v>
      </c>
      <c r="F112" s="107">
        <f t="shared" si="9"/>
        <v>0.84040925473436856</v>
      </c>
      <c r="G112" s="107">
        <f t="shared" si="9"/>
        <v>0.78722368159460776</v>
      </c>
    </row>
    <row r="113" spans="4:7" x14ac:dyDescent="0.25">
      <c r="D113">
        <v>39</v>
      </c>
      <c r="E113" s="107">
        <f t="shared" si="9"/>
        <v>0.98752569197608775</v>
      </c>
      <c r="F113" s="107">
        <f t="shared" si="9"/>
        <v>0.84192038400781999</v>
      </c>
      <c r="G113" s="107">
        <f t="shared" si="9"/>
        <v>0.78876872077849969</v>
      </c>
    </row>
    <row r="114" spans="4:7" x14ac:dyDescent="0.25">
      <c r="D114">
        <v>40</v>
      </c>
      <c r="E114" s="107">
        <f t="shared" si="9"/>
        <v>0.98805708483776122</v>
      </c>
      <c r="F114" s="107">
        <f t="shared" si="9"/>
        <v>0.84337821437509086</v>
      </c>
      <c r="G114" s="107">
        <f t="shared" si="9"/>
        <v>0.79027409442599728</v>
      </c>
    </row>
    <row r="115" spans="4:7" x14ac:dyDescent="0.25">
      <c r="D115">
        <v>41</v>
      </c>
      <c r="E115" s="107">
        <f t="shared" si="9"/>
        <v>0.98859060970068713</v>
      </c>
      <c r="F115" s="107">
        <f t="shared" si="9"/>
        <v>0.84478654770582162</v>
      </c>
      <c r="G115" s="107">
        <f t="shared" si="9"/>
        <v>0.79174255005588834</v>
      </c>
    </row>
    <row r="116" spans="4:7" x14ac:dyDescent="0.25">
      <c r="D116">
        <v>42</v>
      </c>
      <c r="E116" s="107">
        <f t="shared" si="9"/>
        <v>0.98912403822489536</v>
      </c>
      <c r="F116" s="107">
        <f t="shared" si="9"/>
        <v>0.84614883830269338</v>
      </c>
      <c r="G116" s="107">
        <f t="shared" si="9"/>
        <v>0.79317658830318161</v>
      </c>
    </row>
    <row r="117" spans="4:7" x14ac:dyDescent="0.25">
      <c r="D117">
        <v>43</v>
      </c>
      <c r="E117" s="107">
        <f t="shared" si="9"/>
        <v>0.98965552702985748</v>
      </c>
      <c r="F117" s="107">
        <f t="shared" si="9"/>
        <v>0.84746823113991376</v>
      </c>
      <c r="G117" s="107">
        <f t="shared" si="9"/>
        <v>0.7945784856595739</v>
      </c>
    </row>
    <row r="118" spans="4:7" x14ac:dyDescent="0.25">
      <c r="D118">
        <v>44</v>
      </c>
      <c r="E118" s="107">
        <f t="shared" si="9"/>
        <v>0.99018356015483833</v>
      </c>
      <c r="F118" s="107">
        <f t="shared" si="9"/>
        <v>0.84874759523627652</v>
      </c>
      <c r="G118" s="107">
        <f t="shared" si="9"/>
        <v>0.79595031571432995</v>
      </c>
    </row>
    <row r="119" spans="4:7" x14ac:dyDescent="0.25">
      <c r="D119">
        <v>45</v>
      </c>
      <c r="E119" s="107">
        <f t="shared" si="9"/>
        <v>0.99070689920850852</v>
      </c>
      <c r="F119" s="107">
        <f t="shared" si="9"/>
        <v>0.84998955285926781</v>
      </c>
      <c r="G119" s="107">
        <f t="shared" si="9"/>
        <v>0.79729396873483471</v>
      </c>
    </row>
    <row r="120" spans="4:7" x14ac:dyDescent="0.25">
      <c r="D120">
        <v>46</v>
      </c>
      <c r="E120" s="107">
        <f t="shared" si="9"/>
        <v>0.99122454052108933</v>
      </c>
      <c r="F120" s="107">
        <f t="shared" si="9"/>
        <v>0.85119650514681022</v>
      </c>
      <c r="G120" s="107">
        <f t="shared" si="9"/>
        <v>0.79861116955035649</v>
      </c>
    </row>
    <row r="121" spans="4:7" x14ac:dyDescent="0.25">
      <c r="D121">
        <v>47</v>
      </c>
      <c r="E121" s="107">
        <f t="shared" si="9"/>
        <v>0.99173567851767874</v>
      </c>
      <c r="F121" s="107">
        <f t="shared" si="9"/>
        <v>0.85237065464215667</v>
      </c>
      <c r="G121" s="107">
        <f t="shared" si="9"/>
        <v>0.79990349377911718</v>
      </c>
    </row>
    <row r="122" spans="4:7" x14ac:dyDescent="0.25">
      <c r="D122">
        <v>48</v>
      </c>
      <c r="E122" s="107">
        <f t="shared" si="9"/>
        <v>0.99223967452906314</v>
      </c>
      <c r="F122" s="107">
        <f t="shared" si="9"/>
        <v>0.85351402516172847</v>
      </c>
      <c r="G122" s="107">
        <f t="shared" si="9"/>
        <v>0.80117238248356537</v>
      </c>
    </row>
    <row r="123" spans="4:7" x14ac:dyDescent="0.25">
      <c r="D123">
        <v>49</v>
      </c>
      <c r="E123" s="107">
        <f t="shared" si="9"/>
        <v>0.99273603030260926</v>
      </c>
      <c r="F123" s="107">
        <f t="shared" si="9"/>
        <v>0.85462847935253727</v>
      </c>
      <c r="G123" s="107">
        <f t="shared" si="9"/>
        <v>0.80241915536274444</v>
      </c>
    </row>
    <row r="124" spans="4:7" x14ac:dyDescent="0.25">
      <c r="D124">
        <v>50</v>
      </c>
      <c r="E124" s="107">
        <f t="shared" si="9"/>
        <v>0.99322436554487936</v>
      </c>
      <c r="F124" s="107">
        <f t="shared" si="9"/>
        <v>0.85571573424304392</v>
      </c>
      <c r="G124" s="107">
        <f t="shared" si="9"/>
        <v>0.80364502260106374</v>
      </c>
    </row>
    <row r="125" spans="4:7" x14ac:dyDescent="0.25">
      <c r="D125">
        <v>51</v>
      </c>
      <c r="E125" s="107">
        <f t="shared" si="9"/>
        <v>0.99370439890440476</v>
      </c>
      <c r="F125" s="107">
        <f t="shared" si="9"/>
        <v>0.85677737504700546</v>
      </c>
      <c r="G125" s="107">
        <f t="shared" si="9"/>
        <v>0.8048510954946656</v>
      </c>
    </row>
    <row r="126" spans="4:7" x14ac:dyDescent="0.25">
      <c r="D126">
        <v>52</v>
      </c>
      <c r="E126" s="107">
        <f t="shared" si="9"/>
        <v>0.9941759318792186</v>
      </c>
      <c r="F126" s="107">
        <f t="shared" si="9"/>
        <v>0.85781486744263835</v>
      </c>
      <c r="G126" s="107">
        <f t="shared" si="9"/>
        <v>0.80603839597316451</v>
      </c>
    </row>
    <row r="127" spans="4:7" x14ac:dyDescent="0.25">
      <c r="D127">
        <v>53</v>
      </c>
      <c r="E127" s="107">
        <f t="shared" si="9"/>
        <v>0.99463883520492258</v>
      </c>
      <c r="F127" s="107">
        <f t="shared" si="9"/>
        <v>0.85882956851800019</v>
      </c>
      <c r="G127" s="107">
        <f t="shared" si="9"/>
        <v>0.80720786512806986</v>
      </c>
    </row>
    <row r="128" spans="4:7" x14ac:dyDescent="0.25">
      <c r="D128">
        <v>54</v>
      </c>
      <c r="E128" s="107">
        <f t="shared" si="9"/>
        <v>0.99509303734325738</v>
      </c>
      <c r="F128" s="107">
        <f t="shared" si="9"/>
        <v>0.85982273654694996</v>
      </c>
      <c r="G128" s="107">
        <f t="shared" si="9"/>
        <v>0.80836037085112333</v>
      </c>
    </row>
    <row r="129" spans="4:7" x14ac:dyDescent="0.25">
      <c r="D129">
        <v>55</v>
      </c>
      <c r="E129" s="107">
        <f t="shared" si="9"/>
        <v>0.99553851474776711</v>
      </c>
      <c r="F129" s="107">
        <f t="shared" si="9"/>
        <v>0.86079553973752021</v>
      </c>
      <c r="G129" s="107">
        <f t="shared" si="9"/>
        <v>0.80949671467703865</v>
      </c>
    </row>
    <row r="130" spans="4:7" x14ac:dyDescent="0.25">
      <c r="D130">
        <v>56</v>
      </c>
      <c r="E130" s="107">
        <f t="shared" si="9"/>
        <v>0.99597528363225829</v>
      </c>
      <c r="F130" s="107">
        <f t="shared" si="9"/>
        <v>0.86174906407540042</v>
      </c>
      <c r="G130" s="107">
        <f t="shared" si="9"/>
        <v>0.81061763791629426</v>
      </c>
    </row>
    <row r="131" spans="4:7" x14ac:dyDescent="0.25">
      <c r="D131">
        <v>57</v>
      </c>
      <c r="E131" s="107">
        <f t="shared" si="9"/>
        <v>0.99640339301003211</v>
      </c>
      <c r="F131" s="107">
        <f t="shared" si="9"/>
        <v>0.86268432036891673</v>
      </c>
      <c r="G131" s="107">
        <f t="shared" si="9"/>
        <v>0.81172382715511926</v>
      </c>
    </row>
    <row r="132" spans="4:7" x14ac:dyDescent="0.25">
      <c r="D132">
        <v>58</v>
      </c>
      <c r="E132" s="107">
        <f t="shared" si="9"/>
        <v>0.99682291880785701</v>
      </c>
      <c r="F132" s="107">
        <f t="shared" si="9"/>
        <v>0.86360225058796214</v>
      </c>
      <c r="G132" s="107">
        <f t="shared" si="9"/>
        <v>0.812815919191754</v>
      </c>
    </row>
    <row r="133" spans="4:7" x14ac:dyDescent="0.25">
      <c r="D133">
        <v>59</v>
      </c>
      <c r="E133" s="107">
        <f t="shared" si="9"/>
        <v>0.99723395888924515</v>
      </c>
      <c r="F133" s="107">
        <f t="shared" si="9"/>
        <v>0.8645037335773964</v>
      </c>
      <c r="G133" s="107">
        <f t="shared" si="9"/>
        <v>0.81389450547067199</v>
      </c>
    </row>
    <row r="134" spans="4:7" x14ac:dyDescent="0.25">
      <c r="D134">
        <v>60</v>
      </c>
      <c r="E134" s="107">
        <f t="shared" si="9"/>
        <v>0.9976366288474311</v>
      </c>
      <c r="F134" s="107">
        <f t="shared" si="9"/>
        <v>0.86538959021520168</v>
      </c>
      <c r="G134" s="107">
        <f t="shared" si="9"/>
        <v>0.81496013606965811</v>
      </c>
    </row>
    <row r="135" spans="4:7" x14ac:dyDescent="0.25">
      <c r="D135">
        <v>61</v>
      </c>
      <c r="E135" s="107">
        <f t="shared" si="9"/>
        <v>0.99803105845027629</v>
      </c>
      <c r="F135" s="107">
        <f t="shared" si="9"/>
        <v>0.86626058807685435</v>
      </c>
      <c r="G135" s="107">
        <f t="shared" si="9"/>
        <v>0.8160133232885306</v>
      </c>
    </row>
    <row r="136" spans="4:7" x14ac:dyDescent="0.25">
      <c r="D136">
        <v>62</v>
      </c>
      <c r="E136" s="107">
        <f t="shared" si="9"/>
        <v>0.99841738863769058</v>
      </c>
      <c r="F136" s="107">
        <f t="shared" si="9"/>
        <v>0.86711744565979076</v>
      </c>
      <c r="G136" s="107">
        <f t="shared" si="9"/>
        <v>0.81705454488280405</v>
      </c>
    </row>
    <row r="137" spans="4:7" x14ac:dyDescent="0.25">
      <c r="D137">
        <v>63</v>
      </c>
      <c r="E137" s="107">
        <f t="shared" si="9"/>
        <v>0.99879576898762201</v>
      </c>
      <c r="F137" s="107">
        <f t="shared" si="9"/>
        <v>0.86796083621527031</v>
      </c>
      <c r="G137" s="107">
        <f t="shared" si="9"/>
        <v>0.81808424698067472</v>
      </c>
    </row>
    <row r="138" spans="4:7" x14ac:dyDescent="0.25">
      <c r="D138">
        <v>64</v>
      </c>
      <c r="E138" s="107">
        <f t="shared" si="9"/>
        <v>0.99916635557968447</v>
      </c>
      <c r="F138" s="107">
        <f t="shared" si="9"/>
        <v>0.86879139122925964</v>
      </c>
      <c r="G138" s="107">
        <f t="shared" si="9"/>
        <v>0.81910284671736933</v>
      </c>
    </row>
    <row r="139" spans="4:7" x14ac:dyDescent="0.25">
      <c r="D139">
        <v>65</v>
      </c>
      <c r="E139" s="107">
        <f t="shared" si="9"/>
        <v>0.99952930919643257</v>
      </c>
      <c r="F139" s="107">
        <f t="shared" si="9"/>
        <v>0.86960970358902312</v>
      </c>
      <c r="G139" s="107">
        <f t="shared" si="9"/>
        <v>0.82011073461700834</v>
      </c>
    </row>
    <row r="140" spans="4:7" x14ac:dyDescent="0.25">
      <c r="D140">
        <v>66</v>
      </c>
      <c r="E140" s="107">
        <f t="shared" ref="E140:G162" si="10">(E$62*$D140^3+E$63*$D140^2+E$64*$D140+E$65)/(E$66*$D140^3+E$67*$D140^2+E$68*$D140+E$69)</f>
        <v>0.99988479381151218</v>
      </c>
      <c r="F140" s="107">
        <f t="shared" si="10"/>
        <v>0.87041633046782585</v>
      </c>
      <c r="G140" s="107">
        <f t="shared" si="10"/>
        <v>0.82110827674872289</v>
      </c>
    </row>
    <row r="141" spans="4:7" x14ac:dyDescent="0.25">
      <c r="D141">
        <v>67</v>
      </c>
      <c r="E141" s="107">
        <f t="shared" si="10"/>
        <v>1.0002329753216652</v>
      </c>
      <c r="F141" s="107">
        <f t="shared" si="10"/>
        <v>0.8712117959563983</v>
      </c>
      <c r="G141" s="107">
        <f t="shared" si="10"/>
        <v>0.82209581668073317</v>
      </c>
    </row>
    <row r="142" spans="4:7" x14ac:dyDescent="0.25">
      <c r="D142">
        <v>68</v>
      </c>
      <c r="E142" s="107">
        <f t="shared" si="10"/>
        <v>1.00057402048612</v>
      </c>
      <c r="F142" s="107">
        <f t="shared" si="10"/>
        <v>0.87199659346657732</v>
      </c>
      <c r="G142" s="107">
        <f t="shared" si="10"/>
        <v>0.82307367725341762</v>
      </c>
    </row>
    <row r="143" spans="4:7" x14ac:dyDescent="0.25">
      <c r="D143">
        <v>69</v>
      </c>
      <c r="E143" s="107">
        <f t="shared" si="10"/>
        <v>1.0009080960423919</v>
      </c>
      <c r="F143" s="107">
        <f t="shared" si="10"/>
        <v>0.87277118792965847</v>
      </c>
      <c r="G143" s="107">
        <f t="shared" si="10"/>
        <v>0.82404216219004855</v>
      </c>
    </row>
    <row r="144" spans="4:7" x14ac:dyDescent="0.25">
      <c r="D144">
        <v>70</v>
      </c>
      <c r="E144" s="107">
        <f t="shared" si="10"/>
        <v>1.0012353679721984</v>
      </c>
      <c r="F144" s="107">
        <f t="shared" si="10"/>
        <v>0.8735360178095144</v>
      </c>
      <c r="G144" s="107">
        <f t="shared" si="10"/>
        <v>0.82500155756177684</v>
      </c>
    </row>
    <row r="145" spans="4:7" x14ac:dyDescent="0.25">
      <c r="D145">
        <v>71</v>
      </c>
      <c r="E145" s="107">
        <f t="shared" si="10"/>
        <v>1.0015560008951065</v>
      </c>
      <c r="F145" s="107">
        <f t="shared" si="10"/>
        <v>0.8742914969483282</v>
      </c>
      <c r="G145" s="107">
        <f t="shared" si="10"/>
        <v>0.82595213312161764</v>
      </c>
    </row>
    <row r="146" spans="4:7" x14ac:dyDescent="0.25">
      <c r="D146">
        <v>72</v>
      </c>
      <c r="E146" s="107">
        <f t="shared" si="10"/>
        <v>1.0018701575708706</v>
      </c>
      <c r="F146" s="107">
        <f t="shared" si="10"/>
        <v>0.87503801626086886</v>
      </c>
      <c r="G146" s="107">
        <f t="shared" si="10"/>
        <v>0.82689414352055712</v>
      </c>
    </row>
    <row r="147" spans="4:7" x14ac:dyDescent="0.25">
      <c r="D147">
        <v>73</v>
      </c>
      <c r="E147" s="107">
        <f t="shared" si="10"/>
        <v>1.0021779984942385</v>
      </c>
      <c r="F147" s="107">
        <f t="shared" si="10"/>
        <v>0.87577594529153302</v>
      </c>
      <c r="G147" s="107">
        <f t="shared" si="10"/>
        <v>0.82782782941747313</v>
      </c>
    </row>
    <row r="148" spans="4:7" x14ac:dyDescent="0.25">
      <c r="D148">
        <v>74</v>
      </c>
      <c r="E148" s="107">
        <f t="shared" si="10"/>
        <v>1.0024796815683821</v>
      </c>
      <c r="F148" s="107">
        <f t="shared" si="10"/>
        <v>0.87650563364688205</v>
      </c>
      <c r="G148" s="107">
        <f t="shared" si="10"/>
        <v>0.8287534184932922</v>
      </c>
    </row>
    <row r="149" spans="4:7" x14ac:dyDescent="0.25">
      <c r="D149">
        <v>75</v>
      </c>
      <c r="E149" s="107">
        <f t="shared" si="10"/>
        <v>1.0027753618451538</v>
      </c>
      <c r="F149" s="107">
        <f t="shared" si="10"/>
        <v>0.87722741231507351</v>
      </c>
      <c r="G149" s="107">
        <f t="shared" si="10"/>
        <v>0.82967112637868268</v>
      </c>
    </row>
    <row r="150" spans="4:7" x14ac:dyDescent="0.25">
      <c r="D150">
        <v>76</v>
      </c>
      <c r="E150" s="107">
        <f t="shared" si="10"/>
        <v>1.0030651913220847</v>
      </c>
      <c r="F150" s="107">
        <f t="shared" si="10"/>
        <v>0.87794159488242041</v>
      </c>
      <c r="G150" s="107">
        <f t="shared" si="10"/>
        <v>0.83058115750359585</v>
      </c>
    </row>
    <row r="151" spans="4:7" x14ac:dyDescent="0.25">
      <c r="D151">
        <v>77</v>
      </c>
      <c r="E151" s="107">
        <f t="shared" si="10"/>
        <v>1.0033493187875033</v>
      </c>
      <c r="F151" s="107">
        <f t="shared" si="10"/>
        <v>0.87864847865627005</v>
      </c>
      <c r="G151" s="107">
        <f t="shared" si="10"/>
        <v>0.83148370587608811</v>
      </c>
    </row>
    <row r="152" spans="4:7" x14ac:dyDescent="0.25">
      <c r="D152">
        <v>78</v>
      </c>
      <c r="E152" s="107">
        <f t="shared" si="10"/>
        <v>1.0036278897064173</v>
      </c>
      <c r="F152" s="107">
        <f t="shared" si="10"/>
        <v>0.87934834570246723</v>
      </c>
      <c r="G152" s="107">
        <f t="shared" si="10"/>
        <v>0.83237895579707899</v>
      </c>
    </row>
    <row r="153" spans="4:7" x14ac:dyDescent="0.25">
      <c r="D153">
        <v>79</v>
      </c>
      <c r="E153" s="107">
        <f t="shared" si="10"/>
        <v>1.0039010461408482</v>
      </c>
      <c r="F153" s="107">
        <f t="shared" si="10"/>
        <v>0.88004146380485915</v>
      </c>
      <c r="G153" s="107">
        <f t="shared" si="10"/>
        <v>0.83326708251700909</v>
      </c>
    </row>
    <row r="154" spans="4:7" x14ac:dyDescent="0.25">
      <c r="D154">
        <v>80</v>
      </c>
      <c r="E154" s="107">
        <f t="shared" si="10"/>
        <v>1.00416892669924</v>
      </c>
      <c r="F154" s="107">
        <f t="shared" si="10"/>
        <v>0.88072808735355168</v>
      </c>
      <c r="G154" s="107">
        <f t="shared" si="10"/>
        <v>0.83414825283974625</v>
      </c>
    </row>
    <row r="155" spans="4:7" x14ac:dyDescent="0.25">
      <c r="D155">
        <v>81</v>
      </c>
      <c r="E155" s="107">
        <f t="shared" si="10"/>
        <v>1.0044316665103057</v>
      </c>
      <c r="F155" s="107">
        <f t="shared" si="10"/>
        <v>0.88140845816799351</v>
      </c>
      <c r="G155" s="107">
        <f t="shared" si="10"/>
        <v>0.83502262567855401</v>
      </c>
    </row>
    <row r="156" spans="4:7" x14ac:dyDescent="0.25">
      <c r="D156">
        <v>82</v>
      </c>
      <c r="E156" s="107">
        <f t="shared" si="10"/>
        <v>1.0046893972173849</v>
      </c>
      <c r="F156" s="107">
        <f t="shared" si="10"/>
        <v>0.88208280626037328</v>
      </c>
      <c r="G156" s="107">
        <f t="shared" si="10"/>
        <v>0.83589035256843669</v>
      </c>
    </row>
    <row r="157" spans="4:7" x14ac:dyDescent="0.25">
      <c r="D157">
        <v>83</v>
      </c>
      <c r="E157" s="107">
        <f t="shared" si="10"/>
        <v>1.0049422469899068</v>
      </c>
      <c r="F157" s="107">
        <f t="shared" si="10"/>
        <v>0.88275135054429243</v>
      </c>
      <c r="G157" s="107">
        <f t="shared" si="10"/>
        <v>0.83675157813875667</v>
      </c>
    </row>
    <row r="158" spans="4:7" x14ac:dyDescent="0.25">
      <c r="D158">
        <v>84</v>
      </c>
      <c r="E158" s="107">
        <f t="shared" si="10"/>
        <v>1.0051903405490799</v>
      </c>
      <c r="F158" s="107">
        <f t="shared" si="10"/>
        <v>0.88341429949322581</v>
      </c>
      <c r="G158" s="107">
        <f t="shared" si="10"/>
        <v>0.83760644054962829</v>
      </c>
    </row>
    <row r="159" spans="4:7" x14ac:dyDescent="0.25">
      <c r="D159">
        <v>85</v>
      </c>
      <c r="E159" s="107">
        <f t="shared" si="10"/>
        <v>1.0054337992053155</v>
      </c>
      <c r="F159" s="107">
        <f t="shared" si="10"/>
        <v>0.88407185175284775</v>
      </c>
      <c r="G159" s="107">
        <f t="shared" si="10"/>
        <v>0.83845507189525048</v>
      </c>
    </row>
    <row r="160" spans="4:7" x14ac:dyDescent="0.25">
      <c r="D160">
        <v>86</v>
      </c>
      <c r="E160" s="107">
        <f t="shared" si="10"/>
        <v>1.0056727409052737</v>
      </c>
      <c r="F160" s="107">
        <f t="shared" si="10"/>
        <v>0.88472419671094005</v>
      </c>
      <c r="G160" s="107">
        <f t="shared" si="10"/>
        <v>0.83929759857703601</v>
      </c>
    </row>
    <row r="161" spans="4:7" x14ac:dyDescent="0.25">
      <c r="D161">
        <v>87</v>
      </c>
      <c r="E161" s="107">
        <f t="shared" si="10"/>
        <v>1.0059072802867175</v>
      </c>
      <c r="F161" s="107">
        <f t="shared" si="10"/>
        <v>0.88537151502825739</v>
      </c>
      <c r="G161" s="107">
        <f t="shared" si="10"/>
        <v>0.84013414164911548</v>
      </c>
    </row>
    <row r="162" spans="4:7" x14ac:dyDescent="0.25">
      <c r="D162">
        <v>88</v>
      </c>
      <c r="E162" s="107">
        <f t="shared" si="10"/>
        <v>1.0061375287396153</v>
      </c>
      <c r="F162" s="107">
        <f t="shared" si="10"/>
        <v>0.88601397913342006</v>
      </c>
      <c r="G162" s="107">
        <f t="shared" si="10"/>
        <v>0.84096481713855598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9"/>
  <sheetViews>
    <sheetView zoomScale="84" zoomScaleNormal="84" workbookViewId="0">
      <selection activeCell="J7" sqref="J7:J9"/>
    </sheetView>
  </sheetViews>
  <sheetFormatPr defaultColWidth="8.85546875" defaultRowHeight="15" x14ac:dyDescent="0.25"/>
  <cols>
    <col min="1" max="1" width="2.28515625" customWidth="1"/>
    <col min="3" max="3" width="13" customWidth="1"/>
    <col min="4" max="5" width="10.28515625" customWidth="1"/>
    <col min="6" max="6" width="7.42578125" customWidth="1"/>
    <col min="11" max="11" width="6.28515625" customWidth="1"/>
    <col min="12" max="12" width="17" customWidth="1"/>
    <col min="13" max="13" width="11.28515625" customWidth="1"/>
    <col min="14" max="14" width="10.28515625" customWidth="1"/>
    <col min="15" max="15" width="8.5703125" customWidth="1"/>
  </cols>
  <sheetData>
    <row r="1" spans="1:34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34" ht="18.75" x14ac:dyDescent="0.3">
      <c r="A2" s="13"/>
      <c r="B2" s="29" t="s">
        <v>28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ht="15.75" thickBo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ht="15.75" thickBot="1" x14ac:dyDescent="0.3">
      <c r="A4" s="13"/>
      <c r="B4" s="96" t="s">
        <v>47</v>
      </c>
      <c r="C4" s="97"/>
      <c r="D4" s="97"/>
      <c r="E4" s="98"/>
      <c r="F4" s="1"/>
      <c r="G4" s="99" t="s">
        <v>48</v>
      </c>
      <c r="H4" s="100"/>
      <c r="I4" s="100"/>
      <c r="J4" s="101"/>
      <c r="K4" s="13"/>
      <c r="L4" s="53" t="s">
        <v>40</v>
      </c>
      <c r="M4" s="54"/>
      <c r="N4" s="55"/>
      <c r="O4" s="56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ht="15.75" thickBot="1" x14ac:dyDescent="0.3">
      <c r="A5" s="13"/>
      <c r="B5" s="48"/>
      <c r="C5" s="102" t="s">
        <v>6</v>
      </c>
      <c r="D5" s="102"/>
      <c r="E5" s="49"/>
      <c r="F5" s="1"/>
      <c r="G5" s="50"/>
      <c r="H5" s="102" t="s">
        <v>6</v>
      </c>
      <c r="I5" s="102"/>
      <c r="J5" s="49"/>
      <c r="K5" s="13"/>
      <c r="L5" s="57"/>
      <c r="M5" s="58" t="s">
        <v>25</v>
      </c>
      <c r="N5" s="103" t="s">
        <v>51</v>
      </c>
      <c r="O5" s="104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9.5" thickBot="1" x14ac:dyDescent="0.35">
      <c r="A6" s="13"/>
      <c r="B6" s="48" t="s">
        <v>7</v>
      </c>
      <c r="C6" s="52" t="s">
        <v>5</v>
      </c>
      <c r="D6" s="52" t="s">
        <v>49</v>
      </c>
      <c r="E6" s="49" t="s">
        <v>8</v>
      </c>
      <c r="F6" s="1"/>
      <c r="G6" s="48" t="s">
        <v>7</v>
      </c>
      <c r="H6" s="52" t="s">
        <v>5</v>
      </c>
      <c r="I6" s="52" t="s">
        <v>50</v>
      </c>
      <c r="J6" s="49" t="s">
        <v>8</v>
      </c>
      <c r="K6" s="13"/>
      <c r="L6" s="59" t="s">
        <v>30</v>
      </c>
      <c r="M6" s="60">
        <f>D29/(D25)</f>
        <v>6.2350026330639373E-2</v>
      </c>
      <c r="N6" s="61" t="s">
        <v>52</v>
      </c>
      <c r="O6" s="62">
        <f>D43*D44/D25</f>
        <v>1.3039909728708049E-2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19.5" thickBot="1" x14ac:dyDescent="0.35">
      <c r="A7" s="13"/>
      <c r="B7" s="11">
        <v>1</v>
      </c>
      <c r="C7" s="73">
        <v>22.52</v>
      </c>
      <c r="D7" s="74">
        <v>21.58</v>
      </c>
      <c r="E7" s="45">
        <f t="shared" ref="E7:E21" si="0">IF(OR(D7="",C7=""),"",C7/D7)</f>
        <v>1.0435588507877664</v>
      </c>
      <c r="F7" s="1"/>
      <c r="G7" s="11">
        <v>1</v>
      </c>
      <c r="H7" s="73">
        <v>20.46</v>
      </c>
      <c r="I7" s="74">
        <v>21</v>
      </c>
      <c r="J7" s="45">
        <f t="shared" ref="J7:J21" si="1">IF(OR(I7="",H7=""),"",H7/I7)</f>
        <v>0.97428571428571431</v>
      </c>
      <c r="K7" s="13"/>
      <c r="L7" s="63" t="s">
        <v>31</v>
      </c>
      <c r="M7" s="64">
        <f>D29/(E25)</f>
        <v>6.6496057251131099E-2</v>
      </c>
      <c r="N7" s="65" t="s">
        <v>52</v>
      </c>
      <c r="O7" s="66">
        <f>D43*D44/E25</f>
        <v>1.3907012312577802E-2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 x14ac:dyDescent="0.25">
      <c r="A8" s="13"/>
      <c r="B8" s="12">
        <v>2</v>
      </c>
      <c r="C8" s="75">
        <v>22</v>
      </c>
      <c r="D8" s="76">
        <v>21.5</v>
      </c>
      <c r="E8" s="46">
        <f t="shared" si="0"/>
        <v>1.0232558139534884</v>
      </c>
      <c r="F8" s="1"/>
      <c r="G8" s="12">
        <v>2</v>
      </c>
      <c r="H8" s="75">
        <v>20.3</v>
      </c>
      <c r="I8" s="76">
        <v>20.86</v>
      </c>
      <c r="J8" s="46">
        <f t="shared" si="1"/>
        <v>0.97315436241610742</v>
      </c>
      <c r="K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4" x14ac:dyDescent="0.25">
      <c r="A9" s="13"/>
      <c r="B9" s="12">
        <v>3</v>
      </c>
      <c r="C9" s="75">
        <v>21.14</v>
      </c>
      <c r="D9" s="76">
        <v>20.54</v>
      </c>
      <c r="E9" s="46">
        <f t="shared" si="0"/>
        <v>1.0292112950340799</v>
      </c>
      <c r="F9" s="1"/>
      <c r="G9" s="12">
        <v>3</v>
      </c>
      <c r="H9" s="75">
        <v>20.100000000000001</v>
      </c>
      <c r="I9" s="76">
        <v>20.86</v>
      </c>
      <c r="J9" s="46">
        <f t="shared" si="1"/>
        <v>0.96356663470757442</v>
      </c>
      <c r="K9" s="13"/>
      <c r="L9" s="51" t="s">
        <v>41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x14ac:dyDescent="0.25">
      <c r="A10" s="13"/>
      <c r="B10" s="12">
        <v>4</v>
      </c>
      <c r="C10" s="77">
        <v>21.54</v>
      </c>
      <c r="D10" s="78">
        <v>20.52</v>
      </c>
      <c r="E10" s="46">
        <f t="shared" si="0"/>
        <v>1.0497076023391814</v>
      </c>
      <c r="F10" s="1"/>
      <c r="G10" s="12">
        <v>4</v>
      </c>
      <c r="H10" s="77"/>
      <c r="I10" s="78"/>
      <c r="J10" s="46" t="str">
        <f t="shared" si="1"/>
        <v/>
      </c>
      <c r="K10" s="13"/>
      <c r="L10" s="13" t="s">
        <v>42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x14ac:dyDescent="0.25">
      <c r="A11" s="13"/>
      <c r="B11" s="12">
        <v>5</v>
      </c>
      <c r="C11" s="77">
        <v>21.08</v>
      </c>
      <c r="D11" s="78">
        <v>20.5</v>
      </c>
      <c r="E11" s="46">
        <f t="shared" si="0"/>
        <v>1.0282926829268293</v>
      </c>
      <c r="F11" s="1"/>
      <c r="G11" s="12">
        <v>5</v>
      </c>
      <c r="H11" s="77"/>
      <c r="I11" s="78"/>
      <c r="J11" s="46" t="str">
        <f t="shared" si="1"/>
        <v/>
      </c>
      <c r="K11" s="13"/>
      <c r="L11" s="13" t="s">
        <v>43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x14ac:dyDescent="0.25">
      <c r="A12" s="13"/>
      <c r="B12" s="12">
        <v>6</v>
      </c>
      <c r="C12" s="79">
        <v>21.42</v>
      </c>
      <c r="D12" s="80">
        <v>20.7</v>
      </c>
      <c r="E12" s="46">
        <f t="shared" si="0"/>
        <v>1.0347826086956522</v>
      </c>
      <c r="F12" s="13"/>
      <c r="G12" s="12">
        <v>6</v>
      </c>
      <c r="H12" s="79"/>
      <c r="I12" s="80"/>
      <c r="J12" s="46" t="str">
        <f t="shared" si="1"/>
        <v/>
      </c>
      <c r="K12" s="13"/>
      <c r="L12" s="13" t="s">
        <v>45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x14ac:dyDescent="0.25">
      <c r="A13" s="13"/>
      <c r="B13" s="12">
        <v>7</v>
      </c>
      <c r="C13" s="79">
        <v>21.76</v>
      </c>
      <c r="D13" s="80">
        <v>21.02</v>
      </c>
      <c r="E13" s="46">
        <f t="shared" si="0"/>
        <v>1.0352045670789725</v>
      </c>
      <c r="F13" s="13"/>
      <c r="G13" s="12">
        <v>7</v>
      </c>
      <c r="H13" s="79"/>
      <c r="I13" s="80"/>
      <c r="J13" s="46" t="str">
        <f t="shared" si="1"/>
        <v/>
      </c>
      <c r="K13" s="13"/>
      <c r="L13" s="13" t="s">
        <v>44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 x14ac:dyDescent="0.25">
      <c r="A14" s="13"/>
      <c r="B14" s="12">
        <v>8</v>
      </c>
      <c r="C14" s="79"/>
      <c r="D14" s="80"/>
      <c r="E14" s="46" t="str">
        <f t="shared" si="0"/>
        <v/>
      </c>
      <c r="F14" s="13"/>
      <c r="G14" s="12">
        <v>8</v>
      </c>
      <c r="H14" s="79"/>
      <c r="I14" s="80"/>
      <c r="J14" s="46" t="str">
        <f t="shared" si="1"/>
        <v/>
      </c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x14ac:dyDescent="0.25">
      <c r="A15" s="13"/>
      <c r="B15" s="12">
        <v>9</v>
      </c>
      <c r="C15" s="79"/>
      <c r="D15" s="80"/>
      <c r="E15" s="46" t="str">
        <f t="shared" si="0"/>
        <v/>
      </c>
      <c r="F15" s="13"/>
      <c r="G15" s="12">
        <v>9</v>
      </c>
      <c r="H15" s="79"/>
      <c r="I15" s="80"/>
      <c r="J15" s="46" t="str">
        <f t="shared" si="1"/>
        <v/>
      </c>
      <c r="K15" s="13"/>
      <c r="L15" s="51" t="s">
        <v>39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x14ac:dyDescent="0.25">
      <c r="A16" s="13"/>
      <c r="B16" s="12">
        <v>10</v>
      </c>
      <c r="C16" s="79"/>
      <c r="D16" s="80"/>
      <c r="E16" s="46" t="str">
        <f t="shared" si="0"/>
        <v/>
      </c>
      <c r="F16" s="13"/>
      <c r="G16" s="12">
        <v>10</v>
      </c>
      <c r="H16" s="79"/>
      <c r="I16" s="80"/>
      <c r="J16" s="46" t="str">
        <f t="shared" si="1"/>
        <v/>
      </c>
      <c r="K16" s="13"/>
      <c r="L16" s="67" t="s">
        <v>53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4" x14ac:dyDescent="0.25">
      <c r="A17" s="13"/>
      <c r="B17" s="12">
        <v>11</v>
      </c>
      <c r="C17" s="79"/>
      <c r="D17" s="80"/>
      <c r="E17" s="46" t="str">
        <f t="shared" si="0"/>
        <v/>
      </c>
      <c r="F17" s="13"/>
      <c r="G17" s="12">
        <v>11</v>
      </c>
      <c r="H17" s="79"/>
      <c r="I17" s="80"/>
      <c r="J17" s="46" t="str">
        <f t="shared" si="1"/>
        <v/>
      </c>
      <c r="K17" s="13"/>
      <c r="L17" s="67" t="s">
        <v>54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x14ac:dyDescent="0.25">
      <c r="A18" s="13"/>
      <c r="B18" s="12">
        <v>12</v>
      </c>
      <c r="C18" s="79"/>
      <c r="D18" s="80"/>
      <c r="E18" s="46" t="str">
        <f t="shared" si="0"/>
        <v/>
      </c>
      <c r="F18" s="13"/>
      <c r="G18" s="12">
        <v>12</v>
      </c>
      <c r="H18" s="79"/>
      <c r="I18" s="80"/>
      <c r="J18" s="46" t="str">
        <f t="shared" si="1"/>
        <v/>
      </c>
      <c r="K18" s="13"/>
      <c r="L18" s="67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x14ac:dyDescent="0.25">
      <c r="A19" s="13"/>
      <c r="B19" s="12">
        <v>13</v>
      </c>
      <c r="C19" s="79"/>
      <c r="D19" s="80"/>
      <c r="E19" s="46" t="str">
        <f t="shared" si="0"/>
        <v/>
      </c>
      <c r="F19" s="13"/>
      <c r="G19" s="12">
        <v>13</v>
      </c>
      <c r="H19" s="79"/>
      <c r="I19" s="80"/>
      <c r="J19" s="46" t="str">
        <f t="shared" si="1"/>
        <v/>
      </c>
      <c r="K19" s="13"/>
      <c r="L19" s="67" t="s">
        <v>55</v>
      </c>
      <c r="M19" s="67"/>
      <c r="N19" s="67"/>
      <c r="O19" s="67"/>
      <c r="P19" s="67"/>
      <c r="Q19" s="67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1:34" x14ac:dyDescent="0.25">
      <c r="A20" s="13"/>
      <c r="B20" s="12">
        <v>14</v>
      </c>
      <c r="C20" s="79"/>
      <c r="D20" s="80"/>
      <c r="E20" s="46" t="str">
        <f t="shared" si="0"/>
        <v/>
      </c>
      <c r="F20" s="13"/>
      <c r="G20" s="12">
        <v>14</v>
      </c>
      <c r="H20" s="79"/>
      <c r="I20" s="80"/>
      <c r="J20" s="46" t="str">
        <f t="shared" si="1"/>
        <v/>
      </c>
      <c r="K20" s="13"/>
      <c r="L20" s="67" t="s">
        <v>56</v>
      </c>
      <c r="M20" s="67"/>
      <c r="N20" s="67"/>
      <c r="O20" s="67"/>
      <c r="P20" s="67"/>
      <c r="Q20" s="67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ht="15" customHeight="1" thickBot="1" x14ac:dyDescent="0.3">
      <c r="A21" s="13"/>
      <c r="B21" s="14">
        <v>15</v>
      </c>
      <c r="C21" s="81"/>
      <c r="D21" s="82"/>
      <c r="E21" s="47" t="str">
        <f t="shared" si="0"/>
        <v/>
      </c>
      <c r="F21" s="13"/>
      <c r="G21" s="14">
        <v>15</v>
      </c>
      <c r="H21" s="81"/>
      <c r="I21" s="82"/>
      <c r="J21" s="47" t="str">
        <f t="shared" si="1"/>
        <v/>
      </c>
      <c r="K21" s="13"/>
      <c r="L21" s="67"/>
      <c r="M21" s="67"/>
      <c r="N21" s="67"/>
      <c r="O21" s="67"/>
      <c r="P21" s="67"/>
      <c r="Q21" s="67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ht="14.25" customHeight="1" thickBot="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67" t="s">
        <v>64</v>
      </c>
      <c r="M22" s="67"/>
      <c r="N22" s="67"/>
      <c r="O22" s="67"/>
      <c r="P22" s="67"/>
      <c r="Q22" s="67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6.5" thickBot="1" x14ac:dyDescent="0.3">
      <c r="A23" s="13"/>
      <c r="B23" s="9" t="s">
        <v>13</v>
      </c>
      <c r="C23" s="6"/>
      <c r="D23" s="5"/>
      <c r="E23" s="7"/>
      <c r="F23" s="13"/>
      <c r="G23" s="9" t="s">
        <v>14</v>
      </c>
      <c r="H23" s="5"/>
      <c r="I23" s="5"/>
      <c r="J23" s="7"/>
      <c r="K23" s="13"/>
      <c r="L23" s="67" t="s">
        <v>65</v>
      </c>
      <c r="M23" s="67"/>
      <c r="N23" s="67"/>
      <c r="O23" s="67"/>
      <c r="P23" s="67"/>
      <c r="Q23" s="67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4" ht="16.5" thickBot="1" x14ac:dyDescent="0.3">
      <c r="A24" s="13"/>
      <c r="B24" s="4"/>
      <c r="C24" s="6"/>
      <c r="D24" s="5" t="s">
        <v>4</v>
      </c>
      <c r="E24" s="8" t="s">
        <v>5</v>
      </c>
      <c r="F24" s="13"/>
      <c r="G24" s="25" t="s">
        <v>15</v>
      </c>
      <c r="H24" s="13"/>
      <c r="I24" s="13"/>
      <c r="J24" s="26">
        <f>D27^2</f>
        <v>8.4323444181024453E-5</v>
      </c>
      <c r="K24" s="13"/>
      <c r="L24" s="68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8"/>
    </row>
    <row r="25" spans="1:34" x14ac:dyDescent="0.25">
      <c r="A25" s="13"/>
      <c r="B25" s="18" t="s">
        <v>9</v>
      </c>
      <c r="C25" s="19"/>
      <c r="D25" s="36">
        <f>AVERAGE(E7:E21)</f>
        <v>1.0348590601165673</v>
      </c>
      <c r="E25" s="37">
        <f>AVERAGE(J7:J21)</f>
        <v>0.97033557046979857</v>
      </c>
      <c r="F25" s="13"/>
      <c r="G25" s="25" t="s">
        <v>16</v>
      </c>
      <c r="H25" s="13"/>
      <c r="I25" s="13"/>
      <c r="J25" s="27">
        <f>E27^2</f>
        <v>3.4683857778055013E-5</v>
      </c>
      <c r="K25" s="13"/>
      <c r="L25" s="67" t="s">
        <v>2</v>
      </c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8"/>
    </row>
    <row r="26" spans="1:34" x14ac:dyDescent="0.25">
      <c r="A26" s="13"/>
      <c r="B26" s="20" t="s">
        <v>10</v>
      </c>
      <c r="C26" s="13"/>
      <c r="D26" s="10">
        <f>COUNT(E7:E21)</f>
        <v>7</v>
      </c>
      <c r="E26" s="2">
        <f>COUNT(J7:J21)</f>
        <v>3</v>
      </c>
      <c r="F26" s="13"/>
      <c r="G26" s="25" t="s">
        <v>17</v>
      </c>
      <c r="H26" s="13"/>
      <c r="I26" s="13"/>
      <c r="J26" s="27">
        <f>J25/J24</f>
        <v>0.41131927324500844</v>
      </c>
      <c r="K26" s="13"/>
      <c r="L26" s="67" t="s">
        <v>62</v>
      </c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8"/>
    </row>
    <row r="27" spans="1:34" x14ac:dyDescent="0.25">
      <c r="A27" s="13"/>
      <c r="B27" s="20" t="s">
        <v>11</v>
      </c>
      <c r="C27" s="13"/>
      <c r="D27" s="16">
        <f>STDEV(E7:E21)</f>
        <v>9.1827797632865211E-3</v>
      </c>
      <c r="E27" s="17">
        <f>STDEV(J7:J21)</f>
        <v>5.8893002791549874E-3</v>
      </c>
      <c r="F27" s="13"/>
      <c r="G27" s="25" t="s">
        <v>18</v>
      </c>
      <c r="H27" s="13"/>
      <c r="I27" s="13"/>
      <c r="J27" s="27">
        <f>FINV(0.975,E26-1,D26-1)</f>
        <v>2.5424941047334615E-2</v>
      </c>
      <c r="K27" s="13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8"/>
    </row>
    <row r="28" spans="1:34" ht="15.75" thickBot="1" x14ac:dyDescent="0.3">
      <c r="A28" s="13"/>
      <c r="B28" s="20" t="s">
        <v>24</v>
      </c>
      <c r="C28" s="13"/>
      <c r="D28" s="33">
        <f>D27^2</f>
        <v>8.4323444181024453E-5</v>
      </c>
      <c r="E28" s="34">
        <f>E27^2</f>
        <v>3.4683857778055013E-5</v>
      </c>
      <c r="F28" s="13"/>
      <c r="G28" s="25" t="s">
        <v>19</v>
      </c>
      <c r="H28" s="13"/>
      <c r="I28" s="13"/>
      <c r="J28" s="27">
        <f>FINV(0.025,E26-1,D26-1)</f>
        <v>7.2598556800601788</v>
      </c>
      <c r="K28" s="13"/>
      <c r="L28" s="67" t="s">
        <v>60</v>
      </c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8"/>
    </row>
    <row r="29" spans="1:34" ht="16.5" customHeight="1" thickBot="1" x14ac:dyDescent="0.35">
      <c r="A29" s="13"/>
      <c r="B29" s="21" t="s">
        <v>12</v>
      </c>
      <c r="C29" s="15"/>
      <c r="D29" s="35">
        <f>D25-E25</f>
        <v>6.4523489646768684E-2</v>
      </c>
      <c r="E29" s="3"/>
      <c r="F29" s="13"/>
      <c r="G29" s="28" t="s">
        <v>20</v>
      </c>
      <c r="H29" s="15"/>
      <c r="I29" s="15"/>
      <c r="J29" s="44" t="str">
        <f>IF(J26&lt;J28,IF(J26&gt;J27,"yes","no"),"no")</f>
        <v>yes</v>
      </c>
      <c r="K29" s="13" t="s">
        <v>46</v>
      </c>
      <c r="L29" s="69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8"/>
    </row>
    <row r="30" spans="1:34" ht="12" customHeight="1" thickBo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69" t="s">
        <v>57</v>
      </c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spans="1:34" ht="15.75" thickBot="1" x14ac:dyDescent="0.3">
      <c r="A31" s="13"/>
      <c r="B31" s="9" t="s">
        <v>33</v>
      </c>
      <c r="C31" s="5"/>
      <c r="D31" s="5"/>
      <c r="E31" s="7"/>
      <c r="F31" s="13"/>
      <c r="G31" s="9" t="s">
        <v>34</v>
      </c>
      <c r="H31" s="5"/>
      <c r="I31" s="5"/>
      <c r="J31" s="7"/>
      <c r="L31" s="69" t="s">
        <v>1</v>
      </c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x14ac:dyDescent="0.25">
      <c r="A32" s="13"/>
      <c r="B32" s="20" t="s">
        <v>27</v>
      </c>
      <c r="C32" s="13"/>
      <c r="D32" s="13"/>
      <c r="E32" s="26">
        <f>SQRT(((D26-1)*D27^2+(E26-1)*E27^2)/(D26+E26-2))</f>
        <v>8.480185586429231E-3</v>
      </c>
      <c r="F32" s="13"/>
      <c r="G32" s="18" t="s">
        <v>23</v>
      </c>
      <c r="H32" s="19"/>
      <c r="I32" s="19"/>
      <c r="J32" s="22">
        <f>(D28/D26+E28/E26)^2/(((D28/D26)^2)/(D26-1)+((E28/E26)^2)/(E26-1))</f>
        <v>6.1231926484011616</v>
      </c>
      <c r="K32" s="13"/>
      <c r="L32" s="69" t="s">
        <v>58</v>
      </c>
      <c r="M32" s="68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 spans="1:34" x14ac:dyDescent="0.25">
      <c r="A33" s="13"/>
      <c r="B33" s="20" t="s">
        <v>21</v>
      </c>
      <c r="C33" s="13"/>
      <c r="D33" s="13"/>
      <c r="E33" s="23">
        <f>TINV(0.05,(D26+E26-2))</f>
        <v>2.3060041352041671</v>
      </c>
      <c r="F33" s="13"/>
      <c r="G33" s="20" t="s">
        <v>21</v>
      </c>
      <c r="H33" s="13"/>
      <c r="I33" s="13"/>
      <c r="J33" s="23">
        <f>SQRT(-BETAINV(0.05,J$32/2,0.5)*J$32*(BETAINV(0.05,J$32/2,0.5)-1))/BETAINV(0.05,J$32/2,0.5)</f>
        <v>2.4350278958344549</v>
      </c>
      <c r="K33" s="13"/>
      <c r="L33" s="69" t="s">
        <v>61</v>
      </c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 spans="1:34" ht="15.75" thickBot="1" x14ac:dyDescent="0.3">
      <c r="A34" s="13"/>
      <c r="B34" s="20" t="s">
        <v>29</v>
      </c>
      <c r="C34" s="13"/>
      <c r="D34" s="13"/>
      <c r="E34" s="23">
        <f>D29/(E32*SQRT(1/D26+1/E26))</f>
        <v>11.02610535961036</v>
      </c>
      <c r="F34" s="13"/>
      <c r="G34" s="20" t="s">
        <v>29</v>
      </c>
      <c r="H34" s="13"/>
      <c r="I34" s="13"/>
      <c r="J34" s="23">
        <f>D29/SQRT(D28/D26+E28/E26)</f>
        <v>13.279842358754834</v>
      </c>
      <c r="K34" s="13"/>
      <c r="L34" s="70" t="s">
        <v>59</v>
      </c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ht="19.5" thickBot="1" x14ac:dyDescent="0.35">
      <c r="A35" s="13"/>
      <c r="B35" s="20" t="s">
        <v>32</v>
      </c>
      <c r="C35" s="13"/>
      <c r="D35" s="13"/>
      <c r="E35" s="44" t="str">
        <f>IF(E34&gt;E33,"yes","no")</f>
        <v>yes</v>
      </c>
      <c r="F35" s="13"/>
      <c r="G35" s="20" t="s">
        <v>32</v>
      </c>
      <c r="H35" s="13"/>
      <c r="I35" s="13"/>
      <c r="J35" s="44" t="str">
        <f>IF(J34&gt;J33,"yes","no")</f>
        <v>yes</v>
      </c>
      <c r="K35" s="13"/>
      <c r="L35" s="70" t="s">
        <v>0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 spans="1:34" ht="15.75" thickBot="1" x14ac:dyDescent="0.3">
      <c r="A36" s="13"/>
      <c r="B36" s="21" t="s">
        <v>22</v>
      </c>
      <c r="C36" s="15"/>
      <c r="D36" s="15"/>
      <c r="E36" s="24">
        <f>TDIST(E34,(D26+E26-2),2)</f>
        <v>4.0752160568350976E-6</v>
      </c>
      <c r="F36" s="13"/>
      <c r="G36" s="21" t="s">
        <v>22</v>
      </c>
      <c r="H36" s="15"/>
      <c r="I36" s="15"/>
      <c r="J36" s="24">
        <f>BETADIST(J32/(J32+(J34^2)),J32/2,0.5)</f>
        <v>9.6131462752996724E-6</v>
      </c>
      <c r="K36" s="13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 spans="1:34" x14ac:dyDescent="0.25">
      <c r="A37" s="13"/>
      <c r="B37" s="38" t="s">
        <v>35</v>
      </c>
      <c r="C37" s="19"/>
      <c r="D37" s="19"/>
      <c r="E37" s="39">
        <f>D29-E33*E32*SQRT(1/D26+1/E26)</f>
        <v>5.1029020920912993E-2</v>
      </c>
      <c r="G37" s="38" t="s">
        <v>37</v>
      </c>
      <c r="H37" s="19"/>
      <c r="I37" s="19"/>
      <c r="J37" s="39">
        <f>D29-J33*(SQRT(D28/D26+E28/E26))</f>
        <v>5.2692287665452454E-2</v>
      </c>
      <c r="K37" s="13"/>
      <c r="L37" s="70" t="s">
        <v>63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ht="15.75" thickBot="1" x14ac:dyDescent="0.3">
      <c r="A38" s="13"/>
      <c r="B38" s="28" t="s">
        <v>36</v>
      </c>
      <c r="C38" s="15"/>
      <c r="D38" s="15"/>
      <c r="E38" s="40">
        <f>D29+E33*E32*SQRT(1/D26+1/E26)</f>
        <v>7.8017958372624374E-2</v>
      </c>
      <c r="F38" s="13"/>
      <c r="G38" s="28" t="s">
        <v>38</v>
      </c>
      <c r="H38" s="15"/>
      <c r="I38" s="15"/>
      <c r="J38" s="40">
        <f>D29+J33*(SQRT(D28/D26+E28/E26))</f>
        <v>7.635469162808492E-2</v>
      </c>
      <c r="K38" s="13"/>
      <c r="L38" s="70" t="s">
        <v>66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 spans="1:34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70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 spans="1:34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72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 spans="1:34" x14ac:dyDescent="0.25">
      <c r="A41" s="13"/>
      <c r="B41" s="13"/>
      <c r="D41" s="13"/>
      <c r="E41" s="13"/>
      <c r="F41" s="13"/>
      <c r="G41" s="13"/>
      <c r="H41" s="13"/>
      <c r="I41" s="13"/>
      <c r="J41" s="13"/>
      <c r="K41" s="13"/>
      <c r="L41" s="72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 spans="1:34" x14ac:dyDescent="0.25">
      <c r="A42" s="13"/>
      <c r="B42" s="13"/>
      <c r="D42" s="13"/>
      <c r="E42" s="13"/>
      <c r="F42" s="13"/>
      <c r="G42" s="13"/>
      <c r="H42" s="13"/>
      <c r="I42" s="13"/>
      <c r="J42" s="13"/>
      <c r="K42" s="13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 spans="1:34" x14ac:dyDescent="0.25">
      <c r="A43" s="13"/>
      <c r="B43" s="43"/>
      <c r="C43" s="41" t="s">
        <v>3</v>
      </c>
      <c r="D43" s="31">
        <f>IF(J29="yes",E33,J33)</f>
        <v>2.3060041352041671</v>
      </c>
      <c r="E43" s="13"/>
      <c r="F43" s="13"/>
      <c r="G43" s="13"/>
      <c r="H43" s="13"/>
      <c r="I43" s="13"/>
      <c r="J43" s="13"/>
      <c r="K43" s="13"/>
      <c r="M43" s="67"/>
      <c r="N43" s="68"/>
      <c r="O43" s="68"/>
      <c r="P43" s="68"/>
      <c r="Q43" s="68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x14ac:dyDescent="0.25">
      <c r="A44" s="13"/>
      <c r="B44" s="42"/>
      <c r="C44" s="30" t="s">
        <v>26</v>
      </c>
      <c r="D44" s="32">
        <f>IF(J29="yes",E32*SQRT(1/D26+1/E26),(SQRT(D28/D26+E28/E26)))</f>
        <v>5.8518840100262575E-3</v>
      </c>
      <c r="E44" s="13"/>
      <c r="F44" s="13"/>
      <c r="G44" s="13"/>
      <c r="H44" s="13"/>
      <c r="I44" s="13"/>
      <c r="J44" s="13"/>
      <c r="K44" s="13"/>
      <c r="M44" s="67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</row>
    <row r="45" spans="1:34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</row>
    <row r="46" spans="1:34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</row>
    <row r="47" spans="1:34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</row>
    <row r="48" spans="1:34" x14ac:dyDescent="0.25"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</row>
    <row r="49" spans="18:34" x14ac:dyDescent="0.25"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</row>
  </sheetData>
  <sheetProtection password="F4E0" sheet="1"/>
  <mergeCells count="5">
    <mergeCell ref="B4:E4"/>
    <mergeCell ref="G4:J4"/>
    <mergeCell ref="C5:D5"/>
    <mergeCell ref="H5:I5"/>
    <mergeCell ref="N5:O5"/>
  </mergeCells>
  <dataValidations count="1">
    <dataValidation type="list" allowBlank="1" showInputMessage="1" showErrorMessage="1" sqref="F7:F11" xr:uid="{00000000-0002-0000-0100-000000000000}">
      <formula1>"Y, N"</formula1>
    </dataValidation>
  </dataValidations>
  <pageMargins left="0.7" right="0.7" top="0.75" bottom="0.75" header="0.3" footer="0.3"/>
  <pageSetup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9"/>
  <sheetViews>
    <sheetView zoomScale="84" zoomScaleNormal="84" workbookViewId="0">
      <selection activeCell="J7" sqref="J7:J9"/>
    </sheetView>
  </sheetViews>
  <sheetFormatPr defaultColWidth="8.85546875" defaultRowHeight="15" x14ac:dyDescent="0.25"/>
  <cols>
    <col min="1" max="1" width="2.28515625" customWidth="1"/>
    <col min="3" max="3" width="13" customWidth="1"/>
    <col min="4" max="5" width="10.28515625" customWidth="1"/>
    <col min="6" max="6" width="7.42578125" customWidth="1"/>
    <col min="11" max="11" width="6.28515625" customWidth="1"/>
    <col min="12" max="12" width="17" customWidth="1"/>
    <col min="13" max="13" width="11.28515625" customWidth="1"/>
    <col min="14" max="14" width="10.28515625" customWidth="1"/>
    <col min="15" max="15" width="8.5703125" customWidth="1"/>
  </cols>
  <sheetData>
    <row r="1" spans="1:34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34" ht="18.75" x14ac:dyDescent="0.3">
      <c r="A2" s="13"/>
      <c r="B2" s="29" t="s">
        <v>28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ht="15.75" thickBo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ht="15.75" thickBot="1" x14ac:dyDescent="0.3">
      <c r="A4" s="13"/>
      <c r="B4" s="96" t="s">
        <v>47</v>
      </c>
      <c r="C4" s="97"/>
      <c r="D4" s="97"/>
      <c r="E4" s="98"/>
      <c r="F4" s="1"/>
      <c r="G4" s="99" t="s">
        <v>48</v>
      </c>
      <c r="H4" s="100"/>
      <c r="I4" s="100"/>
      <c r="J4" s="101"/>
      <c r="K4" s="13"/>
      <c r="L4" s="53" t="s">
        <v>40</v>
      </c>
      <c r="M4" s="54"/>
      <c r="N4" s="55"/>
      <c r="O4" s="56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ht="15.75" thickBot="1" x14ac:dyDescent="0.3">
      <c r="A5" s="13"/>
      <c r="B5" s="48"/>
      <c r="C5" s="102" t="s">
        <v>6</v>
      </c>
      <c r="D5" s="102"/>
      <c r="E5" s="49"/>
      <c r="F5" s="1"/>
      <c r="G5" s="50"/>
      <c r="H5" s="102" t="s">
        <v>6</v>
      </c>
      <c r="I5" s="102"/>
      <c r="J5" s="49"/>
      <c r="K5" s="13"/>
      <c r="L5" s="57"/>
      <c r="M5" s="58" t="s">
        <v>25</v>
      </c>
      <c r="N5" s="103" t="s">
        <v>51</v>
      </c>
      <c r="O5" s="104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9.5" thickBot="1" x14ac:dyDescent="0.35">
      <c r="A6" s="13"/>
      <c r="B6" s="48" t="s">
        <v>7</v>
      </c>
      <c r="C6" s="52" t="s">
        <v>5</v>
      </c>
      <c r="D6" s="52" t="s">
        <v>49</v>
      </c>
      <c r="E6" s="49" t="s">
        <v>8</v>
      </c>
      <c r="F6" s="1"/>
      <c r="G6" s="48" t="s">
        <v>7</v>
      </c>
      <c r="H6" s="52" t="s">
        <v>5</v>
      </c>
      <c r="I6" s="52" t="s">
        <v>50</v>
      </c>
      <c r="J6" s="49" t="s">
        <v>8</v>
      </c>
      <c r="K6" s="13"/>
      <c r="L6" s="59" t="s">
        <v>30</v>
      </c>
      <c r="M6" s="60">
        <f>D29/(D25)</f>
        <v>0.10356356644285117</v>
      </c>
      <c r="N6" s="61" t="s">
        <v>52</v>
      </c>
      <c r="O6" s="62">
        <f>D43*D44/D25</f>
        <v>1.0386382182077956E-2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19.5" thickBot="1" x14ac:dyDescent="0.35">
      <c r="A7" s="13"/>
      <c r="B7" s="11">
        <v>1</v>
      </c>
      <c r="C7" s="73">
        <v>21.96</v>
      </c>
      <c r="D7" s="74">
        <v>21.58</v>
      </c>
      <c r="E7" s="45">
        <f t="shared" ref="E7:E21" si="0">IF(OR(D7="",C7=""),"",C7/D7)</f>
        <v>1.0176088971269694</v>
      </c>
      <c r="F7" s="1"/>
      <c r="G7" s="11">
        <v>1</v>
      </c>
      <c r="H7" s="73">
        <v>18.940000000000001</v>
      </c>
      <c r="I7" s="74">
        <v>21</v>
      </c>
      <c r="J7" s="45">
        <f t="shared" ref="J7:J21" si="1">IF(OR(I7="",H7=""),"",H7/I7)</f>
        <v>0.90190476190476199</v>
      </c>
      <c r="K7" s="13"/>
      <c r="L7" s="63" t="s">
        <v>31</v>
      </c>
      <c r="M7" s="64">
        <f>D29/(E25)</f>
        <v>0.11552806486445519</v>
      </c>
      <c r="N7" s="65" t="s">
        <v>52</v>
      </c>
      <c r="O7" s="66">
        <f>D43*D44/E25</f>
        <v>1.1586300816516079E-2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 x14ac:dyDescent="0.25">
      <c r="A8" s="13"/>
      <c r="B8" s="12">
        <v>2</v>
      </c>
      <c r="C8" s="75">
        <v>21.46</v>
      </c>
      <c r="D8" s="76">
        <v>21.5</v>
      </c>
      <c r="E8" s="46">
        <f t="shared" si="0"/>
        <v>0.99813953488372098</v>
      </c>
      <c r="F8" s="1"/>
      <c r="G8" s="12">
        <v>2</v>
      </c>
      <c r="H8" s="75">
        <v>18.98</v>
      </c>
      <c r="I8" s="76">
        <v>20.86</v>
      </c>
      <c r="J8" s="46">
        <f t="shared" si="1"/>
        <v>0.90987535953978915</v>
      </c>
      <c r="K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4" x14ac:dyDescent="0.25">
      <c r="A9" s="13"/>
      <c r="B9" s="12">
        <v>3</v>
      </c>
      <c r="C9" s="75">
        <v>20.76</v>
      </c>
      <c r="D9" s="76">
        <v>20.54</v>
      </c>
      <c r="E9" s="46">
        <f t="shared" si="0"/>
        <v>1.0107108081791627</v>
      </c>
      <c r="F9" s="1"/>
      <c r="G9" s="12">
        <v>3</v>
      </c>
      <c r="H9" s="75">
        <v>18.88</v>
      </c>
      <c r="I9" s="76">
        <v>20.86</v>
      </c>
      <c r="J9" s="46">
        <f t="shared" si="1"/>
        <v>0.90508149568552254</v>
      </c>
      <c r="K9" s="13"/>
      <c r="L9" s="51" t="s">
        <v>41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x14ac:dyDescent="0.25">
      <c r="A10" s="13"/>
      <c r="B10" s="12">
        <v>4</v>
      </c>
      <c r="C10" s="77">
        <v>20.86</v>
      </c>
      <c r="D10" s="78">
        <v>20.52</v>
      </c>
      <c r="E10" s="46">
        <f t="shared" si="0"/>
        <v>1.0165692007797271</v>
      </c>
      <c r="F10" s="1"/>
      <c r="G10" s="12">
        <v>4</v>
      </c>
      <c r="H10" s="77"/>
      <c r="I10" s="78"/>
      <c r="J10" s="46" t="str">
        <f t="shared" si="1"/>
        <v/>
      </c>
      <c r="K10" s="13"/>
      <c r="L10" s="13" t="s">
        <v>42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x14ac:dyDescent="0.25">
      <c r="A11" s="13"/>
      <c r="B11" s="12">
        <v>5</v>
      </c>
      <c r="C11" s="77">
        <v>20.68</v>
      </c>
      <c r="D11" s="78">
        <v>20.5</v>
      </c>
      <c r="E11" s="46">
        <f t="shared" si="0"/>
        <v>1.0087804878048781</v>
      </c>
      <c r="F11" s="1"/>
      <c r="G11" s="12">
        <v>5</v>
      </c>
      <c r="H11" s="77"/>
      <c r="I11" s="78"/>
      <c r="J11" s="46" t="str">
        <f t="shared" si="1"/>
        <v/>
      </c>
      <c r="K11" s="13"/>
      <c r="L11" s="13" t="s">
        <v>43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x14ac:dyDescent="0.25">
      <c r="A12" s="13"/>
      <c r="B12" s="12">
        <v>6</v>
      </c>
      <c r="C12" s="79">
        <v>20.9</v>
      </c>
      <c r="D12" s="80">
        <v>20.7</v>
      </c>
      <c r="E12" s="46">
        <f t="shared" si="0"/>
        <v>1.0096618357487923</v>
      </c>
      <c r="F12" s="13"/>
      <c r="G12" s="12">
        <v>6</v>
      </c>
      <c r="H12" s="79"/>
      <c r="I12" s="80"/>
      <c r="J12" s="46" t="str">
        <f t="shared" si="1"/>
        <v/>
      </c>
      <c r="K12" s="13"/>
      <c r="L12" s="13" t="s">
        <v>45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x14ac:dyDescent="0.25">
      <c r="A13" s="13"/>
      <c r="B13" s="12">
        <v>7</v>
      </c>
      <c r="C13" s="79"/>
      <c r="D13" s="80"/>
      <c r="E13" s="46" t="str">
        <f t="shared" si="0"/>
        <v/>
      </c>
      <c r="F13" s="13"/>
      <c r="G13" s="12">
        <v>7</v>
      </c>
      <c r="H13" s="79"/>
      <c r="I13" s="80"/>
      <c r="J13" s="46" t="str">
        <f t="shared" si="1"/>
        <v/>
      </c>
      <c r="K13" s="13"/>
      <c r="L13" s="13" t="s">
        <v>44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 x14ac:dyDescent="0.25">
      <c r="A14" s="13"/>
      <c r="B14" s="12">
        <v>8</v>
      </c>
      <c r="C14" s="79"/>
      <c r="D14" s="80"/>
      <c r="E14" s="46" t="str">
        <f t="shared" si="0"/>
        <v/>
      </c>
      <c r="F14" s="13"/>
      <c r="G14" s="12">
        <v>8</v>
      </c>
      <c r="H14" s="79"/>
      <c r="I14" s="80"/>
      <c r="J14" s="46" t="str">
        <f t="shared" si="1"/>
        <v/>
      </c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x14ac:dyDescent="0.25">
      <c r="A15" s="13"/>
      <c r="B15" s="12">
        <v>9</v>
      </c>
      <c r="C15" s="79"/>
      <c r="D15" s="80"/>
      <c r="E15" s="46" t="str">
        <f t="shared" si="0"/>
        <v/>
      </c>
      <c r="F15" s="13"/>
      <c r="G15" s="12">
        <v>9</v>
      </c>
      <c r="H15" s="79"/>
      <c r="I15" s="80"/>
      <c r="J15" s="46" t="str">
        <f t="shared" si="1"/>
        <v/>
      </c>
      <c r="K15" s="13"/>
      <c r="L15" s="51" t="s">
        <v>39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x14ac:dyDescent="0.25">
      <c r="A16" s="13"/>
      <c r="B16" s="12">
        <v>10</v>
      </c>
      <c r="C16" s="79"/>
      <c r="D16" s="80"/>
      <c r="E16" s="46" t="str">
        <f t="shared" si="0"/>
        <v/>
      </c>
      <c r="F16" s="13"/>
      <c r="G16" s="12">
        <v>10</v>
      </c>
      <c r="H16" s="79"/>
      <c r="I16" s="80"/>
      <c r="J16" s="46" t="str">
        <f t="shared" si="1"/>
        <v/>
      </c>
      <c r="K16" s="13"/>
      <c r="L16" s="67" t="s">
        <v>53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4" x14ac:dyDescent="0.25">
      <c r="A17" s="13"/>
      <c r="B17" s="12">
        <v>11</v>
      </c>
      <c r="C17" s="79"/>
      <c r="D17" s="80"/>
      <c r="E17" s="46" t="str">
        <f t="shared" si="0"/>
        <v/>
      </c>
      <c r="F17" s="13"/>
      <c r="G17" s="12">
        <v>11</v>
      </c>
      <c r="H17" s="79"/>
      <c r="I17" s="80"/>
      <c r="J17" s="46" t="str">
        <f t="shared" si="1"/>
        <v/>
      </c>
      <c r="K17" s="13"/>
      <c r="L17" s="67" t="s">
        <v>54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x14ac:dyDescent="0.25">
      <c r="A18" s="13"/>
      <c r="B18" s="12">
        <v>12</v>
      </c>
      <c r="C18" s="79"/>
      <c r="D18" s="80"/>
      <c r="E18" s="46" t="str">
        <f t="shared" si="0"/>
        <v/>
      </c>
      <c r="F18" s="13"/>
      <c r="G18" s="12">
        <v>12</v>
      </c>
      <c r="H18" s="79"/>
      <c r="I18" s="80"/>
      <c r="J18" s="46" t="str">
        <f t="shared" si="1"/>
        <v/>
      </c>
      <c r="K18" s="13"/>
      <c r="L18" s="67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x14ac:dyDescent="0.25">
      <c r="A19" s="13"/>
      <c r="B19" s="12">
        <v>13</v>
      </c>
      <c r="C19" s="79"/>
      <c r="D19" s="80"/>
      <c r="E19" s="46" t="str">
        <f t="shared" si="0"/>
        <v/>
      </c>
      <c r="F19" s="13"/>
      <c r="G19" s="12">
        <v>13</v>
      </c>
      <c r="H19" s="79"/>
      <c r="I19" s="80"/>
      <c r="J19" s="46" t="str">
        <f t="shared" si="1"/>
        <v/>
      </c>
      <c r="K19" s="13"/>
      <c r="L19" s="67" t="s">
        <v>55</v>
      </c>
      <c r="M19" s="67"/>
      <c r="N19" s="67"/>
      <c r="O19" s="67"/>
      <c r="P19" s="67"/>
      <c r="Q19" s="67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1:34" x14ac:dyDescent="0.25">
      <c r="A20" s="13"/>
      <c r="B20" s="12">
        <v>14</v>
      </c>
      <c r="C20" s="79"/>
      <c r="D20" s="80"/>
      <c r="E20" s="46" t="str">
        <f t="shared" si="0"/>
        <v/>
      </c>
      <c r="F20" s="13"/>
      <c r="G20" s="12">
        <v>14</v>
      </c>
      <c r="H20" s="79"/>
      <c r="I20" s="80"/>
      <c r="J20" s="46" t="str">
        <f t="shared" si="1"/>
        <v/>
      </c>
      <c r="K20" s="13"/>
      <c r="L20" s="67" t="s">
        <v>56</v>
      </c>
      <c r="M20" s="67"/>
      <c r="N20" s="67"/>
      <c r="O20" s="67"/>
      <c r="P20" s="67"/>
      <c r="Q20" s="67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ht="15" customHeight="1" thickBot="1" x14ac:dyDescent="0.3">
      <c r="A21" s="13"/>
      <c r="B21" s="14">
        <v>15</v>
      </c>
      <c r="C21" s="81"/>
      <c r="D21" s="82"/>
      <c r="E21" s="47" t="str">
        <f t="shared" si="0"/>
        <v/>
      </c>
      <c r="F21" s="13"/>
      <c r="G21" s="14">
        <v>15</v>
      </c>
      <c r="H21" s="81"/>
      <c r="I21" s="82"/>
      <c r="J21" s="47" t="str">
        <f t="shared" si="1"/>
        <v/>
      </c>
      <c r="K21" s="13"/>
      <c r="L21" s="67"/>
      <c r="M21" s="67"/>
      <c r="N21" s="67"/>
      <c r="O21" s="67"/>
      <c r="P21" s="67"/>
      <c r="Q21" s="67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ht="14.25" customHeight="1" thickBot="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67" t="s">
        <v>64</v>
      </c>
      <c r="M22" s="67"/>
      <c r="N22" s="67"/>
      <c r="O22" s="67"/>
      <c r="P22" s="67"/>
      <c r="Q22" s="67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6.5" thickBot="1" x14ac:dyDescent="0.3">
      <c r="A23" s="13"/>
      <c r="B23" s="9" t="s">
        <v>13</v>
      </c>
      <c r="C23" s="6"/>
      <c r="D23" s="5"/>
      <c r="E23" s="7"/>
      <c r="F23" s="13"/>
      <c r="G23" s="9" t="s">
        <v>14</v>
      </c>
      <c r="H23" s="5"/>
      <c r="I23" s="5"/>
      <c r="J23" s="7"/>
      <c r="K23" s="13"/>
      <c r="L23" s="67" t="s">
        <v>65</v>
      </c>
      <c r="M23" s="67"/>
      <c r="N23" s="67"/>
      <c r="O23" s="67"/>
      <c r="P23" s="67"/>
      <c r="Q23" s="67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4" ht="16.5" thickBot="1" x14ac:dyDescent="0.3">
      <c r="A24" s="13"/>
      <c r="B24" s="4"/>
      <c r="C24" s="6"/>
      <c r="D24" s="5" t="s">
        <v>4</v>
      </c>
      <c r="E24" s="8" t="s">
        <v>5</v>
      </c>
      <c r="F24" s="13"/>
      <c r="G24" s="25" t="s">
        <v>15</v>
      </c>
      <c r="H24" s="13"/>
      <c r="I24" s="13"/>
      <c r="J24" s="26">
        <f>D27^2</f>
        <v>4.8693327151248931E-5</v>
      </c>
      <c r="K24" s="13"/>
      <c r="L24" s="68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8"/>
    </row>
    <row r="25" spans="1:34" x14ac:dyDescent="0.25">
      <c r="A25" s="13"/>
      <c r="B25" s="18" t="s">
        <v>9</v>
      </c>
      <c r="C25" s="19"/>
      <c r="D25" s="36">
        <f>AVERAGE(E7:E21)</f>
        <v>1.0102451274205417</v>
      </c>
      <c r="E25" s="37">
        <f>AVERAGE(J7:J21)</f>
        <v>0.90562053904335782</v>
      </c>
      <c r="F25" s="13"/>
      <c r="G25" s="25" t="s">
        <v>16</v>
      </c>
      <c r="H25" s="13"/>
      <c r="I25" s="13"/>
      <c r="J25" s="27">
        <f>E27^2</f>
        <v>1.6100532471094972E-5</v>
      </c>
      <c r="K25" s="13"/>
      <c r="L25" s="67" t="s">
        <v>2</v>
      </c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8"/>
    </row>
    <row r="26" spans="1:34" x14ac:dyDescent="0.25">
      <c r="A26" s="13"/>
      <c r="B26" s="20" t="s">
        <v>10</v>
      </c>
      <c r="C26" s="13"/>
      <c r="D26" s="10">
        <f>COUNT(E7:E21)</f>
        <v>6</v>
      </c>
      <c r="E26" s="2">
        <f>COUNT(J7:J21)</f>
        <v>3</v>
      </c>
      <c r="F26" s="13"/>
      <c r="G26" s="25" t="s">
        <v>17</v>
      </c>
      <c r="H26" s="13"/>
      <c r="I26" s="13"/>
      <c r="J26" s="27">
        <f>J25/J24</f>
        <v>0.33065172197176529</v>
      </c>
      <c r="K26" s="13"/>
      <c r="L26" s="67" t="s">
        <v>62</v>
      </c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8"/>
    </row>
    <row r="27" spans="1:34" x14ac:dyDescent="0.25">
      <c r="A27" s="13"/>
      <c r="B27" s="20" t="s">
        <v>11</v>
      </c>
      <c r="C27" s="13"/>
      <c r="D27" s="16">
        <f>STDEV(E7:E21)</f>
        <v>6.9780604147032816E-3</v>
      </c>
      <c r="E27" s="17">
        <f>STDEV(J7:J21)</f>
        <v>4.0125468808594588E-3</v>
      </c>
      <c r="F27" s="13"/>
      <c r="G27" s="25" t="s">
        <v>18</v>
      </c>
      <c r="H27" s="13"/>
      <c r="I27" s="13"/>
      <c r="J27" s="27">
        <f>FINV(0.975,E26-1,D26-1)</f>
        <v>2.5446440122317643E-2</v>
      </c>
      <c r="K27" s="13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8"/>
    </row>
    <row r="28" spans="1:34" ht="15.75" thickBot="1" x14ac:dyDescent="0.3">
      <c r="A28" s="13"/>
      <c r="B28" s="20" t="s">
        <v>24</v>
      </c>
      <c r="C28" s="13"/>
      <c r="D28" s="33">
        <f>D27^2</f>
        <v>4.8693327151248931E-5</v>
      </c>
      <c r="E28" s="34">
        <f>E27^2</f>
        <v>1.6100532471094972E-5</v>
      </c>
      <c r="F28" s="13"/>
      <c r="G28" s="25" t="s">
        <v>19</v>
      </c>
      <c r="H28" s="13"/>
      <c r="I28" s="13"/>
      <c r="J28" s="27">
        <f>FINV(0.025,E26-1,D26-1)</f>
        <v>8.4336207394327811</v>
      </c>
      <c r="K28" s="13"/>
      <c r="L28" s="67" t="s">
        <v>60</v>
      </c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8"/>
    </row>
    <row r="29" spans="1:34" ht="16.5" customHeight="1" thickBot="1" x14ac:dyDescent="0.35">
      <c r="A29" s="13"/>
      <c r="B29" s="21" t="s">
        <v>12</v>
      </c>
      <c r="C29" s="15"/>
      <c r="D29" s="35">
        <f>D25-E25</f>
        <v>0.10462458837718391</v>
      </c>
      <c r="E29" s="3"/>
      <c r="F29" s="13"/>
      <c r="G29" s="28" t="s">
        <v>20</v>
      </c>
      <c r="H29" s="15"/>
      <c r="I29" s="15"/>
      <c r="J29" s="44" t="str">
        <f>IF(J26&lt;J28,IF(J26&gt;J27,"yes","no"),"no")</f>
        <v>yes</v>
      </c>
      <c r="K29" s="13" t="s">
        <v>46</v>
      </c>
      <c r="L29" s="69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8"/>
    </row>
    <row r="30" spans="1:34" ht="12" customHeight="1" thickBo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69" t="s">
        <v>57</v>
      </c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spans="1:34" ht="15.75" thickBot="1" x14ac:dyDescent="0.3">
      <c r="A31" s="13"/>
      <c r="B31" s="9" t="s">
        <v>33</v>
      </c>
      <c r="C31" s="5"/>
      <c r="D31" s="5"/>
      <c r="E31" s="7"/>
      <c r="F31" s="13"/>
      <c r="G31" s="9" t="s">
        <v>34</v>
      </c>
      <c r="H31" s="5"/>
      <c r="I31" s="5"/>
      <c r="J31" s="7"/>
      <c r="L31" s="69" t="s">
        <v>1</v>
      </c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x14ac:dyDescent="0.25">
      <c r="A32" s="13"/>
      <c r="B32" s="20" t="s">
        <v>27</v>
      </c>
      <c r="C32" s="13"/>
      <c r="D32" s="13"/>
      <c r="E32" s="26">
        <f>SQRT(((D26-1)*D27^2+(E26-1)*E27^2)/(D26+E26-2))</f>
        <v>6.2754362477660764E-3</v>
      </c>
      <c r="F32" s="13"/>
      <c r="G32" s="18" t="s">
        <v>23</v>
      </c>
      <c r="H32" s="19"/>
      <c r="I32" s="19"/>
      <c r="J32" s="22">
        <f>(D28/D26+E28/E26)^2/(((D28/D26)^2)/(D26-1)+((E28/E26)^2)/(E26-1))</f>
        <v>6.5922747172501817</v>
      </c>
      <c r="K32" s="13"/>
      <c r="L32" s="69" t="s">
        <v>58</v>
      </c>
      <c r="M32" s="68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 spans="1:34" x14ac:dyDescent="0.25">
      <c r="A33" s="13"/>
      <c r="B33" s="20" t="s">
        <v>21</v>
      </c>
      <c r="C33" s="13"/>
      <c r="D33" s="13"/>
      <c r="E33" s="23">
        <f>TINV(0.05,(D26+E26-2))</f>
        <v>2.3646242515927849</v>
      </c>
      <c r="F33" s="13"/>
      <c r="G33" s="20" t="s">
        <v>21</v>
      </c>
      <c r="H33" s="13"/>
      <c r="I33" s="13"/>
      <c r="J33" s="23">
        <f>SQRT(-BETAINV(0.05,J$32/2,0.5)*J$32*(BETAINV(0.05,J$32/2,0.5)-1))/BETAINV(0.05,J$32/2,0.5)</f>
        <v>2.3945972106752511</v>
      </c>
      <c r="K33" s="13"/>
      <c r="L33" s="69" t="s">
        <v>61</v>
      </c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 spans="1:34" ht="15.75" thickBot="1" x14ac:dyDescent="0.3">
      <c r="A34" s="13"/>
      <c r="B34" s="20" t="s">
        <v>29</v>
      </c>
      <c r="C34" s="13"/>
      <c r="D34" s="13"/>
      <c r="E34" s="23">
        <f>D29/(E32*SQRT(1/D26+1/E26))</f>
        <v>23.577884628082575</v>
      </c>
      <c r="F34" s="13"/>
      <c r="G34" s="20" t="s">
        <v>29</v>
      </c>
      <c r="H34" s="13"/>
      <c r="I34" s="13"/>
      <c r="J34" s="23">
        <f>D29/SQRT(D28/D26+E28/E26)</f>
        <v>28.493787407583831</v>
      </c>
      <c r="K34" s="13"/>
      <c r="L34" s="70" t="s">
        <v>59</v>
      </c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ht="19.5" thickBot="1" x14ac:dyDescent="0.35">
      <c r="A35" s="13"/>
      <c r="B35" s="20" t="s">
        <v>32</v>
      </c>
      <c r="C35" s="13"/>
      <c r="D35" s="13"/>
      <c r="E35" s="44" t="str">
        <f>IF(E34&gt;E33,"yes","no")</f>
        <v>yes</v>
      </c>
      <c r="F35" s="13"/>
      <c r="G35" s="20" t="s">
        <v>32</v>
      </c>
      <c r="H35" s="13"/>
      <c r="I35" s="13"/>
      <c r="J35" s="44" t="str">
        <f>IF(J34&gt;J33,"yes","no")</f>
        <v>yes</v>
      </c>
      <c r="K35" s="13"/>
      <c r="L35" s="70" t="s">
        <v>0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 spans="1:34" ht="15.75" thickBot="1" x14ac:dyDescent="0.3">
      <c r="A36" s="13"/>
      <c r="B36" s="21" t="s">
        <v>22</v>
      </c>
      <c r="C36" s="15"/>
      <c r="D36" s="15"/>
      <c r="E36" s="24">
        <f>TDIST(E34,(D26+E26-2),2)</f>
        <v>6.2709325762839457E-8</v>
      </c>
      <c r="F36" s="13"/>
      <c r="G36" s="21" t="s">
        <v>22</v>
      </c>
      <c r="H36" s="15"/>
      <c r="I36" s="15"/>
      <c r="J36" s="24">
        <f>BETADIST(J32/(J32+(J34^2)),J32/2,0.5)</f>
        <v>3.761181277838624E-8</v>
      </c>
      <c r="K36" s="13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 spans="1:34" x14ac:dyDescent="0.25">
      <c r="A37" s="13"/>
      <c r="B37" s="38" t="s">
        <v>35</v>
      </c>
      <c r="C37" s="19"/>
      <c r="D37" s="19"/>
      <c r="E37" s="39">
        <f>D29-E33*E32*SQRT(1/D26+1/E26)</f>
        <v>9.4131796386212122E-2</v>
      </c>
      <c r="G37" s="38" t="s">
        <v>37</v>
      </c>
      <c r="H37" s="19"/>
      <c r="I37" s="19"/>
      <c r="J37" s="39">
        <f>D29-J33*(SQRT(D28/D26+E28/E26))</f>
        <v>9.5832013914816397E-2</v>
      </c>
      <c r="K37" s="13"/>
      <c r="L37" s="70" t="s">
        <v>63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ht="15.75" thickBot="1" x14ac:dyDescent="0.3">
      <c r="A38" s="13"/>
      <c r="B38" s="28" t="s">
        <v>36</v>
      </c>
      <c r="C38" s="15"/>
      <c r="D38" s="15"/>
      <c r="E38" s="40">
        <f>D29+E33*E32*SQRT(1/D26+1/E26)</f>
        <v>0.11511738036815571</v>
      </c>
      <c r="F38" s="13"/>
      <c r="G38" s="28" t="s">
        <v>38</v>
      </c>
      <c r="H38" s="15"/>
      <c r="I38" s="15"/>
      <c r="J38" s="40">
        <f>D29+J33*(SQRT(D28/D26+E28/E26))</f>
        <v>0.11341716283955143</v>
      </c>
      <c r="K38" s="13"/>
      <c r="L38" s="70" t="s">
        <v>66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 spans="1:34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70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 spans="1:34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72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 spans="1:34" x14ac:dyDescent="0.25">
      <c r="A41" s="13"/>
      <c r="B41" s="13"/>
      <c r="D41" s="13"/>
      <c r="E41" s="13"/>
      <c r="F41" s="13"/>
      <c r="G41" s="13"/>
      <c r="H41" s="13"/>
      <c r="I41" s="13"/>
      <c r="J41" s="13"/>
      <c r="K41" s="13"/>
      <c r="L41" s="72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 spans="1:34" x14ac:dyDescent="0.25">
      <c r="A42" s="13"/>
      <c r="B42" s="13"/>
      <c r="D42" s="13"/>
      <c r="E42" s="13"/>
      <c r="F42" s="13"/>
      <c r="G42" s="13"/>
      <c r="H42" s="13"/>
      <c r="I42" s="13"/>
      <c r="J42" s="13"/>
      <c r="K42" s="13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 spans="1:34" x14ac:dyDescent="0.25">
      <c r="A43" s="13"/>
      <c r="B43" s="43"/>
      <c r="C43" s="41" t="s">
        <v>3</v>
      </c>
      <c r="D43" s="31">
        <f>IF(J29="yes",E33,J33)</f>
        <v>2.3646242515927849</v>
      </c>
      <c r="E43" s="13"/>
      <c r="F43" s="13"/>
      <c r="G43" s="13"/>
      <c r="H43" s="13"/>
      <c r="I43" s="13"/>
      <c r="J43" s="13"/>
      <c r="K43" s="13"/>
      <c r="M43" s="67"/>
      <c r="N43" s="68"/>
      <c r="O43" s="68"/>
      <c r="P43" s="68"/>
      <c r="Q43" s="68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x14ac:dyDescent="0.25">
      <c r="A44" s="13"/>
      <c r="B44" s="42"/>
      <c r="C44" s="30" t="s">
        <v>26</v>
      </c>
      <c r="D44" s="32">
        <f>IF(J29="yes",E32*SQRT(1/D26+1/E26),(SQRT(D28/D26+E28/E26)))</f>
        <v>4.4374035256992562E-3</v>
      </c>
      <c r="E44" s="13"/>
      <c r="F44" s="13"/>
      <c r="G44" s="13"/>
      <c r="H44" s="13"/>
      <c r="I44" s="13"/>
      <c r="J44" s="13"/>
      <c r="K44" s="13"/>
      <c r="M44" s="67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</row>
    <row r="45" spans="1:34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</row>
    <row r="46" spans="1:34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</row>
    <row r="47" spans="1:34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</row>
    <row r="48" spans="1:34" x14ac:dyDescent="0.25"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</row>
    <row r="49" spans="18:34" x14ac:dyDescent="0.25"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</row>
  </sheetData>
  <sheetProtection password="F4E0" sheet="1"/>
  <mergeCells count="5">
    <mergeCell ref="B4:E4"/>
    <mergeCell ref="G4:J4"/>
    <mergeCell ref="C5:D5"/>
    <mergeCell ref="H5:I5"/>
    <mergeCell ref="N5:O5"/>
  </mergeCells>
  <dataValidations count="1">
    <dataValidation type="list" allowBlank="1" showInputMessage="1" showErrorMessage="1" sqref="F7:F11" xr:uid="{00000000-0002-0000-0200-000000000000}">
      <formula1>"Y, N"</formula1>
    </dataValidation>
  </dataValidations>
  <pageMargins left="0.7" right="0.7" top="0.75" bottom="0.75" header="0.3" footer="0.3"/>
  <pageSetup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49"/>
  <sheetViews>
    <sheetView zoomScale="84" zoomScaleNormal="84" workbookViewId="0">
      <selection activeCell="J7" sqref="J7:J9"/>
    </sheetView>
  </sheetViews>
  <sheetFormatPr defaultColWidth="8.85546875" defaultRowHeight="15" x14ac:dyDescent="0.25"/>
  <cols>
    <col min="1" max="1" width="2.28515625" customWidth="1"/>
    <col min="3" max="3" width="13" customWidth="1"/>
    <col min="4" max="5" width="10.28515625" customWidth="1"/>
    <col min="6" max="6" width="7.42578125" customWidth="1"/>
    <col min="11" max="11" width="6.28515625" customWidth="1"/>
    <col min="12" max="12" width="17" customWidth="1"/>
    <col min="13" max="13" width="11.28515625" customWidth="1"/>
    <col min="14" max="14" width="10.28515625" customWidth="1"/>
    <col min="15" max="15" width="8.5703125" customWidth="1"/>
  </cols>
  <sheetData>
    <row r="1" spans="1:34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34" ht="18.75" x14ac:dyDescent="0.3">
      <c r="A2" s="13"/>
      <c r="B2" s="29" t="s">
        <v>28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ht="15.75" thickBo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ht="15.75" thickBot="1" x14ac:dyDescent="0.3">
      <c r="A4" s="13"/>
      <c r="B4" s="96" t="s">
        <v>47</v>
      </c>
      <c r="C4" s="97"/>
      <c r="D4" s="97"/>
      <c r="E4" s="98"/>
      <c r="F4" s="1"/>
      <c r="G4" s="99" t="s">
        <v>48</v>
      </c>
      <c r="H4" s="100"/>
      <c r="I4" s="100"/>
      <c r="J4" s="101"/>
      <c r="K4" s="13"/>
      <c r="L4" s="53" t="s">
        <v>40</v>
      </c>
      <c r="M4" s="54"/>
      <c r="N4" s="55"/>
      <c r="O4" s="56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ht="15.75" thickBot="1" x14ac:dyDescent="0.3">
      <c r="A5" s="13"/>
      <c r="B5" s="48"/>
      <c r="C5" s="102" t="s">
        <v>6</v>
      </c>
      <c r="D5" s="102"/>
      <c r="E5" s="49"/>
      <c r="F5" s="1"/>
      <c r="G5" s="50"/>
      <c r="H5" s="102" t="s">
        <v>6</v>
      </c>
      <c r="I5" s="102"/>
      <c r="J5" s="49"/>
      <c r="K5" s="13"/>
      <c r="L5" s="57"/>
      <c r="M5" s="58" t="s">
        <v>25</v>
      </c>
      <c r="N5" s="103" t="s">
        <v>51</v>
      </c>
      <c r="O5" s="104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9.5" thickBot="1" x14ac:dyDescent="0.35">
      <c r="A6" s="13"/>
      <c r="B6" s="48" t="s">
        <v>7</v>
      </c>
      <c r="C6" s="52" t="s">
        <v>5</v>
      </c>
      <c r="D6" s="52" t="s">
        <v>49</v>
      </c>
      <c r="E6" s="49" t="s">
        <v>8</v>
      </c>
      <c r="F6" s="1"/>
      <c r="G6" s="48" t="s">
        <v>7</v>
      </c>
      <c r="H6" s="52" t="s">
        <v>5</v>
      </c>
      <c r="I6" s="52" t="s">
        <v>50</v>
      </c>
      <c r="J6" s="49" t="s">
        <v>8</v>
      </c>
      <c r="K6" s="13"/>
      <c r="L6" s="59" t="s">
        <v>30</v>
      </c>
      <c r="M6" s="60">
        <f>D29/(D25)</f>
        <v>5.0243194870810234E-2</v>
      </c>
      <c r="N6" s="61" t="s">
        <v>52</v>
      </c>
      <c r="O6" s="62">
        <f>D43*D44/D25</f>
        <v>1.4038201320697205E-2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19.5" thickBot="1" x14ac:dyDescent="0.35">
      <c r="A7" s="13"/>
      <c r="B7" s="11">
        <v>1</v>
      </c>
      <c r="C7" s="73">
        <v>22.52</v>
      </c>
      <c r="D7" s="74">
        <v>21.58</v>
      </c>
      <c r="E7" s="45">
        <f t="shared" ref="E7:E21" si="0">IF(OR(D7="",C7=""),"",C7/D7)</f>
        <v>1.0435588507877664</v>
      </c>
      <c r="F7" s="1"/>
      <c r="G7" s="11">
        <v>1</v>
      </c>
      <c r="H7" s="73">
        <v>20.76</v>
      </c>
      <c r="I7" s="74">
        <v>20.92</v>
      </c>
      <c r="J7" s="45">
        <f t="shared" ref="J7:J21" si="1">IF(OR(I7="",H7=""),"",H7/I7)</f>
        <v>0.9923518164435946</v>
      </c>
      <c r="K7" s="13"/>
      <c r="L7" s="63" t="s">
        <v>31</v>
      </c>
      <c r="M7" s="64">
        <f>D29/(E25)</f>
        <v>5.2901115948283152E-2</v>
      </c>
      <c r="N7" s="65" t="s">
        <v>52</v>
      </c>
      <c r="O7" s="66">
        <f>D43*D44/E25</f>
        <v>1.478083783646875E-2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 x14ac:dyDescent="0.25">
      <c r="A8" s="13"/>
      <c r="B8" s="12">
        <v>2</v>
      </c>
      <c r="C8" s="75">
        <v>22</v>
      </c>
      <c r="D8" s="76">
        <v>21.5</v>
      </c>
      <c r="E8" s="46">
        <f t="shared" si="0"/>
        <v>1.0232558139534884</v>
      </c>
      <c r="F8" s="1"/>
      <c r="G8" s="12">
        <v>2</v>
      </c>
      <c r="H8" s="75">
        <v>20.66</v>
      </c>
      <c r="I8" s="76">
        <v>21.2</v>
      </c>
      <c r="J8" s="46">
        <f t="shared" si="1"/>
        <v>0.97452830188679251</v>
      </c>
      <c r="K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4" x14ac:dyDescent="0.25">
      <c r="A9" s="13"/>
      <c r="B9" s="12">
        <v>3</v>
      </c>
      <c r="C9" s="75">
        <v>21.14</v>
      </c>
      <c r="D9" s="76">
        <v>20.54</v>
      </c>
      <c r="E9" s="46">
        <f t="shared" si="0"/>
        <v>1.0292112950340799</v>
      </c>
      <c r="F9" s="1"/>
      <c r="G9" s="12">
        <v>3</v>
      </c>
      <c r="H9" s="75">
        <v>20.399999999999999</v>
      </c>
      <c r="I9" s="76">
        <v>20.78</v>
      </c>
      <c r="J9" s="46">
        <f t="shared" si="1"/>
        <v>0.98171318575553401</v>
      </c>
      <c r="K9" s="13"/>
      <c r="L9" s="51" t="s">
        <v>41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x14ac:dyDescent="0.25">
      <c r="A10" s="13"/>
      <c r="B10" s="12">
        <v>4</v>
      </c>
      <c r="C10" s="77">
        <v>21.54</v>
      </c>
      <c r="D10" s="78">
        <v>20.52</v>
      </c>
      <c r="E10" s="46">
        <f t="shared" si="0"/>
        <v>1.0497076023391814</v>
      </c>
      <c r="F10" s="1"/>
      <c r="G10" s="12">
        <v>4</v>
      </c>
      <c r="H10" s="77"/>
      <c r="I10" s="78"/>
      <c r="J10" s="46" t="str">
        <f t="shared" si="1"/>
        <v/>
      </c>
      <c r="K10" s="13"/>
      <c r="L10" s="13" t="s">
        <v>42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x14ac:dyDescent="0.25">
      <c r="A11" s="13"/>
      <c r="B11" s="12">
        <v>5</v>
      </c>
      <c r="C11" s="77">
        <v>21.08</v>
      </c>
      <c r="D11" s="78">
        <v>20.5</v>
      </c>
      <c r="E11" s="46">
        <f t="shared" si="0"/>
        <v>1.0282926829268293</v>
      </c>
      <c r="F11" s="1"/>
      <c r="G11" s="12">
        <v>5</v>
      </c>
      <c r="H11" s="77"/>
      <c r="I11" s="78"/>
      <c r="J11" s="46" t="str">
        <f t="shared" si="1"/>
        <v/>
      </c>
      <c r="K11" s="13"/>
      <c r="L11" s="13" t="s">
        <v>43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x14ac:dyDescent="0.25">
      <c r="A12" s="13"/>
      <c r="B12" s="12">
        <v>6</v>
      </c>
      <c r="C12" s="79">
        <v>21.42</v>
      </c>
      <c r="D12" s="80">
        <v>20.7</v>
      </c>
      <c r="E12" s="46">
        <f t="shared" si="0"/>
        <v>1.0347826086956522</v>
      </c>
      <c r="F12" s="13"/>
      <c r="G12" s="12">
        <v>6</v>
      </c>
      <c r="H12" s="79"/>
      <c r="I12" s="80"/>
      <c r="J12" s="46" t="str">
        <f t="shared" si="1"/>
        <v/>
      </c>
      <c r="K12" s="13"/>
      <c r="L12" s="13" t="s">
        <v>45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x14ac:dyDescent="0.25">
      <c r="A13" s="13"/>
      <c r="B13" s="12">
        <v>7</v>
      </c>
      <c r="C13" s="79">
        <v>21.76</v>
      </c>
      <c r="D13" s="80">
        <v>21.02</v>
      </c>
      <c r="E13" s="46">
        <f t="shared" si="0"/>
        <v>1.0352045670789725</v>
      </c>
      <c r="F13" s="13"/>
      <c r="G13" s="12">
        <v>7</v>
      </c>
      <c r="H13" s="79"/>
      <c r="I13" s="80"/>
      <c r="J13" s="46" t="str">
        <f t="shared" si="1"/>
        <v/>
      </c>
      <c r="K13" s="13"/>
      <c r="L13" s="13" t="s">
        <v>44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 x14ac:dyDescent="0.25">
      <c r="A14" s="13"/>
      <c r="B14" s="12">
        <v>8</v>
      </c>
      <c r="C14" s="79"/>
      <c r="D14" s="80"/>
      <c r="E14" s="46" t="str">
        <f t="shared" si="0"/>
        <v/>
      </c>
      <c r="F14" s="13"/>
      <c r="G14" s="12">
        <v>8</v>
      </c>
      <c r="H14" s="79"/>
      <c r="I14" s="80"/>
      <c r="J14" s="46" t="str">
        <f t="shared" si="1"/>
        <v/>
      </c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x14ac:dyDescent="0.25">
      <c r="A15" s="13"/>
      <c r="B15" s="12">
        <v>9</v>
      </c>
      <c r="C15" s="79"/>
      <c r="D15" s="80"/>
      <c r="E15" s="46" t="str">
        <f t="shared" si="0"/>
        <v/>
      </c>
      <c r="F15" s="13"/>
      <c r="G15" s="12">
        <v>9</v>
      </c>
      <c r="H15" s="79"/>
      <c r="I15" s="80"/>
      <c r="J15" s="46" t="str">
        <f t="shared" si="1"/>
        <v/>
      </c>
      <c r="K15" s="13"/>
      <c r="L15" s="51" t="s">
        <v>39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x14ac:dyDescent="0.25">
      <c r="A16" s="13"/>
      <c r="B16" s="12">
        <v>10</v>
      </c>
      <c r="C16" s="79"/>
      <c r="D16" s="80"/>
      <c r="E16" s="46" t="str">
        <f t="shared" si="0"/>
        <v/>
      </c>
      <c r="F16" s="13"/>
      <c r="G16" s="12">
        <v>10</v>
      </c>
      <c r="H16" s="79"/>
      <c r="I16" s="80"/>
      <c r="J16" s="46" t="str">
        <f t="shared" si="1"/>
        <v/>
      </c>
      <c r="K16" s="13"/>
      <c r="L16" s="67" t="s">
        <v>53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4" x14ac:dyDescent="0.25">
      <c r="A17" s="13"/>
      <c r="B17" s="12">
        <v>11</v>
      </c>
      <c r="C17" s="79"/>
      <c r="D17" s="80"/>
      <c r="E17" s="46" t="str">
        <f t="shared" si="0"/>
        <v/>
      </c>
      <c r="F17" s="13"/>
      <c r="G17" s="12">
        <v>11</v>
      </c>
      <c r="H17" s="79"/>
      <c r="I17" s="80"/>
      <c r="J17" s="46" t="str">
        <f t="shared" si="1"/>
        <v/>
      </c>
      <c r="K17" s="13"/>
      <c r="L17" s="67" t="s">
        <v>54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x14ac:dyDescent="0.25">
      <c r="A18" s="13"/>
      <c r="B18" s="12">
        <v>12</v>
      </c>
      <c r="C18" s="79"/>
      <c r="D18" s="80"/>
      <c r="E18" s="46" t="str">
        <f t="shared" si="0"/>
        <v/>
      </c>
      <c r="F18" s="13"/>
      <c r="G18" s="12">
        <v>12</v>
      </c>
      <c r="H18" s="79"/>
      <c r="I18" s="80"/>
      <c r="J18" s="46" t="str">
        <f t="shared" si="1"/>
        <v/>
      </c>
      <c r="K18" s="13"/>
      <c r="L18" s="67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x14ac:dyDescent="0.25">
      <c r="A19" s="13"/>
      <c r="B19" s="12">
        <v>13</v>
      </c>
      <c r="C19" s="79"/>
      <c r="D19" s="80"/>
      <c r="E19" s="46" t="str">
        <f t="shared" si="0"/>
        <v/>
      </c>
      <c r="F19" s="13"/>
      <c r="G19" s="12">
        <v>13</v>
      </c>
      <c r="H19" s="79"/>
      <c r="I19" s="80"/>
      <c r="J19" s="46" t="str">
        <f t="shared" si="1"/>
        <v/>
      </c>
      <c r="K19" s="13"/>
      <c r="L19" s="67" t="s">
        <v>55</v>
      </c>
      <c r="M19" s="67"/>
      <c r="N19" s="67"/>
      <c r="O19" s="67"/>
      <c r="P19" s="67"/>
      <c r="Q19" s="67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1:34" x14ac:dyDescent="0.25">
      <c r="A20" s="13"/>
      <c r="B20" s="12">
        <v>14</v>
      </c>
      <c r="C20" s="79"/>
      <c r="D20" s="80"/>
      <c r="E20" s="46" t="str">
        <f t="shared" si="0"/>
        <v/>
      </c>
      <c r="F20" s="13"/>
      <c r="G20" s="12">
        <v>14</v>
      </c>
      <c r="H20" s="79"/>
      <c r="I20" s="80"/>
      <c r="J20" s="46" t="str">
        <f t="shared" si="1"/>
        <v/>
      </c>
      <c r="K20" s="13"/>
      <c r="L20" s="67" t="s">
        <v>56</v>
      </c>
      <c r="M20" s="67"/>
      <c r="N20" s="67"/>
      <c r="O20" s="67"/>
      <c r="P20" s="67"/>
      <c r="Q20" s="67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ht="15" customHeight="1" thickBot="1" x14ac:dyDescent="0.3">
      <c r="A21" s="13"/>
      <c r="B21" s="14">
        <v>15</v>
      </c>
      <c r="C21" s="81"/>
      <c r="D21" s="82"/>
      <c r="E21" s="47" t="str">
        <f t="shared" si="0"/>
        <v/>
      </c>
      <c r="F21" s="13"/>
      <c r="G21" s="14">
        <v>15</v>
      </c>
      <c r="H21" s="81"/>
      <c r="I21" s="82"/>
      <c r="J21" s="47" t="str">
        <f t="shared" si="1"/>
        <v/>
      </c>
      <c r="K21" s="13"/>
      <c r="L21" s="67"/>
      <c r="M21" s="67"/>
      <c r="N21" s="67"/>
      <c r="O21" s="67"/>
      <c r="P21" s="67"/>
      <c r="Q21" s="67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ht="14.25" customHeight="1" thickBot="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67" t="s">
        <v>64</v>
      </c>
      <c r="M22" s="67"/>
      <c r="N22" s="67"/>
      <c r="O22" s="67"/>
      <c r="P22" s="67"/>
      <c r="Q22" s="67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6.5" thickBot="1" x14ac:dyDescent="0.3">
      <c r="A23" s="13"/>
      <c r="B23" s="9" t="s">
        <v>13</v>
      </c>
      <c r="C23" s="6"/>
      <c r="D23" s="5"/>
      <c r="E23" s="7"/>
      <c r="F23" s="13"/>
      <c r="G23" s="9" t="s">
        <v>14</v>
      </c>
      <c r="H23" s="5"/>
      <c r="I23" s="5"/>
      <c r="J23" s="7"/>
      <c r="K23" s="13"/>
      <c r="L23" s="67" t="s">
        <v>65</v>
      </c>
      <c r="M23" s="67"/>
      <c r="N23" s="67"/>
      <c r="O23" s="67"/>
      <c r="P23" s="67"/>
      <c r="Q23" s="67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4" ht="16.5" thickBot="1" x14ac:dyDescent="0.3">
      <c r="A24" s="13"/>
      <c r="B24" s="4"/>
      <c r="C24" s="6"/>
      <c r="D24" s="5" t="s">
        <v>4</v>
      </c>
      <c r="E24" s="8" t="s">
        <v>5</v>
      </c>
      <c r="F24" s="13"/>
      <c r="G24" s="25" t="s">
        <v>15</v>
      </c>
      <c r="H24" s="13"/>
      <c r="I24" s="13"/>
      <c r="J24" s="26">
        <f>D27^2</f>
        <v>8.4323444181024453E-5</v>
      </c>
      <c r="K24" s="13"/>
      <c r="L24" s="68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8"/>
    </row>
    <row r="25" spans="1:34" x14ac:dyDescent="0.25">
      <c r="A25" s="13"/>
      <c r="B25" s="18" t="s">
        <v>9</v>
      </c>
      <c r="C25" s="19"/>
      <c r="D25" s="36">
        <f>AVERAGE(E7:E21)</f>
        <v>1.0348590601165673</v>
      </c>
      <c r="E25" s="37">
        <f>AVERAGE(J7:J21)</f>
        <v>0.98286443469530704</v>
      </c>
      <c r="F25" s="13"/>
      <c r="G25" s="25" t="s">
        <v>16</v>
      </c>
      <c r="H25" s="13"/>
      <c r="I25" s="13"/>
      <c r="J25" s="27">
        <f>E27^2</f>
        <v>8.0413448380130365E-5</v>
      </c>
      <c r="K25" s="13"/>
      <c r="L25" s="67" t="s">
        <v>2</v>
      </c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8"/>
    </row>
    <row r="26" spans="1:34" x14ac:dyDescent="0.25">
      <c r="A26" s="13"/>
      <c r="B26" s="20" t="s">
        <v>10</v>
      </c>
      <c r="C26" s="13"/>
      <c r="D26" s="10">
        <f>COUNT(E7:E21)</f>
        <v>7</v>
      </c>
      <c r="E26" s="2">
        <f>COUNT(J7:J21)</f>
        <v>3</v>
      </c>
      <c r="F26" s="13"/>
      <c r="G26" s="25" t="s">
        <v>17</v>
      </c>
      <c r="H26" s="13"/>
      <c r="I26" s="13"/>
      <c r="J26" s="27">
        <f>J25/J24</f>
        <v>0.95363097607232261</v>
      </c>
      <c r="K26" s="13"/>
      <c r="L26" s="67" t="s">
        <v>62</v>
      </c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8"/>
    </row>
    <row r="27" spans="1:34" x14ac:dyDescent="0.25">
      <c r="A27" s="13"/>
      <c r="B27" s="20" t="s">
        <v>11</v>
      </c>
      <c r="C27" s="13"/>
      <c r="D27" s="16">
        <f>STDEV(E7:E21)</f>
        <v>9.1827797632865211E-3</v>
      </c>
      <c r="E27" s="17">
        <f>STDEV(J7:J21)</f>
        <v>8.9673545920817901E-3</v>
      </c>
      <c r="F27" s="13"/>
      <c r="G27" s="25" t="s">
        <v>18</v>
      </c>
      <c r="H27" s="13"/>
      <c r="I27" s="13"/>
      <c r="J27" s="27">
        <f>FINV(0.975,E26-1,D26-1)</f>
        <v>2.5424941047334615E-2</v>
      </c>
      <c r="K27" s="13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8"/>
    </row>
    <row r="28" spans="1:34" ht="15.75" thickBot="1" x14ac:dyDescent="0.3">
      <c r="A28" s="13"/>
      <c r="B28" s="20" t="s">
        <v>24</v>
      </c>
      <c r="C28" s="13"/>
      <c r="D28" s="33">
        <f>D27^2</f>
        <v>8.4323444181024453E-5</v>
      </c>
      <c r="E28" s="34">
        <f>E27^2</f>
        <v>8.0413448380130365E-5</v>
      </c>
      <c r="F28" s="13"/>
      <c r="G28" s="25" t="s">
        <v>19</v>
      </c>
      <c r="H28" s="13"/>
      <c r="I28" s="13"/>
      <c r="J28" s="27">
        <f>FINV(0.025,E26-1,D26-1)</f>
        <v>7.2598556800601788</v>
      </c>
      <c r="K28" s="13"/>
      <c r="L28" s="67" t="s">
        <v>60</v>
      </c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8"/>
    </row>
    <row r="29" spans="1:34" ht="16.5" customHeight="1" thickBot="1" x14ac:dyDescent="0.35">
      <c r="A29" s="13"/>
      <c r="B29" s="21" t="s">
        <v>12</v>
      </c>
      <c r="C29" s="15"/>
      <c r="D29" s="35">
        <f>D25-E25</f>
        <v>5.199462542126021E-2</v>
      </c>
      <c r="E29" s="3"/>
      <c r="F29" s="13"/>
      <c r="G29" s="28" t="s">
        <v>20</v>
      </c>
      <c r="H29" s="15"/>
      <c r="I29" s="15"/>
      <c r="J29" s="44" t="str">
        <f>IF(J26&lt;J28,IF(J26&gt;J27,"yes","no"),"no")</f>
        <v>yes</v>
      </c>
      <c r="K29" s="13" t="s">
        <v>46</v>
      </c>
      <c r="L29" s="69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8"/>
    </row>
    <row r="30" spans="1:34" ht="12" customHeight="1" thickBo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69" t="s">
        <v>57</v>
      </c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spans="1:34" ht="15.75" thickBot="1" x14ac:dyDescent="0.3">
      <c r="A31" s="13"/>
      <c r="B31" s="9" t="s">
        <v>33</v>
      </c>
      <c r="C31" s="5"/>
      <c r="D31" s="5"/>
      <c r="E31" s="7"/>
      <c r="F31" s="13"/>
      <c r="G31" s="9" t="s">
        <v>34</v>
      </c>
      <c r="H31" s="5"/>
      <c r="I31" s="5"/>
      <c r="J31" s="7"/>
      <c r="L31" s="69" t="s">
        <v>1</v>
      </c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x14ac:dyDescent="0.25">
      <c r="A32" s="13"/>
      <c r="B32" s="20" t="s">
        <v>27</v>
      </c>
      <c r="C32" s="13"/>
      <c r="D32" s="13"/>
      <c r="E32" s="26">
        <f>SQRT(((D26-1)*D27^2+(E26-1)*E27^2)/(D26+E26-2))</f>
        <v>9.1294000476921221E-3</v>
      </c>
      <c r="F32" s="13"/>
      <c r="G32" s="18" t="s">
        <v>23</v>
      </c>
      <c r="H32" s="19"/>
      <c r="I32" s="19"/>
      <c r="J32" s="22">
        <f>(D28/D26+E28/E26)^2/(((D28/D26)^2)/(D26-1)+((E28/E26)^2)/(E26-1))</f>
        <v>3.9365579836739846</v>
      </c>
      <c r="K32" s="13"/>
      <c r="L32" s="69" t="s">
        <v>58</v>
      </c>
      <c r="M32" s="68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 spans="1:34" x14ac:dyDescent="0.25">
      <c r="A33" s="13"/>
      <c r="B33" s="20" t="s">
        <v>21</v>
      </c>
      <c r="C33" s="13"/>
      <c r="D33" s="13"/>
      <c r="E33" s="23">
        <f>TINV(0.05,(D26+E26-2))</f>
        <v>2.3060041352041671</v>
      </c>
      <c r="F33" s="13"/>
      <c r="G33" s="20" t="s">
        <v>21</v>
      </c>
      <c r="H33" s="13"/>
      <c r="I33" s="13"/>
      <c r="J33" s="23">
        <f>SQRT(-BETAINV(0.05,J$32/2,0.5)*J$32*(BETAINV(0.05,J$32/2,0.5)-1))/BETAINV(0.05,J$32/2,0.5)</f>
        <v>2.794181186345535</v>
      </c>
      <c r="K33" s="13"/>
      <c r="L33" s="69" t="s">
        <v>61</v>
      </c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 spans="1:34" ht="15.75" thickBot="1" x14ac:dyDescent="0.3">
      <c r="A34" s="13"/>
      <c r="B34" s="20" t="s">
        <v>29</v>
      </c>
      <c r="C34" s="13"/>
      <c r="D34" s="13"/>
      <c r="E34" s="23">
        <f>D29/(E32*SQRT(1/D26+1/E26))</f>
        <v>8.253266390127747</v>
      </c>
      <c r="F34" s="13"/>
      <c r="G34" s="20" t="s">
        <v>29</v>
      </c>
      <c r="H34" s="13"/>
      <c r="I34" s="13"/>
      <c r="J34" s="23">
        <f>D29/SQRT(D28/D26+E28/E26)</f>
        <v>8.3417868901796588</v>
      </c>
      <c r="K34" s="13"/>
      <c r="L34" s="70" t="s">
        <v>59</v>
      </c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ht="19.5" thickBot="1" x14ac:dyDescent="0.35">
      <c r="A35" s="13"/>
      <c r="B35" s="20" t="s">
        <v>32</v>
      </c>
      <c r="C35" s="13"/>
      <c r="D35" s="13"/>
      <c r="E35" s="44" t="str">
        <f>IF(E34&gt;E33,"yes","no")</f>
        <v>yes</v>
      </c>
      <c r="F35" s="13"/>
      <c r="G35" s="20" t="s">
        <v>32</v>
      </c>
      <c r="H35" s="13"/>
      <c r="I35" s="13"/>
      <c r="J35" s="44" t="str">
        <f>IF(J34&gt;J33,"yes","no")</f>
        <v>yes</v>
      </c>
      <c r="K35" s="13"/>
      <c r="L35" s="70" t="s">
        <v>0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 spans="1:34" ht="15.75" thickBot="1" x14ac:dyDescent="0.3">
      <c r="A36" s="13"/>
      <c r="B36" s="21" t="s">
        <v>22</v>
      </c>
      <c r="C36" s="15"/>
      <c r="D36" s="15"/>
      <c r="E36" s="24">
        <f>TDIST(E34,(D26+E26-2),2)</f>
        <v>3.4868467786877145E-5</v>
      </c>
      <c r="F36" s="13"/>
      <c r="G36" s="21" t="s">
        <v>22</v>
      </c>
      <c r="H36" s="15"/>
      <c r="I36" s="15"/>
      <c r="J36" s="24">
        <f>BETADIST(J32/(J32+(J34^2)),J32/2,0.5)</f>
        <v>1.2097118025924392E-3</v>
      </c>
      <c r="K36" s="13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 spans="1:34" x14ac:dyDescent="0.25">
      <c r="A37" s="13"/>
      <c r="B37" s="38" t="s">
        <v>35</v>
      </c>
      <c r="C37" s="19"/>
      <c r="D37" s="19"/>
      <c r="E37" s="39">
        <f>D29-E33*E32*SQRT(1/D26+1/E26)</f>
        <v>3.7467065596796342E-2</v>
      </c>
      <c r="G37" s="38" t="s">
        <v>37</v>
      </c>
      <c r="H37" s="19"/>
      <c r="I37" s="19"/>
      <c r="J37" s="39">
        <f>D29-J33*(SQRT(D28/D26+E28/E26))</f>
        <v>3.4578404405808255E-2</v>
      </c>
      <c r="K37" s="13"/>
      <c r="L37" s="70" t="s">
        <v>63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ht="15.75" thickBot="1" x14ac:dyDescent="0.3">
      <c r="A38" s="13"/>
      <c r="B38" s="28" t="s">
        <v>36</v>
      </c>
      <c r="C38" s="15"/>
      <c r="D38" s="15"/>
      <c r="E38" s="40">
        <f>D29+E33*E32*SQRT(1/D26+1/E26)</f>
        <v>6.6522185245724078E-2</v>
      </c>
      <c r="F38" s="13"/>
      <c r="G38" s="28" t="s">
        <v>38</v>
      </c>
      <c r="H38" s="15"/>
      <c r="I38" s="15"/>
      <c r="J38" s="40">
        <f>D29+J33*(SQRT(D28/D26+E28/E26))</f>
        <v>6.9410846436712165E-2</v>
      </c>
      <c r="K38" s="13"/>
      <c r="L38" s="70" t="s">
        <v>66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 spans="1:34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70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 spans="1:34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72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 spans="1:34" x14ac:dyDescent="0.25">
      <c r="A41" s="13"/>
      <c r="B41" s="13"/>
      <c r="D41" s="13"/>
      <c r="E41" s="13"/>
      <c r="F41" s="13"/>
      <c r="G41" s="13"/>
      <c r="H41" s="13"/>
      <c r="I41" s="13"/>
      <c r="J41" s="13"/>
      <c r="K41" s="13"/>
      <c r="L41" s="72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 spans="1:34" x14ac:dyDescent="0.25">
      <c r="A42" s="13"/>
      <c r="B42" s="13"/>
      <c r="D42" s="13"/>
      <c r="E42" s="13"/>
      <c r="F42" s="13"/>
      <c r="G42" s="13"/>
      <c r="H42" s="13"/>
      <c r="I42" s="13"/>
      <c r="J42" s="13"/>
      <c r="K42" s="13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 spans="1:34" x14ac:dyDescent="0.25">
      <c r="A43" s="13"/>
      <c r="B43" s="43"/>
      <c r="C43" s="41" t="s">
        <v>3</v>
      </c>
      <c r="D43" s="31">
        <f>IF(J29="yes",E33,J33)</f>
        <v>2.3060041352041671</v>
      </c>
      <c r="E43" s="13"/>
      <c r="F43" s="13"/>
      <c r="G43" s="13"/>
      <c r="H43" s="13"/>
      <c r="I43" s="13"/>
      <c r="J43" s="13"/>
      <c r="K43" s="13"/>
      <c r="M43" s="67"/>
      <c r="N43" s="68"/>
      <c r="O43" s="68"/>
      <c r="P43" s="68"/>
      <c r="Q43" s="68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x14ac:dyDescent="0.25">
      <c r="A44" s="13"/>
      <c r="B44" s="42"/>
      <c r="C44" s="30" t="s">
        <v>26</v>
      </c>
      <c r="D44" s="32">
        <f>IF(J29="yes",E32*SQRT(1/D26+1/E26),(SQRT(D28/D26+E28/E26)))</f>
        <v>6.2998845503707797E-3</v>
      </c>
      <c r="E44" s="13"/>
      <c r="F44" s="13"/>
      <c r="G44" s="13"/>
      <c r="H44" s="13"/>
      <c r="I44" s="13"/>
      <c r="J44" s="13"/>
      <c r="K44" s="13"/>
      <c r="M44" s="67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</row>
    <row r="45" spans="1:34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</row>
    <row r="46" spans="1:34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</row>
    <row r="47" spans="1:34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</row>
    <row r="48" spans="1:34" x14ac:dyDescent="0.25"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</row>
    <row r="49" spans="18:34" x14ac:dyDescent="0.25"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</row>
  </sheetData>
  <sheetProtection password="F4E0" sheet="1"/>
  <mergeCells count="5">
    <mergeCell ref="B4:E4"/>
    <mergeCell ref="G4:J4"/>
    <mergeCell ref="C5:D5"/>
    <mergeCell ref="H5:I5"/>
    <mergeCell ref="N5:O5"/>
  </mergeCells>
  <dataValidations count="1">
    <dataValidation type="list" allowBlank="1" showInputMessage="1" showErrorMessage="1" sqref="F7:F11" xr:uid="{00000000-0002-0000-0300-000000000000}">
      <formula1>"Y, N"</formula1>
    </dataValidation>
  </dataValidations>
  <pageMargins left="0.7" right="0.7" top="0.75" bottom="0.75" header="0.3" footer="0.3"/>
  <pageSetup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9"/>
  <sheetViews>
    <sheetView zoomScale="84" zoomScaleNormal="84" workbookViewId="0">
      <selection activeCell="J7" sqref="J7:J9"/>
    </sheetView>
  </sheetViews>
  <sheetFormatPr defaultColWidth="8.85546875" defaultRowHeight="15" x14ac:dyDescent="0.25"/>
  <cols>
    <col min="1" max="1" width="2.28515625" customWidth="1"/>
    <col min="3" max="3" width="13" customWidth="1"/>
    <col min="4" max="5" width="10.28515625" customWidth="1"/>
    <col min="6" max="6" width="7.42578125" customWidth="1"/>
    <col min="11" max="11" width="6.28515625" customWidth="1"/>
    <col min="12" max="12" width="17" customWidth="1"/>
    <col min="13" max="13" width="11.28515625" customWidth="1"/>
    <col min="14" max="14" width="10.28515625" customWidth="1"/>
    <col min="15" max="15" width="8.5703125" customWidth="1"/>
  </cols>
  <sheetData>
    <row r="1" spans="1:34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34" ht="18.75" x14ac:dyDescent="0.3">
      <c r="A2" s="13"/>
      <c r="B2" s="29" t="s">
        <v>28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ht="15.75" thickBo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ht="15.75" thickBot="1" x14ac:dyDescent="0.3">
      <c r="A4" s="13"/>
      <c r="B4" s="96" t="s">
        <v>47</v>
      </c>
      <c r="C4" s="97"/>
      <c r="D4" s="97"/>
      <c r="E4" s="98"/>
      <c r="F4" s="1"/>
      <c r="G4" s="99" t="s">
        <v>48</v>
      </c>
      <c r="H4" s="100"/>
      <c r="I4" s="100"/>
      <c r="J4" s="101"/>
      <c r="K4" s="13"/>
      <c r="L4" s="53" t="s">
        <v>40</v>
      </c>
      <c r="M4" s="54"/>
      <c r="N4" s="55"/>
      <c r="O4" s="56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ht="15.75" thickBot="1" x14ac:dyDescent="0.3">
      <c r="A5" s="13"/>
      <c r="B5" s="48"/>
      <c r="C5" s="102" t="s">
        <v>6</v>
      </c>
      <c r="D5" s="102"/>
      <c r="E5" s="49"/>
      <c r="F5" s="1"/>
      <c r="G5" s="50"/>
      <c r="H5" s="102" t="s">
        <v>6</v>
      </c>
      <c r="I5" s="102"/>
      <c r="J5" s="49"/>
      <c r="K5" s="13"/>
      <c r="L5" s="57"/>
      <c r="M5" s="58" t="s">
        <v>25</v>
      </c>
      <c r="N5" s="103" t="s">
        <v>51</v>
      </c>
      <c r="O5" s="104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9.5" thickBot="1" x14ac:dyDescent="0.35">
      <c r="A6" s="13"/>
      <c r="B6" s="48" t="s">
        <v>7</v>
      </c>
      <c r="C6" s="52" t="s">
        <v>5</v>
      </c>
      <c r="D6" s="52" t="s">
        <v>49</v>
      </c>
      <c r="E6" s="49" t="s">
        <v>8</v>
      </c>
      <c r="F6" s="1"/>
      <c r="G6" s="48" t="s">
        <v>7</v>
      </c>
      <c r="H6" s="52" t="s">
        <v>5</v>
      </c>
      <c r="I6" s="52" t="s">
        <v>50</v>
      </c>
      <c r="J6" s="49" t="s">
        <v>8</v>
      </c>
      <c r="K6" s="13"/>
      <c r="L6" s="59" t="s">
        <v>30</v>
      </c>
      <c r="M6" s="60">
        <f>D29/(D25)</f>
        <v>0.11772937521432071</v>
      </c>
      <c r="N6" s="61" t="s">
        <v>52</v>
      </c>
      <c r="O6" s="62">
        <f>D43*D44/D25</f>
        <v>1.3364406528721669E-2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19.5" thickBot="1" x14ac:dyDescent="0.35">
      <c r="A7" s="13"/>
      <c r="B7" s="11">
        <v>1</v>
      </c>
      <c r="C7" s="73">
        <v>21.96</v>
      </c>
      <c r="D7" s="74">
        <v>21.58</v>
      </c>
      <c r="E7" s="45">
        <f t="shared" ref="E7:E21" si="0">IF(OR(D7="",C7=""),"",C7/D7)</f>
        <v>1.0176088971269694</v>
      </c>
      <c r="F7" s="1"/>
      <c r="G7" s="11">
        <v>1</v>
      </c>
      <c r="H7" s="73">
        <v>18.84</v>
      </c>
      <c r="I7" s="74">
        <v>20.92</v>
      </c>
      <c r="J7" s="45">
        <f t="shared" ref="J7:J21" si="1">IF(OR(I7="",H7=""),"",H7/I7)</f>
        <v>0.90057361376673029</v>
      </c>
      <c r="K7" s="13"/>
      <c r="L7" s="63" t="s">
        <v>31</v>
      </c>
      <c r="M7" s="64">
        <f>D29/(E25)</f>
        <v>0.13343907402892335</v>
      </c>
      <c r="N7" s="65" t="s">
        <v>52</v>
      </c>
      <c r="O7" s="66">
        <f>D43*D44/E25</f>
        <v>1.5147740560860386E-2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 x14ac:dyDescent="0.25">
      <c r="A8" s="13"/>
      <c r="B8" s="12">
        <v>2</v>
      </c>
      <c r="C8" s="75">
        <v>21.46</v>
      </c>
      <c r="D8" s="76">
        <v>21.5</v>
      </c>
      <c r="E8" s="46">
        <f t="shared" si="0"/>
        <v>0.99813953488372098</v>
      </c>
      <c r="F8" s="1"/>
      <c r="G8" s="12">
        <v>2</v>
      </c>
      <c r="H8" s="75">
        <v>18.66</v>
      </c>
      <c r="I8" s="76">
        <v>21.2</v>
      </c>
      <c r="J8" s="46">
        <f t="shared" si="1"/>
        <v>0.8801886792452831</v>
      </c>
      <c r="K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4" x14ac:dyDescent="0.25">
      <c r="A9" s="13"/>
      <c r="B9" s="12">
        <v>3</v>
      </c>
      <c r="C9" s="75">
        <v>20.76</v>
      </c>
      <c r="D9" s="76">
        <v>20.54</v>
      </c>
      <c r="E9" s="46">
        <f t="shared" si="0"/>
        <v>1.0107108081791627</v>
      </c>
      <c r="F9" s="1"/>
      <c r="G9" s="12">
        <v>3</v>
      </c>
      <c r="H9" s="75">
        <v>18.559999999999999</v>
      </c>
      <c r="I9" s="76">
        <v>20.78</v>
      </c>
      <c r="J9" s="46">
        <f t="shared" si="1"/>
        <v>0.89316650625601524</v>
      </c>
      <c r="K9" s="13"/>
      <c r="L9" s="51" t="s">
        <v>41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x14ac:dyDescent="0.25">
      <c r="A10" s="13"/>
      <c r="B10" s="12">
        <v>4</v>
      </c>
      <c r="C10" s="77">
        <v>20.86</v>
      </c>
      <c r="D10" s="78">
        <v>20.52</v>
      </c>
      <c r="E10" s="46">
        <f t="shared" si="0"/>
        <v>1.0165692007797271</v>
      </c>
      <c r="F10" s="1"/>
      <c r="G10" s="12">
        <v>4</v>
      </c>
      <c r="H10" s="77"/>
      <c r="I10" s="78"/>
      <c r="J10" s="46" t="str">
        <f t="shared" si="1"/>
        <v/>
      </c>
      <c r="K10" s="13"/>
      <c r="L10" s="13" t="s">
        <v>42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x14ac:dyDescent="0.25">
      <c r="A11" s="13"/>
      <c r="B11" s="12">
        <v>5</v>
      </c>
      <c r="C11" s="77">
        <v>20.68</v>
      </c>
      <c r="D11" s="78">
        <v>20.5</v>
      </c>
      <c r="E11" s="46">
        <f t="shared" si="0"/>
        <v>1.0087804878048781</v>
      </c>
      <c r="F11" s="1"/>
      <c r="G11" s="12">
        <v>5</v>
      </c>
      <c r="H11" s="77"/>
      <c r="I11" s="78"/>
      <c r="J11" s="46" t="str">
        <f t="shared" si="1"/>
        <v/>
      </c>
      <c r="K11" s="13"/>
      <c r="L11" s="13" t="s">
        <v>43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x14ac:dyDescent="0.25">
      <c r="A12" s="13"/>
      <c r="B12" s="12">
        <v>6</v>
      </c>
      <c r="C12" s="79">
        <v>20.9</v>
      </c>
      <c r="D12" s="80">
        <v>20.7</v>
      </c>
      <c r="E12" s="46">
        <f t="shared" si="0"/>
        <v>1.0096618357487923</v>
      </c>
      <c r="F12" s="13"/>
      <c r="G12" s="12">
        <v>6</v>
      </c>
      <c r="H12" s="79"/>
      <c r="I12" s="80"/>
      <c r="J12" s="46" t="str">
        <f t="shared" si="1"/>
        <v/>
      </c>
      <c r="K12" s="13"/>
      <c r="L12" s="13" t="s">
        <v>45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x14ac:dyDescent="0.25">
      <c r="A13" s="13"/>
      <c r="B13" s="12">
        <v>7</v>
      </c>
      <c r="C13" s="79"/>
      <c r="D13" s="80"/>
      <c r="E13" s="46" t="str">
        <f t="shared" si="0"/>
        <v/>
      </c>
      <c r="F13" s="13"/>
      <c r="G13" s="12">
        <v>7</v>
      </c>
      <c r="H13" s="79"/>
      <c r="I13" s="80"/>
      <c r="J13" s="46" t="str">
        <f t="shared" si="1"/>
        <v/>
      </c>
      <c r="K13" s="13"/>
      <c r="L13" s="13" t="s">
        <v>44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 x14ac:dyDescent="0.25">
      <c r="A14" s="13"/>
      <c r="B14" s="12">
        <v>8</v>
      </c>
      <c r="C14" s="79"/>
      <c r="D14" s="80"/>
      <c r="E14" s="46" t="str">
        <f t="shared" si="0"/>
        <v/>
      </c>
      <c r="F14" s="13"/>
      <c r="G14" s="12">
        <v>8</v>
      </c>
      <c r="H14" s="79"/>
      <c r="I14" s="80"/>
      <c r="J14" s="46" t="str">
        <f t="shared" si="1"/>
        <v/>
      </c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x14ac:dyDescent="0.25">
      <c r="A15" s="13"/>
      <c r="B15" s="12">
        <v>9</v>
      </c>
      <c r="C15" s="79"/>
      <c r="D15" s="80"/>
      <c r="E15" s="46" t="str">
        <f t="shared" si="0"/>
        <v/>
      </c>
      <c r="F15" s="13"/>
      <c r="G15" s="12">
        <v>9</v>
      </c>
      <c r="H15" s="79"/>
      <c r="I15" s="80"/>
      <c r="J15" s="46" t="str">
        <f t="shared" si="1"/>
        <v/>
      </c>
      <c r="K15" s="13"/>
      <c r="L15" s="51" t="s">
        <v>39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x14ac:dyDescent="0.25">
      <c r="A16" s="13"/>
      <c r="B16" s="12">
        <v>10</v>
      </c>
      <c r="C16" s="79"/>
      <c r="D16" s="80"/>
      <c r="E16" s="46" t="str">
        <f t="shared" si="0"/>
        <v/>
      </c>
      <c r="F16" s="13"/>
      <c r="G16" s="12">
        <v>10</v>
      </c>
      <c r="H16" s="79"/>
      <c r="I16" s="80"/>
      <c r="J16" s="46" t="str">
        <f t="shared" si="1"/>
        <v/>
      </c>
      <c r="K16" s="13"/>
      <c r="L16" s="67" t="s">
        <v>53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4" x14ac:dyDescent="0.25">
      <c r="A17" s="13"/>
      <c r="B17" s="12">
        <v>11</v>
      </c>
      <c r="C17" s="79"/>
      <c r="D17" s="80"/>
      <c r="E17" s="46" t="str">
        <f t="shared" si="0"/>
        <v/>
      </c>
      <c r="F17" s="13"/>
      <c r="G17" s="12">
        <v>11</v>
      </c>
      <c r="H17" s="79"/>
      <c r="I17" s="80"/>
      <c r="J17" s="46" t="str">
        <f t="shared" si="1"/>
        <v/>
      </c>
      <c r="K17" s="13"/>
      <c r="L17" s="67" t="s">
        <v>54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x14ac:dyDescent="0.25">
      <c r="A18" s="13"/>
      <c r="B18" s="12">
        <v>12</v>
      </c>
      <c r="C18" s="79"/>
      <c r="D18" s="80"/>
      <c r="E18" s="46" t="str">
        <f t="shared" si="0"/>
        <v/>
      </c>
      <c r="F18" s="13"/>
      <c r="G18" s="12">
        <v>12</v>
      </c>
      <c r="H18" s="79"/>
      <c r="I18" s="80"/>
      <c r="J18" s="46" t="str">
        <f t="shared" si="1"/>
        <v/>
      </c>
      <c r="K18" s="13"/>
      <c r="L18" s="67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x14ac:dyDescent="0.25">
      <c r="A19" s="13"/>
      <c r="B19" s="12">
        <v>13</v>
      </c>
      <c r="C19" s="79"/>
      <c r="D19" s="80"/>
      <c r="E19" s="46" t="str">
        <f t="shared" si="0"/>
        <v/>
      </c>
      <c r="F19" s="13"/>
      <c r="G19" s="12">
        <v>13</v>
      </c>
      <c r="H19" s="79"/>
      <c r="I19" s="80"/>
      <c r="J19" s="46" t="str">
        <f t="shared" si="1"/>
        <v/>
      </c>
      <c r="K19" s="13"/>
      <c r="L19" s="67" t="s">
        <v>55</v>
      </c>
      <c r="M19" s="67"/>
      <c r="N19" s="67"/>
      <c r="O19" s="67"/>
      <c r="P19" s="67"/>
      <c r="Q19" s="67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1:34" x14ac:dyDescent="0.25">
      <c r="A20" s="13"/>
      <c r="B20" s="12">
        <v>14</v>
      </c>
      <c r="C20" s="79"/>
      <c r="D20" s="80"/>
      <c r="E20" s="46" t="str">
        <f t="shared" si="0"/>
        <v/>
      </c>
      <c r="F20" s="13"/>
      <c r="G20" s="12">
        <v>14</v>
      </c>
      <c r="H20" s="79"/>
      <c r="I20" s="80"/>
      <c r="J20" s="46" t="str">
        <f t="shared" si="1"/>
        <v/>
      </c>
      <c r="K20" s="13"/>
      <c r="L20" s="67" t="s">
        <v>56</v>
      </c>
      <c r="M20" s="67"/>
      <c r="N20" s="67"/>
      <c r="O20" s="67"/>
      <c r="P20" s="67"/>
      <c r="Q20" s="67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ht="15" customHeight="1" thickBot="1" x14ac:dyDescent="0.3">
      <c r="A21" s="13"/>
      <c r="B21" s="14">
        <v>15</v>
      </c>
      <c r="C21" s="81"/>
      <c r="D21" s="82"/>
      <c r="E21" s="47" t="str">
        <f t="shared" si="0"/>
        <v/>
      </c>
      <c r="F21" s="13"/>
      <c r="G21" s="14">
        <v>15</v>
      </c>
      <c r="H21" s="81"/>
      <c r="I21" s="82"/>
      <c r="J21" s="47" t="str">
        <f t="shared" si="1"/>
        <v/>
      </c>
      <c r="K21" s="13"/>
      <c r="L21" s="67"/>
      <c r="M21" s="67"/>
      <c r="N21" s="67"/>
      <c r="O21" s="67"/>
      <c r="P21" s="67"/>
      <c r="Q21" s="67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ht="14.25" customHeight="1" thickBot="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67" t="s">
        <v>64</v>
      </c>
      <c r="M22" s="67"/>
      <c r="N22" s="67"/>
      <c r="O22" s="67"/>
      <c r="P22" s="67"/>
      <c r="Q22" s="67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6.5" thickBot="1" x14ac:dyDescent="0.3">
      <c r="A23" s="13"/>
      <c r="B23" s="9" t="s">
        <v>13</v>
      </c>
      <c r="C23" s="6"/>
      <c r="D23" s="5"/>
      <c r="E23" s="7"/>
      <c r="F23" s="13"/>
      <c r="G23" s="9" t="s">
        <v>14</v>
      </c>
      <c r="H23" s="5"/>
      <c r="I23" s="5"/>
      <c r="J23" s="7"/>
      <c r="K23" s="13"/>
      <c r="L23" s="67" t="s">
        <v>65</v>
      </c>
      <c r="M23" s="67"/>
      <c r="N23" s="67"/>
      <c r="O23" s="67"/>
      <c r="P23" s="67"/>
      <c r="Q23" s="67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4" ht="16.5" thickBot="1" x14ac:dyDescent="0.3">
      <c r="A24" s="13"/>
      <c r="B24" s="4"/>
      <c r="C24" s="6"/>
      <c r="D24" s="5" t="s">
        <v>4</v>
      </c>
      <c r="E24" s="8" t="s">
        <v>5</v>
      </c>
      <c r="F24" s="13"/>
      <c r="G24" s="25" t="s">
        <v>15</v>
      </c>
      <c r="H24" s="13"/>
      <c r="I24" s="13"/>
      <c r="J24" s="26">
        <f>D27^2</f>
        <v>4.8693327151248931E-5</v>
      </c>
      <c r="K24" s="13"/>
      <c r="L24" s="68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8"/>
    </row>
    <row r="25" spans="1:34" x14ac:dyDescent="0.25">
      <c r="A25" s="13"/>
      <c r="B25" s="18" t="s">
        <v>9</v>
      </c>
      <c r="C25" s="19"/>
      <c r="D25" s="36">
        <f>AVERAGE(E7:E21)</f>
        <v>1.0102451274205417</v>
      </c>
      <c r="E25" s="37">
        <f>AVERAGE(J7:J21)</f>
        <v>0.89130959975600954</v>
      </c>
      <c r="F25" s="13"/>
      <c r="G25" s="25" t="s">
        <v>16</v>
      </c>
      <c r="H25" s="13"/>
      <c r="I25" s="13"/>
      <c r="J25" s="27">
        <f>E27^2</f>
        <v>1.0647246517324483E-4</v>
      </c>
      <c r="K25" s="13"/>
      <c r="L25" s="67" t="s">
        <v>2</v>
      </c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8"/>
    </row>
    <row r="26" spans="1:34" x14ac:dyDescent="0.25">
      <c r="A26" s="13"/>
      <c r="B26" s="20" t="s">
        <v>10</v>
      </c>
      <c r="C26" s="13"/>
      <c r="D26" s="10">
        <f>COUNT(E7:E21)</f>
        <v>6</v>
      </c>
      <c r="E26" s="2">
        <f>COUNT(J7:J21)</f>
        <v>3</v>
      </c>
      <c r="F26" s="13"/>
      <c r="G26" s="25" t="s">
        <v>17</v>
      </c>
      <c r="H26" s="13"/>
      <c r="I26" s="13"/>
      <c r="J26" s="27">
        <f>J25/J24</f>
        <v>2.1865925251426144</v>
      </c>
      <c r="K26" s="13"/>
      <c r="L26" s="67" t="s">
        <v>62</v>
      </c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8"/>
    </row>
    <row r="27" spans="1:34" x14ac:dyDescent="0.25">
      <c r="A27" s="13"/>
      <c r="B27" s="20" t="s">
        <v>11</v>
      </c>
      <c r="C27" s="13"/>
      <c r="D27" s="16">
        <f>STDEV(E7:E21)</f>
        <v>6.9780604147032816E-3</v>
      </c>
      <c r="E27" s="17">
        <f>STDEV(J7:J21)</f>
        <v>1.0318549567320246E-2</v>
      </c>
      <c r="F27" s="13"/>
      <c r="G27" s="25" t="s">
        <v>18</v>
      </c>
      <c r="H27" s="13"/>
      <c r="I27" s="13"/>
      <c r="J27" s="27">
        <f>FINV(0.975,E26-1,D26-1)</f>
        <v>2.5446440122317643E-2</v>
      </c>
      <c r="K27" s="13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8"/>
    </row>
    <row r="28" spans="1:34" ht="15.75" thickBot="1" x14ac:dyDescent="0.3">
      <c r="A28" s="13"/>
      <c r="B28" s="20" t="s">
        <v>24</v>
      </c>
      <c r="C28" s="13"/>
      <c r="D28" s="33">
        <f>D27^2</f>
        <v>4.8693327151248931E-5</v>
      </c>
      <c r="E28" s="34">
        <f>E27^2</f>
        <v>1.0647246517324483E-4</v>
      </c>
      <c r="F28" s="13"/>
      <c r="G28" s="25" t="s">
        <v>19</v>
      </c>
      <c r="H28" s="13"/>
      <c r="I28" s="13"/>
      <c r="J28" s="27">
        <f>FINV(0.025,E26-1,D26-1)</f>
        <v>8.4336207394327811</v>
      </c>
      <c r="K28" s="13"/>
      <c r="L28" s="67" t="s">
        <v>60</v>
      </c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8"/>
    </row>
    <row r="29" spans="1:34" ht="16.5" customHeight="1" thickBot="1" x14ac:dyDescent="0.35">
      <c r="A29" s="13"/>
      <c r="B29" s="21" t="s">
        <v>12</v>
      </c>
      <c r="C29" s="15"/>
      <c r="D29" s="35">
        <f>D25-E25</f>
        <v>0.11893552766453219</v>
      </c>
      <c r="E29" s="3"/>
      <c r="F29" s="13"/>
      <c r="G29" s="28" t="s">
        <v>20</v>
      </c>
      <c r="H29" s="15"/>
      <c r="I29" s="15"/>
      <c r="J29" s="44" t="str">
        <f>IF(J26&lt;J28,IF(J26&gt;J27,"yes","no"),"no")</f>
        <v>yes</v>
      </c>
      <c r="K29" s="13" t="s">
        <v>46</v>
      </c>
      <c r="L29" s="69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8"/>
    </row>
    <row r="30" spans="1:34" ht="12" customHeight="1" thickBo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69" t="s">
        <v>57</v>
      </c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spans="1:34" ht="15.75" thickBot="1" x14ac:dyDescent="0.3">
      <c r="A31" s="13"/>
      <c r="B31" s="9" t="s">
        <v>33</v>
      </c>
      <c r="C31" s="5"/>
      <c r="D31" s="5"/>
      <c r="E31" s="7"/>
      <c r="F31" s="13"/>
      <c r="G31" s="9" t="s">
        <v>34</v>
      </c>
      <c r="H31" s="5"/>
      <c r="I31" s="5"/>
      <c r="J31" s="7"/>
      <c r="L31" s="69" t="s">
        <v>1</v>
      </c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x14ac:dyDescent="0.25">
      <c r="A32" s="13"/>
      <c r="B32" s="20" t="s">
        <v>27</v>
      </c>
      <c r="C32" s="13"/>
      <c r="D32" s="13"/>
      <c r="E32" s="26">
        <f>SQRT(((D26-1)*D27^2+(E26-1)*E27^2)/(D26+E26-2))</f>
        <v>8.0747540086612314E-3</v>
      </c>
      <c r="F32" s="13"/>
      <c r="G32" s="18" t="s">
        <v>23</v>
      </c>
      <c r="H32" s="19"/>
      <c r="I32" s="19"/>
      <c r="J32" s="22">
        <f>(D28/D26+E28/E26)^2/(((D28/D26)^2)/(D26-1)+((E28/E26)^2)/(E26-1))</f>
        <v>2.9573870400332964</v>
      </c>
      <c r="K32" s="13"/>
      <c r="L32" s="69" t="s">
        <v>58</v>
      </c>
      <c r="M32" s="68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 spans="1:34" x14ac:dyDescent="0.25">
      <c r="A33" s="13"/>
      <c r="B33" s="20" t="s">
        <v>21</v>
      </c>
      <c r="C33" s="13"/>
      <c r="D33" s="13"/>
      <c r="E33" s="23">
        <f>TINV(0.05,(D26+E26-2))</f>
        <v>2.3646242515927849</v>
      </c>
      <c r="F33" s="13"/>
      <c r="G33" s="20" t="s">
        <v>21</v>
      </c>
      <c r="H33" s="13"/>
      <c r="I33" s="13"/>
      <c r="J33" s="23">
        <f>SQRT(-BETAINV(0.05,J$32/2,0.5)*J$32*(BETAINV(0.05,J$32/2,0.5)-1))/BETAINV(0.05,J$32/2,0.5)</f>
        <v>3.2085458529321826</v>
      </c>
      <c r="K33" s="13"/>
      <c r="L33" s="69" t="s">
        <v>61</v>
      </c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 spans="1:34" ht="15.75" thickBot="1" x14ac:dyDescent="0.3">
      <c r="A34" s="13"/>
      <c r="B34" s="20" t="s">
        <v>29</v>
      </c>
      <c r="C34" s="13"/>
      <c r="D34" s="13"/>
      <c r="E34" s="23">
        <f>D29/(E32*SQRT(1/D26+1/E26))</f>
        <v>20.830385184584578</v>
      </c>
      <c r="F34" s="13"/>
      <c r="G34" s="20" t="s">
        <v>29</v>
      </c>
      <c r="H34" s="13"/>
      <c r="I34" s="13"/>
      <c r="J34" s="23">
        <f>D29/SQRT(D28/D26+E28/E26)</f>
        <v>18.010949346779704</v>
      </c>
      <c r="K34" s="13"/>
      <c r="L34" s="70" t="s">
        <v>59</v>
      </c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ht="19.5" thickBot="1" x14ac:dyDescent="0.35">
      <c r="A35" s="13"/>
      <c r="B35" s="20" t="s">
        <v>32</v>
      </c>
      <c r="C35" s="13"/>
      <c r="D35" s="13"/>
      <c r="E35" s="44" t="str">
        <f>IF(E34&gt;E33,"yes","no")</f>
        <v>yes</v>
      </c>
      <c r="F35" s="13"/>
      <c r="G35" s="20" t="s">
        <v>32</v>
      </c>
      <c r="H35" s="13"/>
      <c r="I35" s="13"/>
      <c r="J35" s="44" t="str">
        <f>IF(J34&gt;J33,"yes","no")</f>
        <v>yes</v>
      </c>
      <c r="K35" s="13"/>
      <c r="L35" s="70" t="s">
        <v>0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 spans="1:34" ht="15.75" thickBot="1" x14ac:dyDescent="0.3">
      <c r="A36" s="13"/>
      <c r="B36" s="21" t="s">
        <v>22</v>
      </c>
      <c r="C36" s="15"/>
      <c r="D36" s="15"/>
      <c r="E36" s="24">
        <f>TDIST(E34,(D26+E26-2),2)</f>
        <v>1.4766148144429823E-7</v>
      </c>
      <c r="F36" s="13"/>
      <c r="G36" s="21" t="s">
        <v>22</v>
      </c>
      <c r="H36" s="15"/>
      <c r="I36" s="15"/>
      <c r="J36" s="24">
        <f>BETADIST(J32/(J32+(J34^2)),J32/2,0.5)</f>
        <v>4.0641159355869592E-4</v>
      </c>
      <c r="K36" s="13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 spans="1:34" x14ac:dyDescent="0.25">
      <c r="A37" s="13"/>
      <c r="B37" s="38" t="s">
        <v>35</v>
      </c>
      <c r="C37" s="19"/>
      <c r="D37" s="19"/>
      <c r="E37" s="39">
        <f>D29-E33*E32*SQRT(1/D26+1/E26)</f>
        <v>0.10543420108802384</v>
      </c>
      <c r="G37" s="38" t="s">
        <v>37</v>
      </c>
      <c r="H37" s="19"/>
      <c r="I37" s="19"/>
      <c r="J37" s="39">
        <f>D29-J33*(SQRT(D28/D26+E28/E26))</f>
        <v>9.7747855282200702E-2</v>
      </c>
      <c r="K37" s="13"/>
      <c r="L37" s="70" t="s">
        <v>63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ht="15.75" thickBot="1" x14ac:dyDescent="0.3">
      <c r="A38" s="13"/>
      <c r="B38" s="28" t="s">
        <v>36</v>
      </c>
      <c r="C38" s="15"/>
      <c r="D38" s="15"/>
      <c r="E38" s="40">
        <f>D29+E33*E32*SQRT(1/D26+1/E26)</f>
        <v>0.13243685424104054</v>
      </c>
      <c r="F38" s="13"/>
      <c r="G38" s="28" t="s">
        <v>38</v>
      </c>
      <c r="H38" s="15"/>
      <c r="I38" s="15"/>
      <c r="J38" s="40">
        <f>D29+J33*(SQRT(D28/D26+E28/E26))</f>
        <v>0.14012320004686368</v>
      </c>
      <c r="K38" s="13"/>
      <c r="L38" s="70" t="s">
        <v>66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 spans="1:34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70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 spans="1:34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72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 spans="1:34" x14ac:dyDescent="0.25">
      <c r="A41" s="13"/>
      <c r="B41" s="13"/>
      <c r="D41" s="13"/>
      <c r="E41" s="13"/>
      <c r="F41" s="13"/>
      <c r="G41" s="13"/>
      <c r="H41" s="13"/>
      <c r="I41" s="13"/>
      <c r="J41" s="13"/>
      <c r="K41" s="13"/>
      <c r="L41" s="72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 spans="1:34" x14ac:dyDescent="0.25">
      <c r="A42" s="13"/>
      <c r="B42" s="13"/>
      <c r="D42" s="13"/>
      <c r="E42" s="13"/>
      <c r="F42" s="13"/>
      <c r="G42" s="13"/>
      <c r="H42" s="13"/>
      <c r="I42" s="13"/>
      <c r="J42" s="13"/>
      <c r="K42" s="13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 spans="1:34" x14ac:dyDescent="0.25">
      <c r="A43" s="13"/>
      <c r="B43" s="43"/>
      <c r="C43" s="41" t="s">
        <v>3</v>
      </c>
      <c r="D43" s="31">
        <f>IF(J29="yes",E33,J33)</f>
        <v>2.3646242515927849</v>
      </c>
      <c r="E43" s="13"/>
      <c r="F43" s="13"/>
      <c r="G43" s="13"/>
      <c r="H43" s="13"/>
      <c r="I43" s="13"/>
      <c r="J43" s="13"/>
      <c r="K43" s="13"/>
      <c r="M43" s="67"/>
      <c r="N43" s="68"/>
      <c r="O43" s="68"/>
      <c r="P43" s="68"/>
      <c r="Q43" s="68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x14ac:dyDescent="0.25">
      <c r="A44" s="13"/>
      <c r="B44" s="42"/>
      <c r="C44" s="30" t="s">
        <v>26</v>
      </c>
      <c r="D44" s="32">
        <f>IF(J29="yes",E32*SQRT(1/D26+1/E26),(SQRT(D28/D26+E28/E26)))</f>
        <v>5.7097133159376154E-3</v>
      </c>
      <c r="E44" s="13"/>
      <c r="F44" s="13"/>
      <c r="G44" s="13"/>
      <c r="H44" s="13"/>
      <c r="I44" s="13"/>
      <c r="J44" s="13"/>
      <c r="K44" s="13"/>
      <c r="M44" s="67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</row>
    <row r="45" spans="1:34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</row>
    <row r="46" spans="1:34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</row>
    <row r="47" spans="1:34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</row>
    <row r="48" spans="1:34" x14ac:dyDescent="0.25"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</row>
    <row r="49" spans="18:34" x14ac:dyDescent="0.25"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</row>
  </sheetData>
  <sheetProtection password="F4E0" sheet="1"/>
  <mergeCells count="5">
    <mergeCell ref="B4:E4"/>
    <mergeCell ref="G4:J4"/>
    <mergeCell ref="C5:D5"/>
    <mergeCell ref="H5:I5"/>
    <mergeCell ref="N5:O5"/>
  </mergeCells>
  <dataValidations count="1">
    <dataValidation type="list" allowBlank="1" showInputMessage="1" showErrorMessage="1" sqref="F7:F11" xr:uid="{00000000-0002-0000-0400-000000000000}">
      <formula1>"Y, N"</formula1>
    </dataValidation>
  </dataValidations>
  <pageMargins left="0.7" right="0.7" top="0.75" bottom="0.75" header="0.3" footer="0.3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49"/>
  <sheetViews>
    <sheetView zoomScale="84" zoomScaleNormal="84" workbookViewId="0">
      <selection activeCell="J7" sqref="J7:J9"/>
    </sheetView>
  </sheetViews>
  <sheetFormatPr defaultColWidth="8.85546875" defaultRowHeight="15" x14ac:dyDescent="0.25"/>
  <cols>
    <col min="1" max="1" width="2.28515625" customWidth="1"/>
    <col min="3" max="3" width="13" customWidth="1"/>
    <col min="4" max="5" width="10.28515625" customWidth="1"/>
    <col min="6" max="6" width="7.42578125" customWidth="1"/>
    <col min="11" max="11" width="6.28515625" customWidth="1"/>
    <col min="12" max="12" width="17" customWidth="1"/>
    <col min="13" max="13" width="11.28515625" customWidth="1"/>
    <col min="14" max="14" width="10.28515625" customWidth="1"/>
    <col min="15" max="15" width="8.5703125" customWidth="1"/>
  </cols>
  <sheetData>
    <row r="1" spans="1:34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34" ht="18.75" x14ac:dyDescent="0.3">
      <c r="A2" s="13"/>
      <c r="B2" s="29" t="s">
        <v>28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ht="15.75" thickBo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ht="15.75" thickBot="1" x14ac:dyDescent="0.3">
      <c r="A4" s="13"/>
      <c r="B4" s="96" t="s">
        <v>47</v>
      </c>
      <c r="C4" s="97"/>
      <c r="D4" s="97"/>
      <c r="E4" s="98"/>
      <c r="F4" s="1"/>
      <c r="G4" s="99" t="s">
        <v>48</v>
      </c>
      <c r="H4" s="100"/>
      <c r="I4" s="100"/>
      <c r="J4" s="101"/>
      <c r="K4" s="13"/>
      <c r="L4" s="53" t="s">
        <v>40</v>
      </c>
      <c r="M4" s="54"/>
      <c r="N4" s="55"/>
      <c r="O4" s="56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ht="15.75" thickBot="1" x14ac:dyDescent="0.3">
      <c r="A5" s="13"/>
      <c r="B5" s="48"/>
      <c r="C5" s="102" t="s">
        <v>6</v>
      </c>
      <c r="D5" s="102"/>
      <c r="E5" s="49"/>
      <c r="F5" s="1"/>
      <c r="G5" s="50"/>
      <c r="H5" s="102" t="s">
        <v>6</v>
      </c>
      <c r="I5" s="102"/>
      <c r="J5" s="49"/>
      <c r="K5" s="13"/>
      <c r="L5" s="57"/>
      <c r="M5" s="58" t="s">
        <v>25</v>
      </c>
      <c r="N5" s="103" t="s">
        <v>51</v>
      </c>
      <c r="O5" s="104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9.5" thickBot="1" x14ac:dyDescent="0.35">
      <c r="A6" s="13"/>
      <c r="B6" s="48" t="s">
        <v>7</v>
      </c>
      <c r="C6" s="52" t="s">
        <v>5</v>
      </c>
      <c r="D6" s="52" t="s">
        <v>49</v>
      </c>
      <c r="E6" s="49" t="s">
        <v>8</v>
      </c>
      <c r="F6" s="1"/>
      <c r="G6" s="48" t="s">
        <v>7</v>
      </c>
      <c r="H6" s="52" t="s">
        <v>5</v>
      </c>
      <c r="I6" s="52" t="s">
        <v>50</v>
      </c>
      <c r="J6" s="49" t="s">
        <v>8</v>
      </c>
      <c r="K6" s="13"/>
      <c r="L6" s="59" t="s">
        <v>30</v>
      </c>
      <c r="M6" s="60">
        <f>D29/(D25)</f>
        <v>3.5524566312587602E-2</v>
      </c>
      <c r="N6" s="61" t="s">
        <v>52</v>
      </c>
      <c r="O6" s="62">
        <f>D43*D44/D25</f>
        <v>1.2887956287300849E-2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19.5" thickBot="1" x14ac:dyDescent="0.35">
      <c r="A7" s="13"/>
      <c r="B7" s="11">
        <v>1</v>
      </c>
      <c r="C7" s="73">
        <v>22.52</v>
      </c>
      <c r="D7" s="74">
        <v>21.58</v>
      </c>
      <c r="E7" s="45">
        <f t="shared" ref="E7:E21" si="0">IF(OR(D7="",C7=""),"",C7/D7)</f>
        <v>1.0435588507877664</v>
      </c>
      <c r="F7" s="1"/>
      <c r="G7" s="11">
        <v>1</v>
      </c>
      <c r="H7" s="73">
        <v>20.9</v>
      </c>
      <c r="I7" s="74">
        <v>21.04</v>
      </c>
      <c r="J7" s="45">
        <f t="shared" ref="J7:J21" si="1">IF(OR(I7="",H7=""),"",H7/I7)</f>
        <v>0.99334600760456271</v>
      </c>
      <c r="K7" s="13"/>
      <c r="L7" s="63" t="s">
        <v>31</v>
      </c>
      <c r="M7" s="64">
        <f>D29/(E25)</f>
        <v>3.683304423500864E-2</v>
      </c>
      <c r="N7" s="65" t="s">
        <v>52</v>
      </c>
      <c r="O7" s="66">
        <f>D43*D44/E25</f>
        <v>1.3362658951329858E-2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 x14ac:dyDescent="0.25">
      <c r="A8" s="13"/>
      <c r="B8" s="12">
        <v>2</v>
      </c>
      <c r="C8" s="75">
        <v>22</v>
      </c>
      <c r="D8" s="76">
        <v>21.5</v>
      </c>
      <c r="E8" s="46">
        <f t="shared" si="0"/>
        <v>1.0232558139534884</v>
      </c>
      <c r="F8" s="1"/>
      <c r="G8" s="12">
        <v>2</v>
      </c>
      <c r="H8" s="75">
        <v>21.12</v>
      </c>
      <c r="I8" s="76">
        <v>21.04</v>
      </c>
      <c r="J8" s="46">
        <f t="shared" si="1"/>
        <v>1.0038022813688214</v>
      </c>
      <c r="K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4" x14ac:dyDescent="0.25">
      <c r="A9" s="13"/>
      <c r="B9" s="12">
        <v>3</v>
      </c>
      <c r="C9" s="75">
        <v>21.14</v>
      </c>
      <c r="D9" s="76">
        <v>20.54</v>
      </c>
      <c r="E9" s="46">
        <f t="shared" si="0"/>
        <v>1.0292112950340799</v>
      </c>
      <c r="F9" s="1"/>
      <c r="G9" s="12">
        <v>3</v>
      </c>
      <c r="H9" s="75">
        <v>20.92</v>
      </c>
      <c r="I9" s="76">
        <v>20.98</v>
      </c>
      <c r="J9" s="46">
        <f t="shared" si="1"/>
        <v>0.99714013346043862</v>
      </c>
      <c r="K9" s="13"/>
      <c r="L9" s="51" t="s">
        <v>41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x14ac:dyDescent="0.25">
      <c r="A10" s="13"/>
      <c r="B10" s="12">
        <v>4</v>
      </c>
      <c r="C10" s="77">
        <v>21.54</v>
      </c>
      <c r="D10" s="78">
        <v>20.52</v>
      </c>
      <c r="E10" s="46">
        <f t="shared" si="0"/>
        <v>1.0497076023391814</v>
      </c>
      <c r="F10" s="1"/>
      <c r="G10" s="12">
        <v>4</v>
      </c>
      <c r="H10" s="77"/>
      <c r="I10" s="78"/>
      <c r="J10" s="46" t="str">
        <f t="shared" si="1"/>
        <v/>
      </c>
      <c r="K10" s="13"/>
      <c r="L10" s="13" t="s">
        <v>42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x14ac:dyDescent="0.25">
      <c r="A11" s="13"/>
      <c r="B11" s="12">
        <v>5</v>
      </c>
      <c r="C11" s="77">
        <v>21.08</v>
      </c>
      <c r="D11" s="78">
        <v>20.5</v>
      </c>
      <c r="E11" s="46">
        <f t="shared" si="0"/>
        <v>1.0282926829268293</v>
      </c>
      <c r="F11" s="1"/>
      <c r="G11" s="12">
        <v>5</v>
      </c>
      <c r="H11" s="77"/>
      <c r="I11" s="78"/>
      <c r="J11" s="46" t="str">
        <f t="shared" si="1"/>
        <v/>
      </c>
      <c r="K11" s="13"/>
      <c r="L11" s="13" t="s">
        <v>43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x14ac:dyDescent="0.25">
      <c r="A12" s="13"/>
      <c r="B12" s="12">
        <v>6</v>
      </c>
      <c r="C12" s="79">
        <v>21.42</v>
      </c>
      <c r="D12" s="80">
        <v>20.7</v>
      </c>
      <c r="E12" s="46">
        <f t="shared" si="0"/>
        <v>1.0347826086956522</v>
      </c>
      <c r="F12" s="13"/>
      <c r="G12" s="12">
        <v>6</v>
      </c>
      <c r="H12" s="79"/>
      <c r="I12" s="80"/>
      <c r="J12" s="46" t="str">
        <f t="shared" si="1"/>
        <v/>
      </c>
      <c r="K12" s="13"/>
      <c r="L12" s="13" t="s">
        <v>45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x14ac:dyDescent="0.25">
      <c r="A13" s="13"/>
      <c r="B13" s="12">
        <v>7</v>
      </c>
      <c r="C13" s="79">
        <v>21.76</v>
      </c>
      <c r="D13" s="80">
        <v>21.02</v>
      </c>
      <c r="E13" s="46">
        <f t="shared" si="0"/>
        <v>1.0352045670789725</v>
      </c>
      <c r="F13" s="13"/>
      <c r="G13" s="12">
        <v>7</v>
      </c>
      <c r="H13" s="79"/>
      <c r="I13" s="80"/>
      <c r="J13" s="46" t="str">
        <f t="shared" si="1"/>
        <v/>
      </c>
      <c r="K13" s="13"/>
      <c r="L13" s="13" t="s">
        <v>44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 x14ac:dyDescent="0.25">
      <c r="A14" s="13"/>
      <c r="B14" s="12">
        <v>8</v>
      </c>
      <c r="C14" s="79"/>
      <c r="D14" s="80"/>
      <c r="E14" s="46" t="str">
        <f t="shared" si="0"/>
        <v/>
      </c>
      <c r="F14" s="13"/>
      <c r="G14" s="12">
        <v>8</v>
      </c>
      <c r="H14" s="79"/>
      <c r="I14" s="80"/>
      <c r="J14" s="46" t="str">
        <f t="shared" si="1"/>
        <v/>
      </c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x14ac:dyDescent="0.25">
      <c r="A15" s="13"/>
      <c r="B15" s="12">
        <v>9</v>
      </c>
      <c r="C15" s="79"/>
      <c r="D15" s="80"/>
      <c r="E15" s="46" t="str">
        <f t="shared" si="0"/>
        <v/>
      </c>
      <c r="F15" s="13"/>
      <c r="G15" s="12">
        <v>9</v>
      </c>
      <c r="H15" s="79"/>
      <c r="I15" s="80"/>
      <c r="J15" s="46" t="str">
        <f t="shared" si="1"/>
        <v/>
      </c>
      <c r="K15" s="13"/>
      <c r="L15" s="51" t="s">
        <v>39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x14ac:dyDescent="0.25">
      <c r="A16" s="13"/>
      <c r="B16" s="12">
        <v>10</v>
      </c>
      <c r="C16" s="79"/>
      <c r="D16" s="80"/>
      <c r="E16" s="46" t="str">
        <f t="shared" si="0"/>
        <v/>
      </c>
      <c r="F16" s="13"/>
      <c r="G16" s="12">
        <v>10</v>
      </c>
      <c r="H16" s="79"/>
      <c r="I16" s="80"/>
      <c r="J16" s="46" t="str">
        <f t="shared" si="1"/>
        <v/>
      </c>
      <c r="K16" s="13"/>
      <c r="L16" s="67" t="s">
        <v>53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4" x14ac:dyDescent="0.25">
      <c r="A17" s="13"/>
      <c r="B17" s="12">
        <v>11</v>
      </c>
      <c r="C17" s="79"/>
      <c r="D17" s="80"/>
      <c r="E17" s="46" t="str">
        <f t="shared" si="0"/>
        <v/>
      </c>
      <c r="F17" s="13"/>
      <c r="G17" s="12">
        <v>11</v>
      </c>
      <c r="H17" s="79"/>
      <c r="I17" s="80"/>
      <c r="J17" s="46" t="str">
        <f t="shared" si="1"/>
        <v/>
      </c>
      <c r="K17" s="13"/>
      <c r="L17" s="67" t="s">
        <v>54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x14ac:dyDescent="0.25">
      <c r="A18" s="13"/>
      <c r="B18" s="12">
        <v>12</v>
      </c>
      <c r="C18" s="79"/>
      <c r="D18" s="80"/>
      <c r="E18" s="46" t="str">
        <f t="shared" si="0"/>
        <v/>
      </c>
      <c r="F18" s="13"/>
      <c r="G18" s="12">
        <v>12</v>
      </c>
      <c r="H18" s="79"/>
      <c r="I18" s="80"/>
      <c r="J18" s="46" t="str">
        <f t="shared" si="1"/>
        <v/>
      </c>
      <c r="K18" s="13"/>
      <c r="L18" s="67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x14ac:dyDescent="0.25">
      <c r="A19" s="13"/>
      <c r="B19" s="12">
        <v>13</v>
      </c>
      <c r="C19" s="79"/>
      <c r="D19" s="80"/>
      <c r="E19" s="46" t="str">
        <f t="shared" si="0"/>
        <v/>
      </c>
      <c r="F19" s="13"/>
      <c r="G19" s="12">
        <v>13</v>
      </c>
      <c r="H19" s="79"/>
      <c r="I19" s="80"/>
      <c r="J19" s="46" t="str">
        <f t="shared" si="1"/>
        <v/>
      </c>
      <c r="K19" s="13"/>
      <c r="L19" s="67" t="s">
        <v>55</v>
      </c>
      <c r="M19" s="67"/>
      <c r="N19" s="67"/>
      <c r="O19" s="67"/>
      <c r="P19" s="67"/>
      <c r="Q19" s="67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1:34" x14ac:dyDescent="0.25">
      <c r="A20" s="13"/>
      <c r="B20" s="12">
        <v>14</v>
      </c>
      <c r="C20" s="79"/>
      <c r="D20" s="80"/>
      <c r="E20" s="46" t="str">
        <f t="shared" si="0"/>
        <v/>
      </c>
      <c r="F20" s="13"/>
      <c r="G20" s="12">
        <v>14</v>
      </c>
      <c r="H20" s="79"/>
      <c r="I20" s="80"/>
      <c r="J20" s="46" t="str">
        <f t="shared" si="1"/>
        <v/>
      </c>
      <c r="K20" s="13"/>
      <c r="L20" s="67" t="s">
        <v>56</v>
      </c>
      <c r="M20" s="67"/>
      <c r="N20" s="67"/>
      <c r="O20" s="67"/>
      <c r="P20" s="67"/>
      <c r="Q20" s="67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ht="15" customHeight="1" thickBot="1" x14ac:dyDescent="0.3">
      <c r="A21" s="13"/>
      <c r="B21" s="14">
        <v>15</v>
      </c>
      <c r="C21" s="81"/>
      <c r="D21" s="82"/>
      <c r="E21" s="47" t="str">
        <f t="shared" si="0"/>
        <v/>
      </c>
      <c r="F21" s="13"/>
      <c r="G21" s="14">
        <v>15</v>
      </c>
      <c r="H21" s="81"/>
      <c r="I21" s="82"/>
      <c r="J21" s="47" t="str">
        <f t="shared" si="1"/>
        <v/>
      </c>
      <c r="K21" s="13"/>
      <c r="L21" s="67"/>
      <c r="M21" s="67"/>
      <c r="N21" s="67"/>
      <c r="O21" s="67"/>
      <c r="P21" s="67"/>
      <c r="Q21" s="67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ht="14.25" customHeight="1" thickBot="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67" t="s">
        <v>64</v>
      </c>
      <c r="M22" s="67"/>
      <c r="N22" s="67"/>
      <c r="O22" s="67"/>
      <c r="P22" s="67"/>
      <c r="Q22" s="67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6.5" thickBot="1" x14ac:dyDescent="0.3">
      <c r="A23" s="13"/>
      <c r="B23" s="9" t="s">
        <v>13</v>
      </c>
      <c r="C23" s="6"/>
      <c r="D23" s="5"/>
      <c r="E23" s="7"/>
      <c r="F23" s="13"/>
      <c r="G23" s="9" t="s">
        <v>14</v>
      </c>
      <c r="H23" s="5"/>
      <c r="I23" s="5"/>
      <c r="J23" s="7"/>
      <c r="K23" s="13"/>
      <c r="L23" s="67" t="s">
        <v>65</v>
      </c>
      <c r="M23" s="67"/>
      <c r="N23" s="67"/>
      <c r="O23" s="67"/>
      <c r="P23" s="67"/>
      <c r="Q23" s="67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4" ht="16.5" thickBot="1" x14ac:dyDescent="0.3">
      <c r="A24" s="13"/>
      <c r="B24" s="4"/>
      <c r="C24" s="6"/>
      <c r="D24" s="5" t="s">
        <v>4</v>
      </c>
      <c r="E24" s="8" t="s">
        <v>5</v>
      </c>
      <c r="F24" s="13"/>
      <c r="G24" s="25" t="s">
        <v>15</v>
      </c>
      <c r="H24" s="13"/>
      <c r="I24" s="13"/>
      <c r="J24" s="26">
        <f>D27^2</f>
        <v>8.4323444181024453E-5</v>
      </c>
      <c r="K24" s="13"/>
      <c r="L24" s="68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8"/>
    </row>
    <row r="25" spans="1:34" x14ac:dyDescent="0.25">
      <c r="A25" s="13"/>
      <c r="B25" s="18" t="s">
        <v>9</v>
      </c>
      <c r="C25" s="19"/>
      <c r="D25" s="36">
        <f>AVERAGE(E7:E21)</f>
        <v>1.0348590601165673</v>
      </c>
      <c r="E25" s="37">
        <f>AVERAGE(J7:J21)</f>
        <v>0.99809614081127418</v>
      </c>
      <c r="F25" s="13"/>
      <c r="G25" s="25" t="s">
        <v>16</v>
      </c>
      <c r="H25" s="13"/>
      <c r="I25" s="13"/>
      <c r="J25" s="27">
        <f>E27^2</f>
        <v>2.8018877799420176E-5</v>
      </c>
      <c r="K25" s="13"/>
      <c r="L25" s="67" t="s">
        <v>2</v>
      </c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8"/>
    </row>
    <row r="26" spans="1:34" x14ac:dyDescent="0.25">
      <c r="A26" s="13"/>
      <c r="B26" s="20" t="s">
        <v>10</v>
      </c>
      <c r="C26" s="13"/>
      <c r="D26" s="10">
        <f>COUNT(E7:E21)</f>
        <v>7</v>
      </c>
      <c r="E26" s="2">
        <f>COUNT(J7:J21)</f>
        <v>3</v>
      </c>
      <c r="F26" s="13"/>
      <c r="G26" s="25" t="s">
        <v>17</v>
      </c>
      <c r="H26" s="13"/>
      <c r="I26" s="13"/>
      <c r="J26" s="27">
        <f>J25/J24</f>
        <v>0.33227862158084553</v>
      </c>
      <c r="K26" s="13"/>
      <c r="L26" s="67" t="s">
        <v>62</v>
      </c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8"/>
    </row>
    <row r="27" spans="1:34" x14ac:dyDescent="0.25">
      <c r="A27" s="13"/>
      <c r="B27" s="20" t="s">
        <v>11</v>
      </c>
      <c r="C27" s="13"/>
      <c r="D27" s="16">
        <f>STDEV(E7:E21)</f>
        <v>9.1827797632865211E-3</v>
      </c>
      <c r="E27" s="17">
        <f>STDEV(J7:J21)</f>
        <v>5.2932861059478142E-3</v>
      </c>
      <c r="F27" s="13"/>
      <c r="G27" s="25" t="s">
        <v>18</v>
      </c>
      <c r="H27" s="13"/>
      <c r="I27" s="13"/>
      <c r="J27" s="27">
        <f>FINV(0.975,E26-1,D26-1)</f>
        <v>2.5424941047334615E-2</v>
      </c>
      <c r="K27" s="13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8"/>
    </row>
    <row r="28" spans="1:34" ht="15.75" thickBot="1" x14ac:dyDescent="0.3">
      <c r="A28" s="13"/>
      <c r="B28" s="20" t="s">
        <v>24</v>
      </c>
      <c r="C28" s="13"/>
      <c r="D28" s="33">
        <f>D27^2</f>
        <v>8.4323444181024453E-5</v>
      </c>
      <c r="E28" s="34">
        <f>E27^2</f>
        <v>2.8018877799420176E-5</v>
      </c>
      <c r="F28" s="13"/>
      <c r="G28" s="25" t="s">
        <v>19</v>
      </c>
      <c r="H28" s="13"/>
      <c r="I28" s="13"/>
      <c r="J28" s="27">
        <f>FINV(0.025,E26-1,D26-1)</f>
        <v>7.2598556800601788</v>
      </c>
      <c r="K28" s="13"/>
      <c r="L28" s="67" t="s">
        <v>60</v>
      </c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8"/>
    </row>
    <row r="29" spans="1:34" ht="16.5" customHeight="1" thickBot="1" x14ac:dyDescent="0.35">
      <c r="A29" s="13"/>
      <c r="B29" s="21" t="s">
        <v>12</v>
      </c>
      <c r="C29" s="15"/>
      <c r="D29" s="35">
        <f>D25-E25</f>
        <v>3.6762919305293074E-2</v>
      </c>
      <c r="E29" s="3"/>
      <c r="F29" s="13"/>
      <c r="G29" s="28" t="s">
        <v>20</v>
      </c>
      <c r="H29" s="15"/>
      <c r="I29" s="15"/>
      <c r="J29" s="44" t="str">
        <f>IF(J26&lt;J28,IF(J26&gt;J27,"yes","no"),"no")</f>
        <v>yes</v>
      </c>
      <c r="K29" s="13" t="s">
        <v>46</v>
      </c>
      <c r="L29" s="69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8"/>
    </row>
    <row r="30" spans="1:34" ht="12" customHeight="1" thickBo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69" t="s">
        <v>57</v>
      </c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spans="1:34" ht="15.75" thickBot="1" x14ac:dyDescent="0.3">
      <c r="A31" s="13"/>
      <c r="B31" s="9" t="s">
        <v>33</v>
      </c>
      <c r="C31" s="5"/>
      <c r="D31" s="5"/>
      <c r="E31" s="7"/>
      <c r="F31" s="13"/>
      <c r="G31" s="9" t="s">
        <v>34</v>
      </c>
      <c r="H31" s="5"/>
      <c r="I31" s="5"/>
      <c r="J31" s="7"/>
      <c r="L31" s="69" t="s">
        <v>1</v>
      </c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x14ac:dyDescent="0.25">
      <c r="A32" s="13"/>
      <c r="B32" s="20" t="s">
        <v>27</v>
      </c>
      <c r="C32" s="13"/>
      <c r="D32" s="13"/>
      <c r="E32" s="26">
        <f>SQRT(((D26-1)*D27^2+(E26-1)*E27^2)/(D26+E26-2))</f>
        <v>8.3813663913244706E-3</v>
      </c>
      <c r="F32" s="13"/>
      <c r="G32" s="18" t="s">
        <v>23</v>
      </c>
      <c r="H32" s="19"/>
      <c r="I32" s="19"/>
      <c r="J32" s="22">
        <f>(D28/D26+E28/E26)^2/(((D28/D26)^2)/(D26-1)+((E28/E26)^2)/(E26-1))</f>
        <v>6.7456825788366643</v>
      </c>
      <c r="K32" s="13"/>
      <c r="L32" s="69" t="s">
        <v>58</v>
      </c>
      <c r="M32" s="68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 spans="1:34" x14ac:dyDescent="0.25">
      <c r="A33" s="13"/>
      <c r="B33" s="20" t="s">
        <v>21</v>
      </c>
      <c r="C33" s="13"/>
      <c r="D33" s="13"/>
      <c r="E33" s="23">
        <f>TINV(0.05,(D26+E26-2))</f>
        <v>2.3060041352041671</v>
      </c>
      <c r="F33" s="13"/>
      <c r="G33" s="20" t="s">
        <v>21</v>
      </c>
      <c r="H33" s="13"/>
      <c r="I33" s="13"/>
      <c r="J33" s="23">
        <f>SQRT(-BETAINV(0.05,J$32/2,0.5)*J$32*(BETAINV(0.05,J$32/2,0.5)-1))/BETAINV(0.05,J$32/2,0.5)</f>
        <v>2.382816779973739</v>
      </c>
      <c r="K33" s="13"/>
      <c r="L33" s="69" t="s">
        <v>61</v>
      </c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 spans="1:34" ht="15.75" thickBot="1" x14ac:dyDescent="0.3">
      <c r="A34" s="13"/>
      <c r="B34" s="20" t="s">
        <v>29</v>
      </c>
      <c r="C34" s="13"/>
      <c r="D34" s="13"/>
      <c r="E34" s="23">
        <f>D29/(E32*SQRT(1/D26+1/E26))</f>
        <v>6.3563062282327385</v>
      </c>
      <c r="F34" s="13"/>
      <c r="G34" s="20" t="s">
        <v>29</v>
      </c>
      <c r="H34" s="13"/>
      <c r="I34" s="13"/>
      <c r="J34" s="23">
        <f>D29/SQRT(D28/D26+E28/E26)</f>
        <v>7.949629950956453</v>
      </c>
      <c r="K34" s="13"/>
      <c r="L34" s="70" t="s">
        <v>59</v>
      </c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ht="19.5" thickBot="1" x14ac:dyDescent="0.35">
      <c r="A35" s="13"/>
      <c r="B35" s="20" t="s">
        <v>32</v>
      </c>
      <c r="C35" s="13"/>
      <c r="D35" s="13"/>
      <c r="E35" s="44" t="str">
        <f>IF(E34&gt;E33,"yes","no")</f>
        <v>yes</v>
      </c>
      <c r="F35" s="13"/>
      <c r="G35" s="20" t="s">
        <v>32</v>
      </c>
      <c r="H35" s="13"/>
      <c r="I35" s="13"/>
      <c r="J35" s="44" t="str">
        <f>IF(J34&gt;J33,"yes","no")</f>
        <v>yes</v>
      </c>
      <c r="K35" s="13"/>
      <c r="L35" s="70" t="s">
        <v>0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 spans="1:34" ht="15.75" thickBot="1" x14ac:dyDescent="0.3">
      <c r="A36" s="13"/>
      <c r="B36" s="21" t="s">
        <v>22</v>
      </c>
      <c r="C36" s="15"/>
      <c r="D36" s="15"/>
      <c r="E36" s="24">
        <f>TDIST(E34,(D26+E26-2),2)</f>
        <v>2.1912507644586334E-4</v>
      </c>
      <c r="F36" s="13"/>
      <c r="G36" s="21" t="s">
        <v>22</v>
      </c>
      <c r="H36" s="15"/>
      <c r="I36" s="15"/>
      <c r="J36" s="24">
        <f>BETADIST(J32/(J32+(J34^2)),J32/2,0.5)</f>
        <v>1.1544910340067353E-4</v>
      </c>
      <c r="K36" s="13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 spans="1:34" x14ac:dyDescent="0.25">
      <c r="A37" s="13"/>
      <c r="B37" s="38" t="s">
        <v>35</v>
      </c>
      <c r="C37" s="19"/>
      <c r="D37" s="19"/>
      <c r="E37" s="39">
        <f>D29-E33*E32*SQRT(1/D26+1/E26)</f>
        <v>2.3425700974993514E-2</v>
      </c>
      <c r="G37" s="38" t="s">
        <v>37</v>
      </c>
      <c r="H37" s="19"/>
      <c r="I37" s="19"/>
      <c r="J37" s="39">
        <f>D29-J33*(SQRT(D28/D26+E28/E26))</f>
        <v>2.5743626389534972E-2</v>
      </c>
      <c r="K37" s="13"/>
      <c r="L37" s="70" t="s">
        <v>63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ht="15.75" thickBot="1" x14ac:dyDescent="0.3">
      <c r="A38" s="13"/>
      <c r="B38" s="28" t="s">
        <v>36</v>
      </c>
      <c r="C38" s="15"/>
      <c r="D38" s="15"/>
      <c r="E38" s="40">
        <f>D29+E33*E32*SQRT(1/D26+1/E26)</f>
        <v>5.0100137635592637E-2</v>
      </c>
      <c r="F38" s="13"/>
      <c r="G38" s="28" t="s">
        <v>38</v>
      </c>
      <c r="H38" s="15"/>
      <c r="I38" s="15"/>
      <c r="J38" s="40">
        <f>D29+J33*(SQRT(D28/D26+E28/E26))</f>
        <v>4.7782212221051175E-2</v>
      </c>
      <c r="K38" s="13"/>
      <c r="L38" s="70" t="s">
        <v>66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 spans="1:34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70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 spans="1:34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72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 spans="1:34" x14ac:dyDescent="0.25">
      <c r="A41" s="13"/>
      <c r="B41" s="13"/>
      <c r="D41" s="13"/>
      <c r="E41" s="13"/>
      <c r="F41" s="13"/>
      <c r="G41" s="13"/>
      <c r="H41" s="13"/>
      <c r="I41" s="13"/>
      <c r="J41" s="13"/>
      <c r="K41" s="13"/>
      <c r="L41" s="72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 spans="1:34" x14ac:dyDescent="0.25">
      <c r="A42" s="13"/>
      <c r="B42" s="13"/>
      <c r="D42" s="13"/>
      <c r="E42" s="13"/>
      <c r="F42" s="13"/>
      <c r="G42" s="13"/>
      <c r="H42" s="13"/>
      <c r="I42" s="13"/>
      <c r="J42" s="13"/>
      <c r="K42" s="13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 spans="1:34" x14ac:dyDescent="0.25">
      <c r="A43" s="13"/>
      <c r="B43" s="43"/>
      <c r="C43" s="41" t="s">
        <v>3</v>
      </c>
      <c r="D43" s="31">
        <f>IF(J29="yes",E33,J33)</f>
        <v>2.3060041352041671</v>
      </c>
      <c r="E43" s="13"/>
      <c r="F43" s="13"/>
      <c r="G43" s="13"/>
      <c r="H43" s="13"/>
      <c r="I43" s="13"/>
      <c r="J43" s="13"/>
      <c r="K43" s="13"/>
      <c r="M43" s="67"/>
      <c r="N43" s="68"/>
      <c r="O43" s="68"/>
      <c r="P43" s="68"/>
      <c r="Q43" s="68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x14ac:dyDescent="0.25">
      <c r="A44" s="13"/>
      <c r="B44" s="42"/>
      <c r="C44" s="30" t="s">
        <v>26</v>
      </c>
      <c r="D44" s="32">
        <f>IF(J29="yes",E32*SQRT(1/D26+1/E26),(SQRT(D28/D26+E28/E26)))</f>
        <v>5.7836922868825299E-3</v>
      </c>
      <c r="E44" s="13"/>
      <c r="F44" s="13"/>
      <c r="G44" s="13"/>
      <c r="H44" s="13"/>
      <c r="I44" s="13"/>
      <c r="J44" s="13"/>
      <c r="K44" s="13"/>
      <c r="M44" s="67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</row>
    <row r="45" spans="1:34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</row>
    <row r="46" spans="1:34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</row>
    <row r="47" spans="1:34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</row>
    <row r="48" spans="1:34" x14ac:dyDescent="0.25"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</row>
    <row r="49" spans="18:34" x14ac:dyDescent="0.25"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</row>
  </sheetData>
  <sheetProtection password="F4E0" sheet="1"/>
  <mergeCells count="5">
    <mergeCell ref="B4:E4"/>
    <mergeCell ref="G4:J4"/>
    <mergeCell ref="C5:D5"/>
    <mergeCell ref="H5:I5"/>
    <mergeCell ref="N5:O5"/>
  </mergeCells>
  <dataValidations count="1">
    <dataValidation type="list" allowBlank="1" showInputMessage="1" showErrorMessage="1" sqref="F7:F11" xr:uid="{00000000-0002-0000-0500-000000000000}">
      <formula1>"Y, N"</formula1>
    </dataValidation>
  </dataValidations>
  <pageMargins left="0.7" right="0.7" top="0.75" bottom="0.75" header="0.3" footer="0.3"/>
  <pageSetup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9"/>
  <sheetViews>
    <sheetView zoomScale="84" zoomScaleNormal="84" workbookViewId="0">
      <selection activeCell="J7" sqref="J7:J9"/>
    </sheetView>
  </sheetViews>
  <sheetFormatPr defaultColWidth="8.85546875" defaultRowHeight="15" x14ac:dyDescent="0.25"/>
  <cols>
    <col min="1" max="1" width="2.28515625" customWidth="1"/>
    <col min="3" max="3" width="13" customWidth="1"/>
    <col min="4" max="5" width="10.28515625" customWidth="1"/>
    <col min="6" max="6" width="7.42578125" customWidth="1"/>
    <col min="11" max="11" width="6.28515625" customWidth="1"/>
    <col min="12" max="12" width="17" customWidth="1"/>
    <col min="13" max="13" width="11.28515625" customWidth="1"/>
    <col min="14" max="14" width="10.28515625" customWidth="1"/>
    <col min="15" max="15" width="8.5703125" customWidth="1"/>
  </cols>
  <sheetData>
    <row r="1" spans="1:34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34" ht="18.75" x14ac:dyDescent="0.3">
      <c r="A2" s="13"/>
      <c r="B2" s="29" t="s">
        <v>28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ht="15.75" thickBo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ht="15.75" thickBot="1" x14ac:dyDescent="0.3">
      <c r="A4" s="13"/>
      <c r="B4" s="96" t="s">
        <v>47</v>
      </c>
      <c r="C4" s="97"/>
      <c r="D4" s="97"/>
      <c r="E4" s="98"/>
      <c r="F4" s="1"/>
      <c r="G4" s="99" t="s">
        <v>48</v>
      </c>
      <c r="H4" s="100"/>
      <c r="I4" s="100"/>
      <c r="J4" s="101"/>
      <c r="K4" s="13"/>
      <c r="L4" s="53" t="s">
        <v>40</v>
      </c>
      <c r="M4" s="54"/>
      <c r="N4" s="55"/>
      <c r="O4" s="56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ht="15.75" thickBot="1" x14ac:dyDescent="0.3">
      <c r="A5" s="13"/>
      <c r="B5" s="48"/>
      <c r="C5" s="102" t="s">
        <v>6</v>
      </c>
      <c r="D5" s="102"/>
      <c r="E5" s="49"/>
      <c r="F5" s="1"/>
      <c r="G5" s="50"/>
      <c r="H5" s="102" t="s">
        <v>6</v>
      </c>
      <c r="I5" s="102"/>
      <c r="J5" s="49"/>
      <c r="K5" s="13"/>
      <c r="L5" s="57"/>
      <c r="M5" s="58" t="s">
        <v>25</v>
      </c>
      <c r="N5" s="103" t="s">
        <v>51</v>
      </c>
      <c r="O5" s="104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9.5" thickBot="1" x14ac:dyDescent="0.35">
      <c r="A6" s="13"/>
      <c r="B6" s="48" t="s">
        <v>7</v>
      </c>
      <c r="C6" s="52" t="s">
        <v>5</v>
      </c>
      <c r="D6" s="52" t="s">
        <v>49</v>
      </c>
      <c r="E6" s="49" t="s">
        <v>8</v>
      </c>
      <c r="F6" s="1"/>
      <c r="G6" s="48" t="s">
        <v>7</v>
      </c>
      <c r="H6" s="52" t="s">
        <v>5</v>
      </c>
      <c r="I6" s="52" t="s">
        <v>50</v>
      </c>
      <c r="J6" s="49" t="s">
        <v>8</v>
      </c>
      <c r="K6" s="13"/>
      <c r="L6" s="59" t="s">
        <v>30</v>
      </c>
      <c r="M6" s="60">
        <f>D29/(D25)</f>
        <v>0.11594043499443363</v>
      </c>
      <c r="N6" s="61" t="s">
        <v>52</v>
      </c>
      <c r="O6" s="62">
        <f>D43*D44/D25</f>
        <v>1.0647458651004036E-2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19.5" thickBot="1" x14ac:dyDescent="0.35">
      <c r="A7" s="13"/>
      <c r="B7" s="11">
        <v>1</v>
      </c>
      <c r="C7" s="73">
        <v>21.96</v>
      </c>
      <c r="D7" s="74">
        <v>21.58</v>
      </c>
      <c r="E7" s="45">
        <f t="shared" ref="E7:E21" si="0">IF(OR(D7="",C7=""),"",C7/D7)</f>
        <v>1.0176088971269694</v>
      </c>
      <c r="F7" s="1"/>
      <c r="G7" s="11">
        <v>1</v>
      </c>
      <c r="H7" s="73">
        <v>18.7</v>
      </c>
      <c r="I7" s="74">
        <v>21.04</v>
      </c>
      <c r="J7" s="45">
        <f t="shared" ref="J7:J21" si="1">IF(OR(I7="",H7=""),"",H7/I7)</f>
        <v>0.88878326996197721</v>
      </c>
      <c r="K7" s="13"/>
      <c r="L7" s="63" t="s">
        <v>31</v>
      </c>
      <c r="M7" s="64">
        <f>D29/(E25)</f>
        <v>0.13114550148405851</v>
      </c>
      <c r="N7" s="65" t="s">
        <v>52</v>
      </c>
      <c r="O7" s="66">
        <f>D43*D44/E25</f>
        <v>1.2043824955320737E-2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 x14ac:dyDescent="0.25">
      <c r="A8" s="13"/>
      <c r="B8" s="12">
        <v>2</v>
      </c>
      <c r="C8" s="75">
        <v>21.46</v>
      </c>
      <c r="D8" s="76">
        <v>21.5</v>
      </c>
      <c r="E8" s="46">
        <f t="shared" si="0"/>
        <v>0.99813953488372098</v>
      </c>
      <c r="F8" s="1"/>
      <c r="G8" s="12">
        <v>2</v>
      </c>
      <c r="H8" s="75">
        <v>18.899999999999999</v>
      </c>
      <c r="I8" s="76">
        <v>21.04</v>
      </c>
      <c r="J8" s="46">
        <f t="shared" si="1"/>
        <v>0.89828897338403035</v>
      </c>
      <c r="K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4" x14ac:dyDescent="0.25">
      <c r="A9" s="13"/>
      <c r="B9" s="12">
        <v>3</v>
      </c>
      <c r="C9" s="75">
        <v>20.76</v>
      </c>
      <c r="D9" s="76">
        <v>20.54</v>
      </c>
      <c r="E9" s="46">
        <f t="shared" si="0"/>
        <v>1.0107108081791627</v>
      </c>
      <c r="F9" s="1"/>
      <c r="G9" s="12">
        <v>3</v>
      </c>
      <c r="H9" s="75">
        <v>18.72</v>
      </c>
      <c r="I9" s="76">
        <v>20.98</v>
      </c>
      <c r="J9" s="46">
        <f t="shared" si="1"/>
        <v>0.89227836034318386</v>
      </c>
      <c r="K9" s="13"/>
      <c r="L9" s="51" t="s">
        <v>41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x14ac:dyDescent="0.25">
      <c r="A10" s="13"/>
      <c r="B10" s="12">
        <v>4</v>
      </c>
      <c r="C10" s="77">
        <v>20.86</v>
      </c>
      <c r="D10" s="78">
        <v>20.52</v>
      </c>
      <c r="E10" s="46">
        <f t="shared" si="0"/>
        <v>1.0165692007797271</v>
      </c>
      <c r="F10" s="1"/>
      <c r="G10" s="12">
        <v>4</v>
      </c>
      <c r="H10" s="77"/>
      <c r="I10" s="78"/>
      <c r="J10" s="46" t="str">
        <f t="shared" si="1"/>
        <v/>
      </c>
      <c r="K10" s="13"/>
      <c r="L10" s="13" t="s">
        <v>42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x14ac:dyDescent="0.25">
      <c r="A11" s="13"/>
      <c r="B11" s="12">
        <v>5</v>
      </c>
      <c r="C11" s="77">
        <v>20.68</v>
      </c>
      <c r="D11" s="78">
        <v>20.5</v>
      </c>
      <c r="E11" s="46">
        <f t="shared" si="0"/>
        <v>1.0087804878048781</v>
      </c>
      <c r="F11" s="1"/>
      <c r="G11" s="12">
        <v>5</v>
      </c>
      <c r="H11" s="77"/>
      <c r="I11" s="78"/>
      <c r="J11" s="46" t="str">
        <f t="shared" si="1"/>
        <v/>
      </c>
      <c r="K11" s="13"/>
      <c r="L11" s="13" t="s">
        <v>43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x14ac:dyDescent="0.25">
      <c r="A12" s="13"/>
      <c r="B12" s="12">
        <v>6</v>
      </c>
      <c r="C12" s="79">
        <v>20.9</v>
      </c>
      <c r="D12" s="80">
        <v>20.7</v>
      </c>
      <c r="E12" s="46">
        <f t="shared" si="0"/>
        <v>1.0096618357487923</v>
      </c>
      <c r="F12" s="13"/>
      <c r="G12" s="12">
        <v>6</v>
      </c>
      <c r="H12" s="79"/>
      <c r="I12" s="80"/>
      <c r="J12" s="46" t="str">
        <f t="shared" si="1"/>
        <v/>
      </c>
      <c r="K12" s="13"/>
      <c r="L12" s="13" t="s">
        <v>45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x14ac:dyDescent="0.25">
      <c r="A13" s="13"/>
      <c r="B13" s="12">
        <v>7</v>
      </c>
      <c r="C13" s="79"/>
      <c r="D13" s="80"/>
      <c r="E13" s="46" t="str">
        <f t="shared" si="0"/>
        <v/>
      </c>
      <c r="F13" s="13"/>
      <c r="G13" s="12">
        <v>7</v>
      </c>
      <c r="H13" s="79"/>
      <c r="I13" s="80"/>
      <c r="J13" s="46" t="str">
        <f t="shared" si="1"/>
        <v/>
      </c>
      <c r="K13" s="13"/>
      <c r="L13" s="13" t="s">
        <v>44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 x14ac:dyDescent="0.25">
      <c r="A14" s="13"/>
      <c r="B14" s="12">
        <v>8</v>
      </c>
      <c r="C14" s="79"/>
      <c r="D14" s="80"/>
      <c r="E14" s="46" t="str">
        <f t="shared" si="0"/>
        <v/>
      </c>
      <c r="F14" s="13"/>
      <c r="G14" s="12">
        <v>8</v>
      </c>
      <c r="H14" s="79"/>
      <c r="I14" s="80"/>
      <c r="J14" s="46" t="str">
        <f t="shared" si="1"/>
        <v/>
      </c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x14ac:dyDescent="0.25">
      <c r="A15" s="13"/>
      <c r="B15" s="12">
        <v>9</v>
      </c>
      <c r="C15" s="79"/>
      <c r="D15" s="80"/>
      <c r="E15" s="46" t="str">
        <f t="shared" si="0"/>
        <v/>
      </c>
      <c r="F15" s="13"/>
      <c r="G15" s="12">
        <v>9</v>
      </c>
      <c r="H15" s="79"/>
      <c r="I15" s="80"/>
      <c r="J15" s="46" t="str">
        <f t="shared" si="1"/>
        <v/>
      </c>
      <c r="K15" s="13"/>
      <c r="L15" s="51" t="s">
        <v>39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x14ac:dyDescent="0.25">
      <c r="A16" s="13"/>
      <c r="B16" s="12">
        <v>10</v>
      </c>
      <c r="C16" s="79"/>
      <c r="D16" s="80"/>
      <c r="E16" s="46" t="str">
        <f t="shared" si="0"/>
        <v/>
      </c>
      <c r="F16" s="13"/>
      <c r="G16" s="12">
        <v>10</v>
      </c>
      <c r="H16" s="79"/>
      <c r="I16" s="80"/>
      <c r="J16" s="46" t="str">
        <f t="shared" si="1"/>
        <v/>
      </c>
      <c r="K16" s="13"/>
      <c r="L16" s="67" t="s">
        <v>53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4" x14ac:dyDescent="0.25">
      <c r="A17" s="13"/>
      <c r="B17" s="12">
        <v>11</v>
      </c>
      <c r="C17" s="79"/>
      <c r="D17" s="80"/>
      <c r="E17" s="46" t="str">
        <f t="shared" si="0"/>
        <v/>
      </c>
      <c r="F17" s="13"/>
      <c r="G17" s="12">
        <v>11</v>
      </c>
      <c r="H17" s="79"/>
      <c r="I17" s="80"/>
      <c r="J17" s="46" t="str">
        <f t="shared" si="1"/>
        <v/>
      </c>
      <c r="K17" s="13"/>
      <c r="L17" s="67" t="s">
        <v>54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x14ac:dyDescent="0.25">
      <c r="A18" s="13"/>
      <c r="B18" s="12">
        <v>12</v>
      </c>
      <c r="C18" s="79"/>
      <c r="D18" s="80"/>
      <c r="E18" s="46" t="str">
        <f t="shared" si="0"/>
        <v/>
      </c>
      <c r="F18" s="13"/>
      <c r="G18" s="12">
        <v>12</v>
      </c>
      <c r="H18" s="79"/>
      <c r="I18" s="80"/>
      <c r="J18" s="46" t="str">
        <f t="shared" si="1"/>
        <v/>
      </c>
      <c r="K18" s="13"/>
      <c r="L18" s="67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x14ac:dyDescent="0.25">
      <c r="A19" s="13"/>
      <c r="B19" s="12">
        <v>13</v>
      </c>
      <c r="C19" s="79"/>
      <c r="D19" s="80"/>
      <c r="E19" s="46" t="str">
        <f t="shared" si="0"/>
        <v/>
      </c>
      <c r="F19" s="13"/>
      <c r="G19" s="12">
        <v>13</v>
      </c>
      <c r="H19" s="79"/>
      <c r="I19" s="80"/>
      <c r="J19" s="46" t="str">
        <f t="shared" si="1"/>
        <v/>
      </c>
      <c r="K19" s="13"/>
      <c r="L19" s="67" t="s">
        <v>55</v>
      </c>
      <c r="M19" s="67"/>
      <c r="N19" s="67"/>
      <c r="O19" s="67"/>
      <c r="P19" s="67"/>
      <c r="Q19" s="67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1:34" x14ac:dyDescent="0.25">
      <c r="A20" s="13"/>
      <c r="B20" s="12">
        <v>14</v>
      </c>
      <c r="C20" s="79"/>
      <c r="D20" s="80"/>
      <c r="E20" s="46" t="str">
        <f t="shared" si="0"/>
        <v/>
      </c>
      <c r="F20" s="13"/>
      <c r="G20" s="12">
        <v>14</v>
      </c>
      <c r="H20" s="79"/>
      <c r="I20" s="80"/>
      <c r="J20" s="46" t="str">
        <f t="shared" si="1"/>
        <v/>
      </c>
      <c r="K20" s="13"/>
      <c r="L20" s="67" t="s">
        <v>56</v>
      </c>
      <c r="M20" s="67"/>
      <c r="N20" s="67"/>
      <c r="O20" s="67"/>
      <c r="P20" s="67"/>
      <c r="Q20" s="67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ht="15" customHeight="1" thickBot="1" x14ac:dyDescent="0.3">
      <c r="A21" s="13"/>
      <c r="B21" s="14">
        <v>15</v>
      </c>
      <c r="C21" s="81"/>
      <c r="D21" s="82"/>
      <c r="E21" s="47" t="str">
        <f t="shared" si="0"/>
        <v/>
      </c>
      <c r="F21" s="13"/>
      <c r="G21" s="14">
        <v>15</v>
      </c>
      <c r="H21" s="81"/>
      <c r="I21" s="82"/>
      <c r="J21" s="47" t="str">
        <f t="shared" si="1"/>
        <v/>
      </c>
      <c r="K21" s="13"/>
      <c r="L21" s="67"/>
      <c r="M21" s="67"/>
      <c r="N21" s="67"/>
      <c r="O21" s="67"/>
      <c r="P21" s="67"/>
      <c r="Q21" s="67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ht="14.25" customHeight="1" thickBot="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67" t="s">
        <v>64</v>
      </c>
      <c r="M22" s="67"/>
      <c r="N22" s="67"/>
      <c r="O22" s="67"/>
      <c r="P22" s="67"/>
      <c r="Q22" s="67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6.5" thickBot="1" x14ac:dyDescent="0.3">
      <c r="A23" s="13"/>
      <c r="B23" s="9" t="s">
        <v>13</v>
      </c>
      <c r="C23" s="6"/>
      <c r="D23" s="5"/>
      <c r="E23" s="7"/>
      <c r="F23" s="13"/>
      <c r="G23" s="9" t="s">
        <v>14</v>
      </c>
      <c r="H23" s="5"/>
      <c r="I23" s="5"/>
      <c r="J23" s="7"/>
      <c r="K23" s="13"/>
      <c r="L23" s="67" t="s">
        <v>65</v>
      </c>
      <c r="M23" s="67"/>
      <c r="N23" s="67"/>
      <c r="O23" s="67"/>
      <c r="P23" s="67"/>
      <c r="Q23" s="67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4" ht="16.5" thickBot="1" x14ac:dyDescent="0.3">
      <c r="A24" s="13"/>
      <c r="B24" s="4"/>
      <c r="C24" s="6"/>
      <c r="D24" s="5" t="s">
        <v>4</v>
      </c>
      <c r="E24" s="8" t="s">
        <v>5</v>
      </c>
      <c r="F24" s="13"/>
      <c r="G24" s="25" t="s">
        <v>15</v>
      </c>
      <c r="H24" s="13"/>
      <c r="I24" s="13"/>
      <c r="J24" s="26">
        <f>D27^2</f>
        <v>4.8693327151248931E-5</v>
      </c>
      <c r="K24" s="13"/>
      <c r="L24" s="68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8"/>
    </row>
    <row r="25" spans="1:34" x14ac:dyDescent="0.25">
      <c r="A25" s="13"/>
      <c r="B25" s="18" t="s">
        <v>9</v>
      </c>
      <c r="C25" s="19"/>
      <c r="D25" s="36">
        <f>AVERAGE(E7:E21)</f>
        <v>1.0102451274205417</v>
      </c>
      <c r="E25" s="37">
        <f>AVERAGE(J7:J21)</f>
        <v>0.8931168678963971</v>
      </c>
      <c r="F25" s="13"/>
      <c r="G25" s="25" t="s">
        <v>16</v>
      </c>
      <c r="H25" s="13"/>
      <c r="I25" s="13"/>
      <c r="J25" s="27">
        <f>E27^2</f>
        <v>2.3116920574605017E-5</v>
      </c>
      <c r="K25" s="13"/>
      <c r="L25" s="67" t="s">
        <v>2</v>
      </c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8"/>
    </row>
    <row r="26" spans="1:34" x14ac:dyDescent="0.25">
      <c r="A26" s="13"/>
      <c r="B26" s="20" t="s">
        <v>10</v>
      </c>
      <c r="C26" s="13"/>
      <c r="D26" s="10">
        <f>COUNT(E7:E21)</f>
        <v>6</v>
      </c>
      <c r="E26" s="2">
        <f>COUNT(J7:J21)</f>
        <v>3</v>
      </c>
      <c r="F26" s="13"/>
      <c r="G26" s="25" t="s">
        <v>17</v>
      </c>
      <c r="H26" s="13"/>
      <c r="I26" s="13"/>
      <c r="J26" s="27">
        <f>J25/J24</f>
        <v>0.47474514326778949</v>
      </c>
      <c r="K26" s="13"/>
      <c r="L26" s="67" t="s">
        <v>62</v>
      </c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8"/>
    </row>
    <row r="27" spans="1:34" x14ac:dyDescent="0.25">
      <c r="A27" s="13"/>
      <c r="B27" s="20" t="s">
        <v>11</v>
      </c>
      <c r="C27" s="13"/>
      <c r="D27" s="16">
        <f>STDEV(E7:E21)</f>
        <v>6.9780604147032816E-3</v>
      </c>
      <c r="E27" s="17">
        <f>STDEV(J7:J21)</f>
        <v>4.8080058833787857E-3</v>
      </c>
      <c r="F27" s="13"/>
      <c r="G27" s="25" t="s">
        <v>18</v>
      </c>
      <c r="H27" s="13"/>
      <c r="I27" s="13"/>
      <c r="J27" s="27">
        <f>FINV(0.975,E26-1,D26-1)</f>
        <v>2.5446440122317643E-2</v>
      </c>
      <c r="K27" s="13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8"/>
    </row>
    <row r="28" spans="1:34" ht="15.75" thickBot="1" x14ac:dyDescent="0.3">
      <c r="A28" s="13"/>
      <c r="B28" s="20" t="s">
        <v>24</v>
      </c>
      <c r="C28" s="13"/>
      <c r="D28" s="33">
        <f>D27^2</f>
        <v>4.8693327151248931E-5</v>
      </c>
      <c r="E28" s="34">
        <f>E27^2</f>
        <v>2.3116920574605017E-5</v>
      </c>
      <c r="F28" s="13"/>
      <c r="G28" s="25" t="s">
        <v>19</v>
      </c>
      <c r="H28" s="13"/>
      <c r="I28" s="13"/>
      <c r="J28" s="27">
        <f>FINV(0.025,E26-1,D26-1)</f>
        <v>8.4336207394327811</v>
      </c>
      <c r="K28" s="13"/>
      <c r="L28" s="67" t="s">
        <v>60</v>
      </c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8"/>
    </row>
    <row r="29" spans="1:34" ht="16.5" customHeight="1" thickBot="1" x14ac:dyDescent="0.35">
      <c r="A29" s="13"/>
      <c r="B29" s="21" t="s">
        <v>12</v>
      </c>
      <c r="C29" s="15"/>
      <c r="D29" s="35">
        <f>D25-E25</f>
        <v>0.11712825952414463</v>
      </c>
      <c r="E29" s="3"/>
      <c r="F29" s="13"/>
      <c r="G29" s="28" t="s">
        <v>20</v>
      </c>
      <c r="H29" s="15"/>
      <c r="I29" s="15"/>
      <c r="J29" s="44" t="str">
        <f>IF(J26&lt;J28,IF(J26&gt;J27,"yes","no"),"no")</f>
        <v>yes</v>
      </c>
      <c r="K29" s="13" t="s">
        <v>46</v>
      </c>
      <c r="L29" s="69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8"/>
    </row>
    <row r="30" spans="1:34" ht="12" customHeight="1" thickBo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69" t="s">
        <v>57</v>
      </c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spans="1:34" ht="15.75" thickBot="1" x14ac:dyDescent="0.3">
      <c r="A31" s="13"/>
      <c r="B31" s="9" t="s">
        <v>33</v>
      </c>
      <c r="C31" s="5"/>
      <c r="D31" s="5"/>
      <c r="E31" s="7"/>
      <c r="F31" s="13"/>
      <c r="G31" s="9" t="s">
        <v>34</v>
      </c>
      <c r="H31" s="5"/>
      <c r="I31" s="5"/>
      <c r="J31" s="7"/>
      <c r="L31" s="69" t="s">
        <v>1</v>
      </c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x14ac:dyDescent="0.25">
      <c r="A32" s="13"/>
      <c r="B32" s="20" t="s">
        <v>27</v>
      </c>
      <c r="C32" s="13"/>
      <c r="D32" s="13"/>
      <c r="E32" s="26">
        <f>SQRT(((D26-1)*D27^2+(E26-1)*E27^2)/(D26+E26-2))</f>
        <v>6.4331782514605446E-3</v>
      </c>
      <c r="F32" s="13"/>
      <c r="G32" s="18" t="s">
        <v>23</v>
      </c>
      <c r="H32" s="19"/>
      <c r="I32" s="19"/>
      <c r="J32" s="22">
        <f>(D28/D26+E28/E26)^2/(((D28/D26)^2)/(D26-1)+((E28/E26)^2)/(E26-1))</f>
        <v>5.8400607114758634</v>
      </c>
      <c r="K32" s="13"/>
      <c r="L32" s="69" t="s">
        <v>58</v>
      </c>
      <c r="M32" s="68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 spans="1:34" x14ac:dyDescent="0.25">
      <c r="A33" s="13"/>
      <c r="B33" s="20" t="s">
        <v>21</v>
      </c>
      <c r="C33" s="13"/>
      <c r="D33" s="13"/>
      <c r="E33" s="23">
        <f>TINV(0.05,(D26+E26-2))</f>
        <v>2.3646242515927849</v>
      </c>
      <c r="F33" s="13"/>
      <c r="G33" s="20" t="s">
        <v>21</v>
      </c>
      <c r="H33" s="13"/>
      <c r="I33" s="13"/>
      <c r="J33" s="23">
        <f>SQRT(-BETAINV(0.05,J$32/2,0.5)*J$32*(BETAINV(0.05,J$32/2,0.5)-1))/BETAINV(0.05,J$32/2,0.5)</f>
        <v>2.463248036950294</v>
      </c>
      <c r="K33" s="13"/>
      <c r="L33" s="69" t="s">
        <v>61</v>
      </c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 spans="1:34" ht="15.75" thickBot="1" x14ac:dyDescent="0.3">
      <c r="A34" s="13"/>
      <c r="B34" s="20" t="s">
        <v>29</v>
      </c>
      <c r="C34" s="13"/>
      <c r="D34" s="13"/>
      <c r="E34" s="23">
        <f>D29/(E32*SQRT(1/D26+1/E26))</f>
        <v>25.748450716190586</v>
      </c>
      <c r="F34" s="13"/>
      <c r="G34" s="20" t="s">
        <v>29</v>
      </c>
      <c r="H34" s="13"/>
      <c r="I34" s="13"/>
      <c r="J34" s="23">
        <f>D29/SQRT(D28/D26+E28/E26)</f>
        <v>29.44706751746509</v>
      </c>
      <c r="K34" s="13"/>
      <c r="L34" s="70" t="s">
        <v>59</v>
      </c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ht="19.5" thickBot="1" x14ac:dyDescent="0.35">
      <c r="A35" s="13"/>
      <c r="B35" s="20" t="s">
        <v>32</v>
      </c>
      <c r="C35" s="13"/>
      <c r="D35" s="13"/>
      <c r="E35" s="44" t="str">
        <f>IF(E34&gt;E33,"yes","no")</f>
        <v>yes</v>
      </c>
      <c r="F35" s="13"/>
      <c r="G35" s="20" t="s">
        <v>32</v>
      </c>
      <c r="H35" s="13"/>
      <c r="I35" s="13"/>
      <c r="J35" s="44" t="str">
        <f>IF(J34&gt;J33,"yes","no")</f>
        <v>yes</v>
      </c>
      <c r="K35" s="13"/>
      <c r="L35" s="70" t="s">
        <v>0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 spans="1:34" ht="15.75" thickBot="1" x14ac:dyDescent="0.3">
      <c r="A36" s="13"/>
      <c r="B36" s="21" t="s">
        <v>22</v>
      </c>
      <c r="C36" s="15"/>
      <c r="D36" s="15"/>
      <c r="E36" s="24">
        <f>TDIST(E34,(D26+E26-2),2)</f>
        <v>3.4066300757995847E-8</v>
      </c>
      <c r="F36" s="13"/>
      <c r="G36" s="21" t="s">
        <v>22</v>
      </c>
      <c r="H36" s="15"/>
      <c r="I36" s="15"/>
      <c r="J36" s="24">
        <f>BETADIST(J32/(J32+(J34^2)),J32/2,0.5)</f>
        <v>1.4173205808723326E-7</v>
      </c>
      <c r="K36" s="13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 spans="1:34" x14ac:dyDescent="0.25">
      <c r="A37" s="13"/>
      <c r="B37" s="38" t="s">
        <v>35</v>
      </c>
      <c r="C37" s="19"/>
      <c r="D37" s="19"/>
      <c r="E37" s="39">
        <f>D29-E33*E32*SQRT(1/D26+1/E26)</f>
        <v>0.10637171630255611</v>
      </c>
      <c r="G37" s="38" t="s">
        <v>37</v>
      </c>
      <c r="H37" s="19"/>
      <c r="I37" s="19"/>
      <c r="J37" s="39">
        <f>D29-J33*(SQRT(D28/D26+E28/E26))</f>
        <v>0.10733047727730002</v>
      </c>
      <c r="K37" s="13"/>
      <c r="L37" s="70" t="s">
        <v>63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ht="15.75" thickBot="1" x14ac:dyDescent="0.3">
      <c r="A38" s="13"/>
      <c r="B38" s="28" t="s">
        <v>36</v>
      </c>
      <c r="C38" s="15"/>
      <c r="D38" s="15"/>
      <c r="E38" s="40">
        <f>D29+E33*E32*SQRT(1/D26+1/E26)</f>
        <v>0.12788480274573316</v>
      </c>
      <c r="F38" s="13"/>
      <c r="G38" s="28" t="s">
        <v>38</v>
      </c>
      <c r="H38" s="15"/>
      <c r="I38" s="15"/>
      <c r="J38" s="40">
        <f>D29+J33*(SQRT(D28/D26+E28/E26))</f>
        <v>0.12692604177098923</v>
      </c>
      <c r="K38" s="13"/>
      <c r="L38" s="70" t="s">
        <v>66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 spans="1:34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70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 spans="1:34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72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 spans="1:34" x14ac:dyDescent="0.25">
      <c r="A41" s="13"/>
      <c r="B41" s="13"/>
      <c r="D41" s="13"/>
      <c r="E41" s="13"/>
      <c r="F41" s="13"/>
      <c r="G41" s="13"/>
      <c r="H41" s="13"/>
      <c r="I41" s="13"/>
      <c r="J41" s="13"/>
      <c r="K41" s="13"/>
      <c r="L41" s="72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 spans="1:34" x14ac:dyDescent="0.25">
      <c r="A42" s="13"/>
      <c r="B42" s="13"/>
      <c r="D42" s="13"/>
      <c r="E42" s="13"/>
      <c r="F42" s="13"/>
      <c r="G42" s="13"/>
      <c r="H42" s="13"/>
      <c r="I42" s="13"/>
      <c r="J42" s="13"/>
      <c r="K42" s="13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 spans="1:34" x14ac:dyDescent="0.25">
      <c r="A43" s="13"/>
      <c r="B43" s="43"/>
      <c r="C43" s="41" t="s">
        <v>3</v>
      </c>
      <c r="D43" s="31">
        <f>IF(J29="yes",E33,J33)</f>
        <v>2.3646242515927849</v>
      </c>
      <c r="E43" s="13"/>
      <c r="F43" s="13"/>
      <c r="G43" s="13"/>
      <c r="H43" s="13"/>
      <c r="I43" s="13"/>
      <c r="J43" s="13"/>
      <c r="K43" s="13"/>
      <c r="M43" s="67"/>
      <c r="N43" s="68"/>
      <c r="O43" s="68"/>
      <c r="P43" s="68"/>
      <c r="Q43" s="68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x14ac:dyDescent="0.25">
      <c r="A44" s="13"/>
      <c r="B44" s="42"/>
      <c r="C44" s="30" t="s">
        <v>26</v>
      </c>
      <c r="D44" s="32">
        <f>IF(J29="yes",E32*SQRT(1/D26+1/E26),(SQRT(D28/D26+E28/E26)))</f>
        <v>4.5489439661895682E-3</v>
      </c>
      <c r="E44" s="13"/>
      <c r="F44" s="13"/>
      <c r="G44" s="13"/>
      <c r="H44" s="13"/>
      <c r="I44" s="13"/>
      <c r="J44" s="13"/>
      <c r="K44" s="13"/>
      <c r="M44" s="67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</row>
    <row r="45" spans="1:34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</row>
    <row r="46" spans="1:34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</row>
    <row r="47" spans="1:34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</row>
    <row r="48" spans="1:34" x14ac:dyDescent="0.25"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</row>
    <row r="49" spans="18:34" x14ac:dyDescent="0.25"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</row>
  </sheetData>
  <sheetProtection password="F4E0" sheet="1"/>
  <mergeCells count="5">
    <mergeCell ref="B4:E4"/>
    <mergeCell ref="G4:J4"/>
    <mergeCell ref="C5:D5"/>
    <mergeCell ref="H5:I5"/>
    <mergeCell ref="N5:O5"/>
  </mergeCells>
  <dataValidations count="1">
    <dataValidation type="list" allowBlank="1" showInputMessage="1" showErrorMessage="1" sqref="F7:F11" xr:uid="{00000000-0002-0000-0600-000000000000}">
      <formula1>"Y, N"</formula1>
    </dataValidation>
  </dataValidations>
  <pageMargins left="0.7" right="0.7" top="0.75" bottom="0.75" header="0.3" footer="0.3"/>
  <pageSetup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49"/>
  <sheetViews>
    <sheetView zoomScale="84" zoomScaleNormal="84" workbookViewId="0">
      <selection activeCell="J7" sqref="J7:J9"/>
    </sheetView>
  </sheetViews>
  <sheetFormatPr defaultColWidth="8.85546875" defaultRowHeight="15" x14ac:dyDescent="0.25"/>
  <cols>
    <col min="1" max="1" width="2.28515625" customWidth="1"/>
    <col min="3" max="3" width="13" customWidth="1"/>
    <col min="4" max="5" width="10.28515625" customWidth="1"/>
    <col min="6" max="6" width="7.42578125" customWidth="1"/>
    <col min="11" max="11" width="6.28515625" customWidth="1"/>
    <col min="12" max="12" width="17" customWidth="1"/>
    <col min="13" max="13" width="11.28515625" customWidth="1"/>
    <col min="14" max="14" width="10.28515625" customWidth="1"/>
    <col min="15" max="15" width="8.5703125" customWidth="1"/>
  </cols>
  <sheetData>
    <row r="1" spans="1:34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34" ht="18.75" x14ac:dyDescent="0.3">
      <c r="A2" s="13"/>
      <c r="B2" s="29" t="s">
        <v>28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ht="15.75" thickBo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ht="15.75" thickBot="1" x14ac:dyDescent="0.3">
      <c r="A4" s="13"/>
      <c r="B4" s="96" t="s">
        <v>47</v>
      </c>
      <c r="C4" s="97"/>
      <c r="D4" s="97"/>
      <c r="E4" s="98"/>
      <c r="F4" s="1"/>
      <c r="G4" s="99" t="s">
        <v>48</v>
      </c>
      <c r="H4" s="100"/>
      <c r="I4" s="100"/>
      <c r="J4" s="101"/>
      <c r="K4" s="13"/>
      <c r="L4" s="53" t="s">
        <v>40</v>
      </c>
      <c r="M4" s="54"/>
      <c r="N4" s="55"/>
      <c r="O4" s="56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ht="15.75" thickBot="1" x14ac:dyDescent="0.3">
      <c r="A5" s="13"/>
      <c r="B5" s="48"/>
      <c r="C5" s="102" t="s">
        <v>6</v>
      </c>
      <c r="D5" s="102"/>
      <c r="E5" s="49"/>
      <c r="F5" s="1"/>
      <c r="G5" s="50"/>
      <c r="H5" s="102" t="s">
        <v>6</v>
      </c>
      <c r="I5" s="102"/>
      <c r="J5" s="49"/>
      <c r="K5" s="13"/>
      <c r="L5" s="57"/>
      <c r="M5" s="58" t="s">
        <v>25</v>
      </c>
      <c r="N5" s="103" t="s">
        <v>51</v>
      </c>
      <c r="O5" s="104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9.5" thickBot="1" x14ac:dyDescent="0.35">
      <c r="A6" s="13"/>
      <c r="B6" s="48" t="s">
        <v>7</v>
      </c>
      <c r="C6" s="52" t="s">
        <v>5</v>
      </c>
      <c r="D6" s="52" t="s">
        <v>49</v>
      </c>
      <c r="E6" s="49" t="s">
        <v>8</v>
      </c>
      <c r="F6" s="1"/>
      <c r="G6" s="48" t="s">
        <v>7</v>
      </c>
      <c r="H6" s="52" t="s">
        <v>5</v>
      </c>
      <c r="I6" s="52" t="s">
        <v>50</v>
      </c>
      <c r="J6" s="49" t="s">
        <v>8</v>
      </c>
      <c r="K6" s="13"/>
      <c r="L6" s="59" t="s">
        <v>30</v>
      </c>
      <c r="M6" s="60">
        <f>D29/(D25)</f>
        <v>2.2504344414957488E-2</v>
      </c>
      <c r="N6" s="61" t="s">
        <v>52</v>
      </c>
      <c r="O6" s="62">
        <f>D43*D44/D25</f>
        <v>1.4317607276755722E-2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19.5" thickBot="1" x14ac:dyDescent="0.35">
      <c r="A7" s="13"/>
      <c r="B7" s="11">
        <v>1</v>
      </c>
      <c r="C7" s="73">
        <v>22.52</v>
      </c>
      <c r="D7" s="74">
        <v>21.58</v>
      </c>
      <c r="E7" s="45">
        <f t="shared" ref="E7:E21" si="0">IF(OR(D7="",C7=""),"",C7/D7)</f>
        <v>1.0435588507877664</v>
      </c>
      <c r="F7" s="1"/>
      <c r="G7" s="11">
        <v>1</v>
      </c>
      <c r="H7" s="73">
        <v>21.9</v>
      </c>
      <c r="I7" s="74">
        <v>21.6</v>
      </c>
      <c r="J7" s="45">
        <f t="shared" ref="J7:J21" si="1">IF(OR(I7="",H7=""),"",H7/I7)</f>
        <v>1.0138888888888888</v>
      </c>
      <c r="K7" s="13"/>
      <c r="L7" s="63" t="s">
        <v>31</v>
      </c>
      <c r="M7" s="64">
        <f>D29/(E25)</f>
        <v>2.30224495488815E-2</v>
      </c>
      <c r="N7" s="65" t="s">
        <v>52</v>
      </c>
      <c r="O7" s="66">
        <f>D43*D44/E25</f>
        <v>1.464723366794553E-2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 x14ac:dyDescent="0.25">
      <c r="A8" s="13"/>
      <c r="B8" s="12">
        <v>2</v>
      </c>
      <c r="C8" s="75">
        <v>22</v>
      </c>
      <c r="D8" s="76">
        <v>21.5</v>
      </c>
      <c r="E8" s="46">
        <f t="shared" si="0"/>
        <v>1.0232558139534884</v>
      </c>
      <c r="F8" s="1"/>
      <c r="G8" s="12">
        <v>2</v>
      </c>
      <c r="H8" s="75">
        <v>21.54</v>
      </c>
      <c r="I8" s="76">
        <v>21.12</v>
      </c>
      <c r="J8" s="46">
        <f t="shared" si="1"/>
        <v>1.0198863636363635</v>
      </c>
      <c r="K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4" x14ac:dyDescent="0.25">
      <c r="A9" s="13"/>
      <c r="B9" s="12">
        <v>3</v>
      </c>
      <c r="C9" s="75">
        <v>21.14</v>
      </c>
      <c r="D9" s="76">
        <v>20.54</v>
      </c>
      <c r="E9" s="46">
        <f t="shared" si="0"/>
        <v>1.0292112950340799</v>
      </c>
      <c r="F9" s="1"/>
      <c r="G9" s="12">
        <v>3</v>
      </c>
      <c r="H9" s="75">
        <v>21.4</v>
      </c>
      <c r="I9" s="76">
        <v>21.38</v>
      </c>
      <c r="J9" s="46">
        <f t="shared" si="1"/>
        <v>1.0009354536950421</v>
      </c>
      <c r="K9" s="13"/>
      <c r="L9" s="51" t="s">
        <v>41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x14ac:dyDescent="0.25">
      <c r="A10" s="13"/>
      <c r="B10" s="12">
        <v>4</v>
      </c>
      <c r="C10" s="77">
        <v>21.54</v>
      </c>
      <c r="D10" s="78">
        <v>20.52</v>
      </c>
      <c r="E10" s="46">
        <f t="shared" si="0"/>
        <v>1.0497076023391814</v>
      </c>
      <c r="F10" s="1"/>
      <c r="G10" s="12">
        <v>4</v>
      </c>
      <c r="H10" s="77"/>
      <c r="I10" s="78"/>
      <c r="J10" s="46" t="str">
        <f t="shared" si="1"/>
        <v/>
      </c>
      <c r="K10" s="13"/>
      <c r="L10" s="13" t="s">
        <v>42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x14ac:dyDescent="0.25">
      <c r="A11" s="13"/>
      <c r="B11" s="12">
        <v>5</v>
      </c>
      <c r="C11" s="77">
        <v>21.08</v>
      </c>
      <c r="D11" s="78">
        <v>20.5</v>
      </c>
      <c r="E11" s="46">
        <f t="shared" si="0"/>
        <v>1.0282926829268293</v>
      </c>
      <c r="F11" s="1"/>
      <c r="G11" s="12">
        <v>5</v>
      </c>
      <c r="H11" s="77"/>
      <c r="I11" s="78"/>
      <c r="J11" s="46" t="str">
        <f t="shared" si="1"/>
        <v/>
      </c>
      <c r="K11" s="13"/>
      <c r="L11" s="13" t="s">
        <v>43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x14ac:dyDescent="0.25">
      <c r="A12" s="13"/>
      <c r="B12" s="12">
        <v>6</v>
      </c>
      <c r="C12" s="79">
        <v>21.42</v>
      </c>
      <c r="D12" s="80">
        <v>20.7</v>
      </c>
      <c r="E12" s="46">
        <f t="shared" si="0"/>
        <v>1.0347826086956522</v>
      </c>
      <c r="F12" s="13"/>
      <c r="G12" s="12">
        <v>6</v>
      </c>
      <c r="H12" s="79"/>
      <c r="I12" s="80"/>
      <c r="J12" s="46" t="str">
        <f t="shared" si="1"/>
        <v/>
      </c>
      <c r="K12" s="13"/>
      <c r="L12" s="13" t="s">
        <v>45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x14ac:dyDescent="0.25">
      <c r="A13" s="13"/>
      <c r="B13" s="12">
        <v>7</v>
      </c>
      <c r="C13" s="79">
        <v>21.76</v>
      </c>
      <c r="D13" s="80">
        <v>21.02</v>
      </c>
      <c r="E13" s="46">
        <f t="shared" si="0"/>
        <v>1.0352045670789725</v>
      </c>
      <c r="F13" s="13"/>
      <c r="G13" s="12">
        <v>7</v>
      </c>
      <c r="H13" s="79"/>
      <c r="I13" s="80"/>
      <c r="J13" s="46" t="str">
        <f t="shared" si="1"/>
        <v/>
      </c>
      <c r="K13" s="13"/>
      <c r="L13" s="13" t="s">
        <v>44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 x14ac:dyDescent="0.25">
      <c r="A14" s="13"/>
      <c r="B14" s="12">
        <v>8</v>
      </c>
      <c r="C14" s="79"/>
      <c r="D14" s="80"/>
      <c r="E14" s="46" t="str">
        <f t="shared" si="0"/>
        <v/>
      </c>
      <c r="F14" s="13"/>
      <c r="G14" s="12">
        <v>8</v>
      </c>
      <c r="H14" s="79"/>
      <c r="I14" s="80"/>
      <c r="J14" s="46" t="str">
        <f t="shared" si="1"/>
        <v/>
      </c>
      <c r="K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x14ac:dyDescent="0.25">
      <c r="A15" s="13"/>
      <c r="B15" s="12">
        <v>9</v>
      </c>
      <c r="C15" s="79"/>
      <c r="D15" s="80"/>
      <c r="E15" s="46" t="str">
        <f t="shared" si="0"/>
        <v/>
      </c>
      <c r="F15" s="13"/>
      <c r="G15" s="12">
        <v>9</v>
      </c>
      <c r="H15" s="79"/>
      <c r="I15" s="80"/>
      <c r="J15" s="46" t="str">
        <f t="shared" si="1"/>
        <v/>
      </c>
      <c r="K15" s="13"/>
      <c r="L15" s="51" t="s">
        <v>39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x14ac:dyDescent="0.25">
      <c r="A16" s="13"/>
      <c r="B16" s="12">
        <v>10</v>
      </c>
      <c r="C16" s="79"/>
      <c r="D16" s="80"/>
      <c r="E16" s="46" t="str">
        <f t="shared" si="0"/>
        <v/>
      </c>
      <c r="F16" s="13"/>
      <c r="G16" s="12">
        <v>10</v>
      </c>
      <c r="H16" s="79"/>
      <c r="I16" s="80"/>
      <c r="J16" s="46" t="str">
        <f t="shared" si="1"/>
        <v/>
      </c>
      <c r="K16" s="13"/>
      <c r="L16" s="67" t="s">
        <v>53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4" x14ac:dyDescent="0.25">
      <c r="A17" s="13"/>
      <c r="B17" s="12">
        <v>11</v>
      </c>
      <c r="C17" s="79"/>
      <c r="D17" s="80"/>
      <c r="E17" s="46" t="str">
        <f t="shared" si="0"/>
        <v/>
      </c>
      <c r="F17" s="13"/>
      <c r="G17" s="12">
        <v>11</v>
      </c>
      <c r="H17" s="79"/>
      <c r="I17" s="80"/>
      <c r="J17" s="46" t="str">
        <f t="shared" si="1"/>
        <v/>
      </c>
      <c r="K17" s="13"/>
      <c r="L17" s="67" t="s">
        <v>54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x14ac:dyDescent="0.25">
      <c r="A18" s="13"/>
      <c r="B18" s="12">
        <v>12</v>
      </c>
      <c r="C18" s="79"/>
      <c r="D18" s="80"/>
      <c r="E18" s="46" t="str">
        <f t="shared" si="0"/>
        <v/>
      </c>
      <c r="F18" s="13"/>
      <c r="G18" s="12">
        <v>12</v>
      </c>
      <c r="H18" s="79"/>
      <c r="I18" s="80"/>
      <c r="J18" s="46" t="str">
        <f t="shared" si="1"/>
        <v/>
      </c>
      <c r="K18" s="13"/>
      <c r="L18" s="67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x14ac:dyDescent="0.25">
      <c r="A19" s="13"/>
      <c r="B19" s="12">
        <v>13</v>
      </c>
      <c r="C19" s="79"/>
      <c r="D19" s="80"/>
      <c r="E19" s="46" t="str">
        <f t="shared" si="0"/>
        <v/>
      </c>
      <c r="F19" s="13"/>
      <c r="G19" s="12">
        <v>13</v>
      </c>
      <c r="H19" s="79"/>
      <c r="I19" s="80"/>
      <c r="J19" s="46" t="str">
        <f t="shared" si="1"/>
        <v/>
      </c>
      <c r="K19" s="13"/>
      <c r="L19" s="67" t="s">
        <v>55</v>
      </c>
      <c r="M19" s="67"/>
      <c r="N19" s="67"/>
      <c r="O19" s="67"/>
      <c r="P19" s="67"/>
      <c r="Q19" s="67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1:34" x14ac:dyDescent="0.25">
      <c r="A20" s="13"/>
      <c r="B20" s="12">
        <v>14</v>
      </c>
      <c r="C20" s="79"/>
      <c r="D20" s="80"/>
      <c r="E20" s="46" t="str">
        <f t="shared" si="0"/>
        <v/>
      </c>
      <c r="F20" s="13"/>
      <c r="G20" s="12">
        <v>14</v>
      </c>
      <c r="H20" s="79"/>
      <c r="I20" s="80"/>
      <c r="J20" s="46" t="str">
        <f t="shared" si="1"/>
        <v/>
      </c>
      <c r="K20" s="13"/>
      <c r="L20" s="67" t="s">
        <v>56</v>
      </c>
      <c r="M20" s="67"/>
      <c r="N20" s="67"/>
      <c r="O20" s="67"/>
      <c r="P20" s="67"/>
      <c r="Q20" s="67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ht="15" customHeight="1" thickBot="1" x14ac:dyDescent="0.3">
      <c r="A21" s="13"/>
      <c r="B21" s="14">
        <v>15</v>
      </c>
      <c r="C21" s="81"/>
      <c r="D21" s="82"/>
      <c r="E21" s="47" t="str">
        <f t="shared" si="0"/>
        <v/>
      </c>
      <c r="F21" s="13"/>
      <c r="G21" s="14">
        <v>15</v>
      </c>
      <c r="H21" s="81"/>
      <c r="I21" s="82"/>
      <c r="J21" s="47" t="str">
        <f t="shared" si="1"/>
        <v/>
      </c>
      <c r="K21" s="13"/>
      <c r="L21" s="67"/>
      <c r="M21" s="67"/>
      <c r="N21" s="67"/>
      <c r="O21" s="67"/>
      <c r="P21" s="67"/>
      <c r="Q21" s="67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ht="14.25" customHeight="1" thickBot="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67" t="s">
        <v>64</v>
      </c>
      <c r="M22" s="67"/>
      <c r="N22" s="67"/>
      <c r="O22" s="67"/>
      <c r="P22" s="67"/>
      <c r="Q22" s="67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6.5" thickBot="1" x14ac:dyDescent="0.3">
      <c r="A23" s="13"/>
      <c r="B23" s="9" t="s">
        <v>13</v>
      </c>
      <c r="C23" s="6"/>
      <c r="D23" s="5"/>
      <c r="E23" s="7"/>
      <c r="F23" s="13"/>
      <c r="G23" s="9" t="s">
        <v>14</v>
      </c>
      <c r="H23" s="5"/>
      <c r="I23" s="5"/>
      <c r="J23" s="7"/>
      <c r="K23" s="13"/>
      <c r="L23" s="67" t="s">
        <v>65</v>
      </c>
      <c r="M23" s="67"/>
      <c r="N23" s="67"/>
      <c r="O23" s="67"/>
      <c r="P23" s="67"/>
      <c r="Q23" s="67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4" ht="16.5" thickBot="1" x14ac:dyDescent="0.3">
      <c r="A24" s="13"/>
      <c r="B24" s="4"/>
      <c r="C24" s="6"/>
      <c r="D24" s="5" t="s">
        <v>4</v>
      </c>
      <c r="E24" s="8" t="s">
        <v>5</v>
      </c>
      <c r="F24" s="13"/>
      <c r="G24" s="25" t="s">
        <v>15</v>
      </c>
      <c r="H24" s="13"/>
      <c r="I24" s="13"/>
      <c r="J24" s="26">
        <f>D27^2</f>
        <v>8.4323444181024453E-5</v>
      </c>
      <c r="K24" s="13"/>
      <c r="L24" s="68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8"/>
    </row>
    <row r="25" spans="1:34" x14ac:dyDescent="0.25">
      <c r="A25" s="13"/>
      <c r="B25" s="18" t="s">
        <v>9</v>
      </c>
      <c r="C25" s="19"/>
      <c r="D25" s="36">
        <f>AVERAGE(E7:E21)</f>
        <v>1.0348590601165673</v>
      </c>
      <c r="E25" s="37">
        <f>AVERAGE(J7:J21)</f>
        <v>1.0115702354067648</v>
      </c>
      <c r="F25" s="13"/>
      <c r="G25" s="25" t="s">
        <v>16</v>
      </c>
      <c r="H25" s="13"/>
      <c r="I25" s="13"/>
      <c r="J25" s="27">
        <f>E27^2</f>
        <v>9.3816362378643177E-5</v>
      </c>
      <c r="K25" s="13"/>
      <c r="L25" s="67" t="s">
        <v>2</v>
      </c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8"/>
    </row>
    <row r="26" spans="1:34" x14ac:dyDescent="0.25">
      <c r="A26" s="13"/>
      <c r="B26" s="20" t="s">
        <v>10</v>
      </c>
      <c r="C26" s="13"/>
      <c r="D26" s="10">
        <f>COUNT(E7:E21)</f>
        <v>7</v>
      </c>
      <c r="E26" s="2">
        <f>COUNT(J7:J21)</f>
        <v>3</v>
      </c>
      <c r="F26" s="13"/>
      <c r="G26" s="25" t="s">
        <v>17</v>
      </c>
      <c r="H26" s="13"/>
      <c r="I26" s="13"/>
      <c r="J26" s="27">
        <f>J25/J24</f>
        <v>1.112577448535421</v>
      </c>
      <c r="K26" s="13"/>
      <c r="L26" s="67" t="s">
        <v>62</v>
      </c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8"/>
    </row>
    <row r="27" spans="1:34" x14ac:dyDescent="0.25">
      <c r="A27" s="13"/>
      <c r="B27" s="20" t="s">
        <v>11</v>
      </c>
      <c r="C27" s="13"/>
      <c r="D27" s="16">
        <f>STDEV(E7:E21)</f>
        <v>9.1827797632865211E-3</v>
      </c>
      <c r="E27" s="17">
        <f>STDEV(J7:J21)</f>
        <v>9.6858846977776469E-3</v>
      </c>
      <c r="F27" s="13"/>
      <c r="G27" s="25" t="s">
        <v>18</v>
      </c>
      <c r="H27" s="13"/>
      <c r="I27" s="13"/>
      <c r="J27" s="27">
        <f>FINV(0.975,E26-1,D26-1)</f>
        <v>2.5424941047334615E-2</v>
      </c>
      <c r="K27" s="13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8"/>
    </row>
    <row r="28" spans="1:34" ht="15.75" thickBot="1" x14ac:dyDescent="0.3">
      <c r="A28" s="13"/>
      <c r="B28" s="20" t="s">
        <v>24</v>
      </c>
      <c r="C28" s="13"/>
      <c r="D28" s="33">
        <f>D27^2</f>
        <v>8.4323444181024453E-5</v>
      </c>
      <c r="E28" s="34">
        <f>E27^2</f>
        <v>9.3816362378643177E-5</v>
      </c>
      <c r="F28" s="13"/>
      <c r="G28" s="25" t="s">
        <v>19</v>
      </c>
      <c r="H28" s="13"/>
      <c r="I28" s="13"/>
      <c r="J28" s="27">
        <f>FINV(0.025,E26-1,D26-1)</f>
        <v>7.2598556800601788</v>
      </c>
      <c r="K28" s="13"/>
      <c r="L28" s="67" t="s">
        <v>60</v>
      </c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8"/>
    </row>
    <row r="29" spans="1:34" ht="16.5" customHeight="1" thickBot="1" x14ac:dyDescent="0.35">
      <c r="A29" s="13"/>
      <c r="B29" s="21" t="s">
        <v>12</v>
      </c>
      <c r="C29" s="15"/>
      <c r="D29" s="35">
        <f>D25-E25</f>
        <v>2.3288824709802425E-2</v>
      </c>
      <c r="E29" s="3"/>
      <c r="F29" s="13"/>
      <c r="G29" s="28" t="s">
        <v>20</v>
      </c>
      <c r="H29" s="15"/>
      <c r="I29" s="15"/>
      <c r="J29" s="44" t="str">
        <f>IF(J26&lt;J28,IF(J26&gt;J27,"yes","no"),"no")</f>
        <v>yes</v>
      </c>
      <c r="K29" s="13" t="s">
        <v>46</v>
      </c>
      <c r="L29" s="69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8"/>
    </row>
    <row r="30" spans="1:34" ht="12" customHeight="1" thickBo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69" t="s">
        <v>57</v>
      </c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spans="1:34" ht="15.75" thickBot="1" x14ac:dyDescent="0.3">
      <c r="A31" s="13"/>
      <c r="B31" s="9" t="s">
        <v>33</v>
      </c>
      <c r="C31" s="5"/>
      <c r="D31" s="5"/>
      <c r="E31" s="7"/>
      <c r="F31" s="13"/>
      <c r="G31" s="9" t="s">
        <v>34</v>
      </c>
      <c r="H31" s="5"/>
      <c r="I31" s="5"/>
      <c r="J31" s="7"/>
      <c r="L31" s="69" t="s">
        <v>1</v>
      </c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x14ac:dyDescent="0.25">
      <c r="A32" s="13"/>
      <c r="B32" s="20" t="s">
        <v>27</v>
      </c>
      <c r="C32" s="13"/>
      <c r="D32" s="13"/>
      <c r="E32" s="26">
        <f>SQRT(((D26-1)*D27^2+(E26-1)*E27^2)/(D26+E26-2))</f>
        <v>9.3111048608867653E-3</v>
      </c>
      <c r="F32" s="13"/>
      <c r="G32" s="18" t="s">
        <v>23</v>
      </c>
      <c r="H32" s="19"/>
      <c r="I32" s="19"/>
      <c r="J32" s="22">
        <f>(D28/D26+E28/E26)^2/(((D28/D26)^2)/(D26-1)+((E28/E26)^2)/(E26-1))</f>
        <v>3.6567249152157251</v>
      </c>
      <c r="K32" s="13"/>
      <c r="L32" s="69" t="s">
        <v>58</v>
      </c>
      <c r="M32" s="68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 spans="1:34" x14ac:dyDescent="0.25">
      <c r="A33" s="13"/>
      <c r="B33" s="20" t="s">
        <v>21</v>
      </c>
      <c r="C33" s="13"/>
      <c r="D33" s="13"/>
      <c r="E33" s="23">
        <f>TINV(0.05,(D26+E26-2))</f>
        <v>2.3060041352041671</v>
      </c>
      <c r="F33" s="13"/>
      <c r="G33" s="20" t="s">
        <v>21</v>
      </c>
      <c r="H33" s="13"/>
      <c r="I33" s="13"/>
      <c r="J33" s="23">
        <f>SQRT(-BETAINV(0.05,J$32/2,0.5)*J$32*(BETAINV(0.05,J$32/2,0.5)-1))/BETAINV(0.05,J$32/2,0.5)</f>
        <v>2.8823194239523078</v>
      </c>
      <c r="K33" s="13"/>
      <c r="L33" s="69" t="s">
        <v>61</v>
      </c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 spans="1:34" ht="15.75" thickBot="1" x14ac:dyDescent="0.3">
      <c r="A34" s="13"/>
      <c r="B34" s="20" t="s">
        <v>29</v>
      </c>
      <c r="C34" s="13"/>
      <c r="D34" s="13"/>
      <c r="E34" s="23">
        <f>D29/(E32*SQRT(1/D26+1/E26))</f>
        <v>3.6245659122946603</v>
      </c>
      <c r="F34" s="13"/>
      <c r="G34" s="20" t="s">
        <v>29</v>
      </c>
      <c r="H34" s="13"/>
      <c r="I34" s="13"/>
      <c r="J34" s="23">
        <f>D29/SQRT(D28/D26+E28/E26)</f>
        <v>3.5384391690378227</v>
      </c>
      <c r="K34" s="13"/>
      <c r="L34" s="70" t="s">
        <v>59</v>
      </c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ht="19.5" thickBot="1" x14ac:dyDescent="0.35">
      <c r="A35" s="13"/>
      <c r="B35" s="20" t="s">
        <v>32</v>
      </c>
      <c r="C35" s="13"/>
      <c r="D35" s="13"/>
      <c r="E35" s="44" t="str">
        <f>IF(E34&gt;E33,"yes","no")</f>
        <v>yes</v>
      </c>
      <c r="F35" s="13"/>
      <c r="G35" s="20" t="s">
        <v>32</v>
      </c>
      <c r="H35" s="13"/>
      <c r="I35" s="13"/>
      <c r="J35" s="44" t="str">
        <f>IF(J34&gt;J33,"yes","no")</f>
        <v>yes</v>
      </c>
      <c r="K35" s="13"/>
      <c r="L35" s="70" t="s">
        <v>0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 spans="1:34" ht="15.75" thickBot="1" x14ac:dyDescent="0.3">
      <c r="A36" s="13"/>
      <c r="B36" s="21" t="s">
        <v>22</v>
      </c>
      <c r="C36" s="15"/>
      <c r="D36" s="15"/>
      <c r="E36" s="24">
        <f>TDIST(E34,(D26+E26-2),2)</f>
        <v>6.7378624956425451E-3</v>
      </c>
      <c r="F36" s="13"/>
      <c r="G36" s="21" t="s">
        <v>22</v>
      </c>
      <c r="H36" s="15"/>
      <c r="I36" s="15"/>
      <c r="J36" s="24">
        <f>BETADIST(J32/(J32+(J34^2)),J32/2,0.5)</f>
        <v>2.7876187067188772E-2</v>
      </c>
      <c r="K36" s="13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 spans="1:34" x14ac:dyDescent="0.25">
      <c r="A37" s="13"/>
      <c r="B37" s="38" t="s">
        <v>35</v>
      </c>
      <c r="C37" s="19"/>
      <c r="D37" s="19"/>
      <c r="E37" s="39">
        <f>D29-E33*E32*SQRT(1/D26+1/E26)</f>
        <v>8.4721191002608762E-3</v>
      </c>
      <c r="G37" s="38" t="s">
        <v>37</v>
      </c>
      <c r="H37" s="19"/>
      <c r="I37" s="19"/>
      <c r="J37" s="39">
        <f>D29-J33*(SQRT(D28/D26+E28/E26))</f>
        <v>4.3183610066389357E-3</v>
      </c>
      <c r="K37" s="13"/>
      <c r="L37" s="70" t="s">
        <v>63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ht="15.75" thickBot="1" x14ac:dyDescent="0.3">
      <c r="A38" s="13"/>
      <c r="B38" s="28" t="s">
        <v>36</v>
      </c>
      <c r="C38" s="15"/>
      <c r="D38" s="15"/>
      <c r="E38" s="40">
        <f>D29+E33*E32*SQRT(1/D26+1/E26)</f>
        <v>3.8105530319343973E-2</v>
      </c>
      <c r="F38" s="13"/>
      <c r="G38" s="28" t="s">
        <v>38</v>
      </c>
      <c r="H38" s="15"/>
      <c r="I38" s="15"/>
      <c r="J38" s="40">
        <f>D29+J33*(SQRT(D28/D26+E28/E26))</f>
        <v>4.2259288412965917E-2</v>
      </c>
      <c r="K38" s="13"/>
      <c r="L38" s="70" t="s">
        <v>66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 spans="1:34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70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 spans="1:34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72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 spans="1:34" x14ac:dyDescent="0.25">
      <c r="A41" s="13"/>
      <c r="B41" s="13"/>
      <c r="D41" s="13"/>
      <c r="E41" s="13"/>
      <c r="F41" s="13"/>
      <c r="G41" s="13"/>
      <c r="H41" s="13"/>
      <c r="I41" s="13"/>
      <c r="J41" s="13"/>
      <c r="K41" s="13"/>
      <c r="L41" s="72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 spans="1:34" x14ac:dyDescent="0.25">
      <c r="A42" s="13"/>
      <c r="B42" s="13"/>
      <c r="D42" s="13"/>
      <c r="E42" s="13"/>
      <c r="F42" s="13"/>
      <c r="G42" s="13"/>
      <c r="H42" s="13"/>
      <c r="I42" s="13"/>
      <c r="J42" s="13"/>
      <c r="K42" s="13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 spans="1:34" x14ac:dyDescent="0.25">
      <c r="A43" s="13"/>
      <c r="B43" s="43"/>
      <c r="C43" s="41" t="s">
        <v>3</v>
      </c>
      <c r="D43" s="31">
        <f>IF(J29="yes",E33,J33)</f>
        <v>2.3060041352041671</v>
      </c>
      <c r="E43" s="13"/>
      <c r="F43" s="13"/>
      <c r="G43" s="13"/>
      <c r="H43" s="13"/>
      <c r="I43" s="13"/>
      <c r="J43" s="13"/>
      <c r="K43" s="13"/>
      <c r="M43" s="67"/>
      <c r="N43" s="68"/>
      <c r="O43" s="68"/>
      <c r="P43" s="68"/>
      <c r="Q43" s="68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x14ac:dyDescent="0.25">
      <c r="A44" s="13"/>
      <c r="B44" s="42"/>
      <c r="C44" s="30" t="s">
        <v>26</v>
      </c>
      <c r="D44" s="32">
        <f>IF(J29="yes",E32*SQRT(1/D26+1/E26),(SQRT(D28/D26+E28/E26)))</f>
        <v>6.4252727839231392E-3</v>
      </c>
      <c r="E44" s="13"/>
      <c r="F44" s="13"/>
      <c r="G44" s="13"/>
      <c r="H44" s="13"/>
      <c r="I44" s="13"/>
      <c r="J44" s="13"/>
      <c r="K44" s="13"/>
      <c r="M44" s="67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</row>
    <row r="45" spans="1:34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</row>
    <row r="46" spans="1:34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</row>
    <row r="47" spans="1:34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</row>
    <row r="48" spans="1:34" x14ac:dyDescent="0.25"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</row>
    <row r="49" spans="18:34" x14ac:dyDescent="0.25"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</row>
  </sheetData>
  <sheetProtection password="F4E0" sheet="1"/>
  <mergeCells count="5">
    <mergeCell ref="B4:E4"/>
    <mergeCell ref="G4:J4"/>
    <mergeCell ref="C5:D5"/>
    <mergeCell ref="H5:I5"/>
    <mergeCell ref="N5:O5"/>
  </mergeCells>
  <dataValidations count="1">
    <dataValidation type="list" allowBlank="1" showInputMessage="1" showErrorMessage="1" sqref="F7:F11" xr:uid="{00000000-0002-0000-0700-000000000000}">
      <formula1>"Y, N"</formula1>
    </dataValidation>
  </dataValidations>
  <pageMargins left="0.7" right="0.7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AllFuelData</vt:lpstr>
      <vt:lpstr>Aero fits</vt:lpstr>
      <vt:lpstr>AL-S30-T1</vt:lpstr>
      <vt:lpstr>AL-S30-T2</vt:lpstr>
      <vt:lpstr>AL-S40-T1</vt:lpstr>
      <vt:lpstr>AL-S40-T2</vt:lpstr>
      <vt:lpstr>AL-S50-T1</vt:lpstr>
      <vt:lpstr>AL-S50-T2</vt:lpstr>
      <vt:lpstr>AL-S75-T1</vt:lpstr>
      <vt:lpstr>AL-S75-T2</vt:lpstr>
      <vt:lpstr>AL-S150-T1</vt:lpstr>
      <vt:lpstr>AL-S150-T2</vt:lpstr>
      <vt:lpstr>AL-S150-T2_T1Ref</vt:lpstr>
      <vt:lpstr>AL-S258-T1</vt:lpstr>
      <vt:lpstr>AL-S258-T2</vt:lpstr>
      <vt:lpstr>AL-S258-T2_T1Ref</vt:lpstr>
    </vt:vector>
  </TitlesOfParts>
  <Company>Old Dominion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DLandman</dc:creator>
  <cp:lastModifiedBy>Evan Stegner</cp:lastModifiedBy>
  <cp:lastPrinted>2011-03-13T13:36:32Z</cp:lastPrinted>
  <dcterms:created xsi:type="dcterms:W3CDTF">2011-01-24T21:31:33Z</dcterms:created>
  <dcterms:modified xsi:type="dcterms:W3CDTF">2023-11-30T00:11:18Z</dcterms:modified>
  <cp:contentStatus/>
</cp:coreProperties>
</file>