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ocuments/CA-MFA/"/>
    </mc:Choice>
  </mc:AlternateContent>
  <xr:revisionPtr revIDLastSave="0" documentId="13_ncr:1_{CD815106-5CF0-1D49-8753-C55EF07E98B0}" xr6:coauthVersionLast="47" xr6:coauthVersionMax="47" xr10:uidLastSave="{00000000-0000-0000-0000-000000000000}"/>
  <bookViews>
    <workbookView xWindow="0" yWindow="500" windowWidth="28800" windowHeight="15800" activeTab="1" xr2:uid="{F16657F8-E483-884C-8EC4-21C57E42FB6B}"/>
  </bookViews>
  <sheets>
    <sheet name="Production_Consumption" sheetId="1" r:id="rId1"/>
    <sheet name="CA Scaled Consumption" sheetId="14" r:id="rId2"/>
    <sheet name="County Scaled Consumption " sheetId="15" r:id="rId3"/>
    <sheet name="CA Population" sheetId="13" r:id="rId4"/>
    <sheet name="EoL" sheetId="11" r:id="rId5"/>
    <sheet name="Fiber Fabric" sheetId="2" r:id="rId6"/>
    <sheet name="Additives" sheetId="3" r:id="rId7"/>
    <sheet name="Trade" sheetId="4" r:id="rId8"/>
    <sheet name="NAFTA" sheetId="5" r:id="rId9"/>
    <sheet name="1950~2004" sheetId="7" r:id="rId10"/>
    <sheet name="Europe" sheetId="8" r:id="rId11"/>
    <sheet name="Lifetime" sheetId="9" r:id="rId12"/>
    <sheet name="Comparison Data" sheetId="1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L8" i="14"/>
  <c r="K9" i="14"/>
  <c r="K10" i="14"/>
  <c r="K11" i="14"/>
  <c r="K12" i="14"/>
  <c r="L12" i="14"/>
  <c r="K13" i="14"/>
  <c r="K14" i="14"/>
  <c r="K15" i="14"/>
  <c r="K16" i="14"/>
  <c r="K17" i="14"/>
  <c r="K18" i="14"/>
  <c r="B24" i="14"/>
  <c r="C24" i="14"/>
  <c r="D24" i="14"/>
  <c r="E24" i="14"/>
  <c r="F24" i="14"/>
  <c r="G24" i="14"/>
  <c r="H24" i="14"/>
  <c r="I24" i="14"/>
  <c r="J24" i="14"/>
  <c r="B25" i="14"/>
  <c r="C25" i="14"/>
  <c r="D25" i="14"/>
  <c r="E25" i="14"/>
  <c r="F25" i="14"/>
  <c r="G25" i="14"/>
  <c r="H25" i="14"/>
  <c r="I25" i="14"/>
  <c r="J25" i="14"/>
  <c r="B26" i="14"/>
  <c r="C26" i="14"/>
  <c r="D26" i="14"/>
  <c r="E26" i="14"/>
  <c r="F26" i="14"/>
  <c r="G26" i="14"/>
  <c r="H26" i="14"/>
  <c r="I26" i="14"/>
  <c r="J26" i="14"/>
  <c r="B27" i="14"/>
  <c r="C27" i="14"/>
  <c r="D27" i="14"/>
  <c r="E27" i="14"/>
  <c r="F27" i="14"/>
  <c r="G27" i="14"/>
  <c r="H27" i="14"/>
  <c r="I27" i="14"/>
  <c r="J27" i="14"/>
  <c r="B28" i="14"/>
  <c r="C28" i="14"/>
  <c r="D28" i="14"/>
  <c r="E28" i="14"/>
  <c r="F28" i="14"/>
  <c r="G28" i="14"/>
  <c r="H28" i="14"/>
  <c r="I28" i="14"/>
  <c r="J28" i="14"/>
  <c r="B29" i="14"/>
  <c r="C29" i="14"/>
  <c r="D29" i="14"/>
  <c r="E29" i="14"/>
  <c r="F29" i="14"/>
  <c r="G29" i="14"/>
  <c r="H29" i="14"/>
  <c r="I29" i="14"/>
  <c r="J29" i="14"/>
  <c r="B30" i="14"/>
  <c r="C30" i="14"/>
  <c r="D30" i="14"/>
  <c r="E30" i="14"/>
  <c r="F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B32" i="14"/>
  <c r="C32" i="14"/>
  <c r="D32" i="14"/>
  <c r="E32" i="14"/>
  <c r="F32" i="14"/>
  <c r="G32" i="14"/>
  <c r="H32" i="14"/>
  <c r="I32" i="14"/>
  <c r="J32" i="14"/>
  <c r="B33" i="14"/>
  <c r="C33" i="14"/>
  <c r="D33" i="14"/>
  <c r="E33" i="14"/>
  <c r="F33" i="14"/>
  <c r="G33" i="14"/>
  <c r="H33" i="14"/>
  <c r="I33" i="14"/>
  <c r="J33" i="14"/>
  <c r="B34" i="14"/>
  <c r="C34" i="14"/>
  <c r="D34" i="14"/>
  <c r="E34" i="14"/>
  <c r="F34" i="14"/>
  <c r="G34" i="14"/>
  <c r="H34" i="14"/>
  <c r="I34" i="14"/>
  <c r="J34" i="14"/>
  <c r="B35" i="14"/>
  <c r="C35" i="14"/>
  <c r="D35" i="14"/>
  <c r="E35" i="14"/>
  <c r="F35" i="14"/>
  <c r="G35" i="14"/>
  <c r="H35" i="14"/>
  <c r="I35" i="14"/>
  <c r="J35" i="14"/>
  <c r="B36" i="14"/>
  <c r="C36" i="14"/>
  <c r="D36" i="14"/>
  <c r="E36" i="14"/>
  <c r="F36" i="14"/>
  <c r="G36" i="14"/>
  <c r="H36" i="14"/>
  <c r="I36" i="14"/>
  <c r="J36" i="14"/>
  <c r="B37" i="14"/>
  <c r="C37" i="14"/>
  <c r="D37" i="14"/>
  <c r="E37" i="14"/>
  <c r="F37" i="14"/>
  <c r="G37" i="14"/>
  <c r="H37" i="14"/>
  <c r="I37" i="14"/>
  <c r="J37" i="14"/>
  <c r="B38" i="14"/>
  <c r="C38" i="14"/>
  <c r="D38" i="14"/>
  <c r="E38" i="14"/>
  <c r="F38" i="14"/>
  <c r="G38" i="14"/>
  <c r="H38" i="14"/>
  <c r="I38" i="14"/>
  <c r="J38" i="14"/>
  <c r="C23" i="14"/>
  <c r="D23" i="14"/>
  <c r="E23" i="14"/>
  <c r="F23" i="14"/>
  <c r="G23" i="14"/>
  <c r="H23" i="14"/>
  <c r="I23" i="14"/>
  <c r="J23" i="14"/>
  <c r="B23" i="14"/>
  <c r="C3" i="14"/>
  <c r="D3" i="14"/>
  <c r="E3" i="14"/>
  <c r="F3" i="14"/>
  <c r="G3" i="14"/>
  <c r="H3" i="14"/>
  <c r="I3" i="14"/>
  <c r="J3" i="14"/>
  <c r="C4" i="14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H6" i="14"/>
  <c r="I6" i="14"/>
  <c r="J6" i="14"/>
  <c r="C7" i="14"/>
  <c r="D7" i="14"/>
  <c r="E7" i="14"/>
  <c r="F7" i="14"/>
  <c r="G7" i="14"/>
  <c r="H7" i="14"/>
  <c r="I7" i="14"/>
  <c r="J7" i="14"/>
  <c r="C8" i="14"/>
  <c r="D8" i="14"/>
  <c r="E8" i="14"/>
  <c r="F8" i="14"/>
  <c r="G8" i="14"/>
  <c r="H8" i="14"/>
  <c r="I8" i="14"/>
  <c r="J8" i="14"/>
  <c r="C9" i="14"/>
  <c r="D9" i="14"/>
  <c r="E9" i="14"/>
  <c r="F9" i="14"/>
  <c r="G9" i="14"/>
  <c r="H9" i="14"/>
  <c r="I9" i="14"/>
  <c r="J9" i="14"/>
  <c r="C10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2" i="14"/>
  <c r="D12" i="14"/>
  <c r="E12" i="14"/>
  <c r="F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C14" i="14"/>
  <c r="D14" i="14"/>
  <c r="E14" i="14"/>
  <c r="F14" i="14"/>
  <c r="G14" i="14"/>
  <c r="H14" i="14"/>
  <c r="I14" i="14"/>
  <c r="J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C17" i="14"/>
  <c r="D17" i="14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3" i="14"/>
  <c r="K946" i="15"/>
  <c r="L946" i="15" s="1"/>
  <c r="J946" i="15"/>
  <c r="I946" i="15"/>
  <c r="H946" i="15"/>
  <c r="G946" i="15"/>
  <c r="F946" i="15"/>
  <c r="E946" i="15"/>
  <c r="D946" i="15"/>
  <c r="C946" i="15"/>
  <c r="K945" i="15"/>
  <c r="L945" i="15" s="1"/>
  <c r="J945" i="15"/>
  <c r="I945" i="15"/>
  <c r="H945" i="15"/>
  <c r="G945" i="15"/>
  <c r="F945" i="15"/>
  <c r="E945" i="15"/>
  <c r="D945" i="15"/>
  <c r="C945" i="15"/>
  <c r="K944" i="15"/>
  <c r="L944" i="15" s="1"/>
  <c r="J944" i="15"/>
  <c r="I944" i="15"/>
  <c r="H944" i="15"/>
  <c r="G944" i="15"/>
  <c r="F944" i="15"/>
  <c r="E944" i="15"/>
  <c r="D944" i="15"/>
  <c r="C944" i="15"/>
  <c r="K943" i="15"/>
  <c r="L943" i="15" s="1"/>
  <c r="J943" i="15"/>
  <c r="I943" i="15"/>
  <c r="H943" i="15"/>
  <c r="G943" i="15"/>
  <c r="F943" i="15"/>
  <c r="E943" i="15"/>
  <c r="D943" i="15"/>
  <c r="C943" i="15"/>
  <c r="K942" i="15"/>
  <c r="J942" i="15"/>
  <c r="I942" i="15"/>
  <c r="H942" i="15"/>
  <c r="G942" i="15"/>
  <c r="F942" i="15"/>
  <c r="E942" i="15"/>
  <c r="D942" i="15"/>
  <c r="L942" i="15" s="1"/>
  <c r="C942" i="15"/>
  <c r="K941" i="15"/>
  <c r="L941" i="15" s="1"/>
  <c r="J941" i="15"/>
  <c r="I941" i="15"/>
  <c r="H941" i="15"/>
  <c r="G941" i="15"/>
  <c r="F941" i="15"/>
  <c r="E941" i="15"/>
  <c r="D941" i="15"/>
  <c r="C941" i="15"/>
  <c r="K940" i="15"/>
  <c r="L940" i="15" s="1"/>
  <c r="J940" i="15"/>
  <c r="I940" i="15"/>
  <c r="H940" i="15"/>
  <c r="G940" i="15"/>
  <c r="F940" i="15"/>
  <c r="E940" i="15"/>
  <c r="D940" i="15"/>
  <c r="C940" i="15"/>
  <c r="K939" i="15"/>
  <c r="J939" i="15"/>
  <c r="I939" i="15"/>
  <c r="H939" i="15"/>
  <c r="G939" i="15"/>
  <c r="F939" i="15"/>
  <c r="E939" i="15"/>
  <c r="D939" i="15"/>
  <c r="L939" i="15" s="1"/>
  <c r="C939" i="15"/>
  <c r="K938" i="15"/>
  <c r="J938" i="15"/>
  <c r="I938" i="15"/>
  <c r="H938" i="15"/>
  <c r="G938" i="15"/>
  <c r="F938" i="15"/>
  <c r="E938" i="15"/>
  <c r="D938" i="15"/>
  <c r="L938" i="15" s="1"/>
  <c r="C938" i="15"/>
  <c r="K937" i="15"/>
  <c r="L937" i="15" s="1"/>
  <c r="J937" i="15"/>
  <c r="I937" i="15"/>
  <c r="H937" i="15"/>
  <c r="G937" i="15"/>
  <c r="F937" i="15"/>
  <c r="E937" i="15"/>
  <c r="D937" i="15"/>
  <c r="C937" i="15"/>
  <c r="K936" i="15"/>
  <c r="L936" i="15" s="1"/>
  <c r="J936" i="15"/>
  <c r="I936" i="15"/>
  <c r="H936" i="15"/>
  <c r="G936" i="15"/>
  <c r="F936" i="15"/>
  <c r="E936" i="15"/>
  <c r="D936" i="15"/>
  <c r="C936" i="15"/>
  <c r="K935" i="15"/>
  <c r="J935" i="15"/>
  <c r="I935" i="15"/>
  <c r="H935" i="15"/>
  <c r="G935" i="15"/>
  <c r="F935" i="15"/>
  <c r="E935" i="15"/>
  <c r="D935" i="15"/>
  <c r="L935" i="15" s="1"/>
  <c r="C935" i="15"/>
  <c r="K934" i="15"/>
  <c r="J934" i="15"/>
  <c r="I934" i="15"/>
  <c r="H934" i="15"/>
  <c r="G934" i="15"/>
  <c r="F934" i="15"/>
  <c r="E934" i="15"/>
  <c r="D934" i="15"/>
  <c r="L934" i="15" s="1"/>
  <c r="C934" i="15"/>
  <c r="K933" i="15"/>
  <c r="L933" i="15" s="1"/>
  <c r="J933" i="15"/>
  <c r="I933" i="15"/>
  <c r="H933" i="15"/>
  <c r="G933" i="15"/>
  <c r="F933" i="15"/>
  <c r="E933" i="15"/>
  <c r="D933" i="15"/>
  <c r="C933" i="15"/>
  <c r="K932" i="15"/>
  <c r="L932" i="15" s="1"/>
  <c r="J932" i="15"/>
  <c r="I932" i="15"/>
  <c r="H932" i="15"/>
  <c r="G932" i="15"/>
  <c r="F932" i="15"/>
  <c r="E932" i="15"/>
  <c r="D932" i="15"/>
  <c r="C932" i="15"/>
  <c r="K931" i="15"/>
  <c r="J931" i="15"/>
  <c r="I931" i="15"/>
  <c r="H931" i="15"/>
  <c r="G931" i="15"/>
  <c r="F931" i="15"/>
  <c r="E931" i="15"/>
  <c r="D931" i="15"/>
  <c r="L931" i="15" s="1"/>
  <c r="C931" i="15"/>
  <c r="K930" i="15"/>
  <c r="J930" i="15"/>
  <c r="I930" i="15"/>
  <c r="H930" i="15"/>
  <c r="G930" i="15"/>
  <c r="F930" i="15"/>
  <c r="E930" i="15"/>
  <c r="D930" i="15"/>
  <c r="L930" i="15" s="1"/>
  <c r="C930" i="15"/>
  <c r="K929" i="15"/>
  <c r="L929" i="15" s="1"/>
  <c r="J929" i="15"/>
  <c r="I929" i="15"/>
  <c r="H929" i="15"/>
  <c r="G929" i="15"/>
  <c r="F929" i="15"/>
  <c r="E929" i="15"/>
  <c r="D929" i="15"/>
  <c r="C929" i="15"/>
  <c r="K928" i="15"/>
  <c r="L928" i="15" s="1"/>
  <c r="J928" i="15"/>
  <c r="I928" i="15"/>
  <c r="H928" i="15"/>
  <c r="G928" i="15"/>
  <c r="F928" i="15"/>
  <c r="E928" i="15"/>
  <c r="D928" i="15"/>
  <c r="C928" i="15"/>
  <c r="K927" i="15"/>
  <c r="J927" i="15"/>
  <c r="I927" i="15"/>
  <c r="H927" i="15"/>
  <c r="G927" i="15"/>
  <c r="F927" i="15"/>
  <c r="E927" i="15"/>
  <c r="D927" i="15"/>
  <c r="L927" i="15" s="1"/>
  <c r="C927" i="15"/>
  <c r="K926" i="15"/>
  <c r="J926" i="15"/>
  <c r="I926" i="15"/>
  <c r="H926" i="15"/>
  <c r="G926" i="15"/>
  <c r="F926" i="15"/>
  <c r="E926" i="15"/>
  <c r="D926" i="15"/>
  <c r="C926" i="15"/>
  <c r="L926" i="15" s="1"/>
  <c r="K925" i="15"/>
  <c r="L925" i="15" s="1"/>
  <c r="J925" i="15"/>
  <c r="I925" i="15"/>
  <c r="H925" i="15"/>
  <c r="G925" i="15"/>
  <c r="F925" i="15"/>
  <c r="E925" i="15"/>
  <c r="D925" i="15"/>
  <c r="C925" i="15"/>
  <c r="K924" i="15"/>
  <c r="L924" i="15" s="1"/>
  <c r="J924" i="15"/>
  <c r="I924" i="15"/>
  <c r="H924" i="15"/>
  <c r="G924" i="15"/>
  <c r="F924" i="15"/>
  <c r="E924" i="15"/>
  <c r="D924" i="15"/>
  <c r="C924" i="15"/>
  <c r="K923" i="15"/>
  <c r="J923" i="15"/>
  <c r="I923" i="15"/>
  <c r="H923" i="15"/>
  <c r="G923" i="15"/>
  <c r="F923" i="15"/>
  <c r="E923" i="15"/>
  <c r="D923" i="15"/>
  <c r="L923" i="15" s="1"/>
  <c r="C923" i="15"/>
  <c r="K922" i="15"/>
  <c r="L922" i="15" s="1"/>
  <c r="J922" i="15"/>
  <c r="I922" i="15"/>
  <c r="H922" i="15"/>
  <c r="G922" i="15"/>
  <c r="F922" i="15"/>
  <c r="E922" i="15"/>
  <c r="D922" i="15"/>
  <c r="C922" i="15"/>
  <c r="K921" i="15"/>
  <c r="L921" i="15" s="1"/>
  <c r="J921" i="15"/>
  <c r="I921" i="15"/>
  <c r="H921" i="15"/>
  <c r="G921" i="15"/>
  <c r="F921" i="15"/>
  <c r="E921" i="15"/>
  <c r="D921" i="15"/>
  <c r="C921" i="15"/>
  <c r="K920" i="15"/>
  <c r="L920" i="15" s="1"/>
  <c r="J920" i="15"/>
  <c r="I920" i="15"/>
  <c r="H920" i="15"/>
  <c r="G920" i="15"/>
  <c r="F920" i="15"/>
  <c r="E920" i="15"/>
  <c r="D920" i="15"/>
  <c r="C920" i="15"/>
  <c r="K919" i="15"/>
  <c r="J919" i="15"/>
  <c r="I919" i="15"/>
  <c r="H919" i="15"/>
  <c r="G919" i="15"/>
  <c r="F919" i="15"/>
  <c r="E919" i="15"/>
  <c r="D919" i="15"/>
  <c r="L919" i="15" s="1"/>
  <c r="C919" i="15"/>
  <c r="K918" i="15"/>
  <c r="L918" i="15" s="1"/>
  <c r="J918" i="15"/>
  <c r="I918" i="15"/>
  <c r="H918" i="15"/>
  <c r="G918" i="15"/>
  <c r="F918" i="15"/>
  <c r="E918" i="15"/>
  <c r="D918" i="15"/>
  <c r="C918" i="15"/>
  <c r="K917" i="15"/>
  <c r="L917" i="15" s="1"/>
  <c r="J917" i="15"/>
  <c r="I917" i="15"/>
  <c r="H917" i="15"/>
  <c r="G917" i="15"/>
  <c r="F917" i="15"/>
  <c r="E917" i="15"/>
  <c r="D917" i="15"/>
  <c r="C917" i="15"/>
  <c r="K916" i="15"/>
  <c r="L916" i="15" s="1"/>
  <c r="J916" i="15"/>
  <c r="I916" i="15"/>
  <c r="H916" i="15"/>
  <c r="G916" i="15"/>
  <c r="F916" i="15"/>
  <c r="E916" i="15"/>
  <c r="D916" i="15"/>
  <c r="C916" i="15"/>
  <c r="K915" i="15"/>
  <c r="L915" i="15" s="1"/>
  <c r="J915" i="15"/>
  <c r="I915" i="15"/>
  <c r="H915" i="15"/>
  <c r="G915" i="15"/>
  <c r="F915" i="15"/>
  <c r="E915" i="15"/>
  <c r="D915" i="15"/>
  <c r="C915" i="15"/>
  <c r="K914" i="15"/>
  <c r="L914" i="15" s="1"/>
  <c r="J914" i="15"/>
  <c r="I914" i="15"/>
  <c r="H914" i="15"/>
  <c r="G914" i="15"/>
  <c r="F914" i="15"/>
  <c r="E914" i="15"/>
  <c r="D914" i="15"/>
  <c r="C914" i="15"/>
  <c r="K913" i="15"/>
  <c r="L913" i="15" s="1"/>
  <c r="J913" i="15"/>
  <c r="I913" i="15"/>
  <c r="H913" i="15"/>
  <c r="G913" i="15"/>
  <c r="F913" i="15"/>
  <c r="E913" i="15"/>
  <c r="D913" i="15"/>
  <c r="C913" i="15"/>
  <c r="K912" i="15"/>
  <c r="L912" i="15" s="1"/>
  <c r="J912" i="15"/>
  <c r="I912" i="15"/>
  <c r="H912" i="15"/>
  <c r="G912" i="15"/>
  <c r="F912" i="15"/>
  <c r="E912" i="15"/>
  <c r="D912" i="15"/>
  <c r="C912" i="15"/>
  <c r="K911" i="15"/>
  <c r="L911" i="15" s="1"/>
  <c r="J911" i="15"/>
  <c r="I911" i="15"/>
  <c r="H911" i="15"/>
  <c r="G911" i="15"/>
  <c r="F911" i="15"/>
  <c r="E911" i="15"/>
  <c r="D911" i="15"/>
  <c r="C911" i="15"/>
  <c r="K910" i="15"/>
  <c r="L910" i="15" s="1"/>
  <c r="J910" i="15"/>
  <c r="I910" i="15"/>
  <c r="H910" i="15"/>
  <c r="G910" i="15"/>
  <c r="F910" i="15"/>
  <c r="E910" i="15"/>
  <c r="D910" i="15"/>
  <c r="C910" i="15"/>
  <c r="K909" i="15"/>
  <c r="L909" i="15" s="1"/>
  <c r="J909" i="15"/>
  <c r="I909" i="15"/>
  <c r="H909" i="15"/>
  <c r="G909" i="15"/>
  <c r="F909" i="15"/>
  <c r="E909" i="15"/>
  <c r="D909" i="15"/>
  <c r="C909" i="15"/>
  <c r="K908" i="15"/>
  <c r="L908" i="15" s="1"/>
  <c r="J908" i="15"/>
  <c r="I908" i="15"/>
  <c r="H908" i="15"/>
  <c r="G908" i="15"/>
  <c r="F908" i="15"/>
  <c r="E908" i="15"/>
  <c r="D908" i="15"/>
  <c r="C908" i="15"/>
  <c r="K907" i="15"/>
  <c r="L907" i="15" s="1"/>
  <c r="J907" i="15"/>
  <c r="I907" i="15"/>
  <c r="H907" i="15"/>
  <c r="G907" i="15"/>
  <c r="F907" i="15"/>
  <c r="E907" i="15"/>
  <c r="D907" i="15"/>
  <c r="C907" i="15"/>
  <c r="K906" i="15"/>
  <c r="L906" i="15" s="1"/>
  <c r="J906" i="15"/>
  <c r="I906" i="15"/>
  <c r="H906" i="15"/>
  <c r="G906" i="15"/>
  <c r="F906" i="15"/>
  <c r="E906" i="15"/>
  <c r="D906" i="15"/>
  <c r="C906" i="15"/>
  <c r="K905" i="15"/>
  <c r="L905" i="15" s="1"/>
  <c r="J905" i="15"/>
  <c r="I905" i="15"/>
  <c r="H905" i="15"/>
  <c r="G905" i="15"/>
  <c r="F905" i="15"/>
  <c r="E905" i="15"/>
  <c r="D905" i="15"/>
  <c r="C905" i="15"/>
  <c r="K904" i="15"/>
  <c r="L904" i="15" s="1"/>
  <c r="J904" i="15"/>
  <c r="I904" i="15"/>
  <c r="H904" i="15"/>
  <c r="G904" i="15"/>
  <c r="F904" i="15"/>
  <c r="E904" i="15"/>
  <c r="D904" i="15"/>
  <c r="C904" i="15"/>
  <c r="K903" i="15"/>
  <c r="L903" i="15" s="1"/>
  <c r="J903" i="15"/>
  <c r="I903" i="15"/>
  <c r="H903" i="15"/>
  <c r="G903" i="15"/>
  <c r="F903" i="15"/>
  <c r="E903" i="15"/>
  <c r="D903" i="15"/>
  <c r="C903" i="15"/>
  <c r="K902" i="15"/>
  <c r="L902" i="15" s="1"/>
  <c r="J902" i="15"/>
  <c r="I902" i="15"/>
  <c r="H902" i="15"/>
  <c r="G902" i="15"/>
  <c r="F902" i="15"/>
  <c r="E902" i="15"/>
  <c r="D902" i="15"/>
  <c r="C902" i="15"/>
  <c r="K901" i="15"/>
  <c r="L901" i="15" s="1"/>
  <c r="J901" i="15"/>
  <c r="I901" i="15"/>
  <c r="H901" i="15"/>
  <c r="G901" i="15"/>
  <c r="F901" i="15"/>
  <c r="E901" i="15"/>
  <c r="D901" i="15"/>
  <c r="C901" i="15"/>
  <c r="K900" i="15"/>
  <c r="L900" i="15" s="1"/>
  <c r="J900" i="15"/>
  <c r="I900" i="15"/>
  <c r="H900" i="15"/>
  <c r="G900" i="15"/>
  <c r="F900" i="15"/>
  <c r="E900" i="15"/>
  <c r="D900" i="15"/>
  <c r="C900" i="15"/>
  <c r="K899" i="15"/>
  <c r="L899" i="15" s="1"/>
  <c r="J899" i="15"/>
  <c r="I899" i="15"/>
  <c r="H899" i="15"/>
  <c r="G899" i="15"/>
  <c r="F899" i="15"/>
  <c r="E899" i="15"/>
  <c r="D899" i="15"/>
  <c r="C899" i="15"/>
  <c r="K898" i="15"/>
  <c r="L898" i="15" s="1"/>
  <c r="J898" i="15"/>
  <c r="I898" i="15"/>
  <c r="H898" i="15"/>
  <c r="G898" i="15"/>
  <c r="F898" i="15"/>
  <c r="E898" i="15"/>
  <c r="D898" i="15"/>
  <c r="C898" i="15"/>
  <c r="K897" i="15"/>
  <c r="L897" i="15" s="1"/>
  <c r="J897" i="15"/>
  <c r="I897" i="15"/>
  <c r="H897" i="15"/>
  <c r="G897" i="15"/>
  <c r="F897" i="15"/>
  <c r="E897" i="15"/>
  <c r="D897" i="15"/>
  <c r="C897" i="15"/>
  <c r="K896" i="15"/>
  <c r="L896" i="15" s="1"/>
  <c r="J896" i="15"/>
  <c r="I896" i="15"/>
  <c r="H896" i="15"/>
  <c r="G896" i="15"/>
  <c r="F896" i="15"/>
  <c r="E896" i="15"/>
  <c r="D896" i="15"/>
  <c r="C896" i="15"/>
  <c r="K895" i="15"/>
  <c r="L895" i="15" s="1"/>
  <c r="J895" i="15"/>
  <c r="I895" i="15"/>
  <c r="H895" i="15"/>
  <c r="G895" i="15"/>
  <c r="F895" i="15"/>
  <c r="E895" i="15"/>
  <c r="D895" i="15"/>
  <c r="C895" i="15"/>
  <c r="K894" i="15"/>
  <c r="L894" i="15" s="1"/>
  <c r="J894" i="15"/>
  <c r="I894" i="15"/>
  <c r="H894" i="15"/>
  <c r="G894" i="15"/>
  <c r="F894" i="15"/>
  <c r="E894" i="15"/>
  <c r="D894" i="15"/>
  <c r="C894" i="15"/>
  <c r="K893" i="15"/>
  <c r="L893" i="15" s="1"/>
  <c r="J893" i="15"/>
  <c r="I893" i="15"/>
  <c r="H893" i="15"/>
  <c r="G893" i="15"/>
  <c r="F893" i="15"/>
  <c r="E893" i="15"/>
  <c r="D893" i="15"/>
  <c r="C893" i="15"/>
  <c r="K892" i="15"/>
  <c r="L892" i="15" s="1"/>
  <c r="J892" i="15"/>
  <c r="I892" i="15"/>
  <c r="H892" i="15"/>
  <c r="G892" i="15"/>
  <c r="F892" i="15"/>
  <c r="E892" i="15"/>
  <c r="D892" i="15"/>
  <c r="C892" i="15"/>
  <c r="K891" i="15"/>
  <c r="L891" i="15" s="1"/>
  <c r="J891" i="15"/>
  <c r="I891" i="15"/>
  <c r="H891" i="15"/>
  <c r="G891" i="15"/>
  <c r="F891" i="15"/>
  <c r="E891" i="15"/>
  <c r="D891" i="15"/>
  <c r="C891" i="15"/>
  <c r="K890" i="15"/>
  <c r="L890" i="15" s="1"/>
  <c r="J890" i="15"/>
  <c r="I890" i="15"/>
  <c r="H890" i="15"/>
  <c r="G890" i="15"/>
  <c r="F890" i="15"/>
  <c r="E890" i="15"/>
  <c r="D890" i="15"/>
  <c r="C890" i="15"/>
  <c r="K889" i="15"/>
  <c r="L889" i="15" s="1"/>
  <c r="J889" i="15"/>
  <c r="I889" i="15"/>
  <c r="H889" i="15"/>
  <c r="G889" i="15"/>
  <c r="F889" i="15"/>
  <c r="E889" i="15"/>
  <c r="D889" i="15"/>
  <c r="C889" i="15"/>
  <c r="K888" i="15"/>
  <c r="L888" i="15" s="1"/>
  <c r="J888" i="15"/>
  <c r="I888" i="15"/>
  <c r="H888" i="15"/>
  <c r="G888" i="15"/>
  <c r="F888" i="15"/>
  <c r="E888" i="15"/>
  <c r="D888" i="15"/>
  <c r="C888" i="15"/>
  <c r="K887" i="15"/>
  <c r="L887" i="15" s="1"/>
  <c r="J887" i="15"/>
  <c r="I887" i="15"/>
  <c r="H887" i="15"/>
  <c r="G887" i="15"/>
  <c r="F887" i="15"/>
  <c r="E887" i="15"/>
  <c r="D887" i="15"/>
  <c r="C887" i="15"/>
  <c r="K886" i="15"/>
  <c r="L886" i="15" s="1"/>
  <c r="J886" i="15"/>
  <c r="I886" i="15"/>
  <c r="H886" i="15"/>
  <c r="G886" i="15"/>
  <c r="F886" i="15"/>
  <c r="E886" i="15"/>
  <c r="D886" i="15"/>
  <c r="C886" i="15"/>
  <c r="K885" i="15"/>
  <c r="L885" i="15" s="1"/>
  <c r="J885" i="15"/>
  <c r="I885" i="15"/>
  <c r="H885" i="15"/>
  <c r="G885" i="15"/>
  <c r="F885" i="15"/>
  <c r="E885" i="15"/>
  <c r="D885" i="15"/>
  <c r="C885" i="15"/>
  <c r="K884" i="15"/>
  <c r="L884" i="15" s="1"/>
  <c r="J884" i="15"/>
  <c r="I884" i="15"/>
  <c r="H884" i="15"/>
  <c r="G884" i="15"/>
  <c r="F884" i="15"/>
  <c r="E884" i="15"/>
  <c r="D884" i="15"/>
  <c r="C884" i="15"/>
  <c r="K883" i="15"/>
  <c r="L883" i="15" s="1"/>
  <c r="J883" i="15"/>
  <c r="I883" i="15"/>
  <c r="H883" i="15"/>
  <c r="G883" i="15"/>
  <c r="F883" i="15"/>
  <c r="E883" i="15"/>
  <c r="D883" i="15"/>
  <c r="C883" i="15"/>
  <c r="K882" i="15"/>
  <c r="L882" i="15" s="1"/>
  <c r="J882" i="15"/>
  <c r="I882" i="15"/>
  <c r="H882" i="15"/>
  <c r="G882" i="15"/>
  <c r="F882" i="15"/>
  <c r="E882" i="15"/>
  <c r="D882" i="15"/>
  <c r="C882" i="15"/>
  <c r="K881" i="15"/>
  <c r="L881" i="15" s="1"/>
  <c r="J881" i="15"/>
  <c r="I881" i="15"/>
  <c r="H881" i="15"/>
  <c r="G881" i="15"/>
  <c r="F881" i="15"/>
  <c r="E881" i="15"/>
  <c r="D881" i="15"/>
  <c r="C881" i="15"/>
  <c r="K880" i="15"/>
  <c r="L880" i="15" s="1"/>
  <c r="J880" i="15"/>
  <c r="I880" i="15"/>
  <c r="H880" i="15"/>
  <c r="G880" i="15"/>
  <c r="F880" i="15"/>
  <c r="E880" i="15"/>
  <c r="D880" i="15"/>
  <c r="C880" i="15"/>
  <c r="K879" i="15"/>
  <c r="L879" i="15" s="1"/>
  <c r="J879" i="15"/>
  <c r="I879" i="15"/>
  <c r="H879" i="15"/>
  <c r="G879" i="15"/>
  <c r="F879" i="15"/>
  <c r="E879" i="15"/>
  <c r="D879" i="15"/>
  <c r="C879" i="15"/>
  <c r="K878" i="15"/>
  <c r="L878" i="15" s="1"/>
  <c r="J878" i="15"/>
  <c r="I878" i="15"/>
  <c r="H878" i="15"/>
  <c r="G878" i="15"/>
  <c r="F878" i="15"/>
  <c r="E878" i="15"/>
  <c r="D878" i="15"/>
  <c r="C878" i="15"/>
  <c r="K877" i="15"/>
  <c r="L877" i="15" s="1"/>
  <c r="J877" i="15"/>
  <c r="I877" i="15"/>
  <c r="H877" i="15"/>
  <c r="G877" i="15"/>
  <c r="F877" i="15"/>
  <c r="E877" i="15"/>
  <c r="D877" i="15"/>
  <c r="C877" i="15"/>
  <c r="K876" i="15"/>
  <c r="L876" i="15" s="1"/>
  <c r="J876" i="15"/>
  <c r="I876" i="15"/>
  <c r="H876" i="15"/>
  <c r="G876" i="15"/>
  <c r="F876" i="15"/>
  <c r="E876" i="15"/>
  <c r="D876" i="15"/>
  <c r="C876" i="15"/>
  <c r="K875" i="15"/>
  <c r="L875" i="15" s="1"/>
  <c r="J875" i="15"/>
  <c r="I875" i="15"/>
  <c r="H875" i="15"/>
  <c r="G875" i="15"/>
  <c r="F875" i="15"/>
  <c r="E875" i="15"/>
  <c r="D875" i="15"/>
  <c r="C875" i="15"/>
  <c r="K874" i="15"/>
  <c r="L874" i="15" s="1"/>
  <c r="J874" i="15"/>
  <c r="I874" i="15"/>
  <c r="H874" i="15"/>
  <c r="G874" i="15"/>
  <c r="F874" i="15"/>
  <c r="E874" i="15"/>
  <c r="D874" i="15"/>
  <c r="C874" i="15"/>
  <c r="K873" i="15"/>
  <c r="L873" i="15" s="1"/>
  <c r="J873" i="15"/>
  <c r="I873" i="15"/>
  <c r="H873" i="15"/>
  <c r="G873" i="15"/>
  <c r="F873" i="15"/>
  <c r="E873" i="15"/>
  <c r="D873" i="15"/>
  <c r="C873" i="15"/>
  <c r="K872" i="15"/>
  <c r="L872" i="15" s="1"/>
  <c r="J872" i="15"/>
  <c r="I872" i="15"/>
  <c r="H872" i="15"/>
  <c r="G872" i="15"/>
  <c r="F872" i="15"/>
  <c r="E872" i="15"/>
  <c r="D872" i="15"/>
  <c r="C872" i="15"/>
  <c r="K871" i="15"/>
  <c r="L871" i="15" s="1"/>
  <c r="J871" i="15"/>
  <c r="I871" i="15"/>
  <c r="H871" i="15"/>
  <c r="G871" i="15"/>
  <c r="F871" i="15"/>
  <c r="E871" i="15"/>
  <c r="D871" i="15"/>
  <c r="C871" i="15"/>
  <c r="K870" i="15"/>
  <c r="L870" i="15" s="1"/>
  <c r="J870" i="15"/>
  <c r="I870" i="15"/>
  <c r="H870" i="15"/>
  <c r="G870" i="15"/>
  <c r="F870" i="15"/>
  <c r="E870" i="15"/>
  <c r="D870" i="15"/>
  <c r="C870" i="15"/>
  <c r="K869" i="15"/>
  <c r="L869" i="15" s="1"/>
  <c r="J869" i="15"/>
  <c r="I869" i="15"/>
  <c r="H869" i="15"/>
  <c r="G869" i="15"/>
  <c r="F869" i="15"/>
  <c r="E869" i="15"/>
  <c r="D869" i="15"/>
  <c r="C869" i="15"/>
  <c r="K868" i="15"/>
  <c r="L868" i="15" s="1"/>
  <c r="J868" i="15"/>
  <c r="I868" i="15"/>
  <c r="H868" i="15"/>
  <c r="G868" i="15"/>
  <c r="F868" i="15"/>
  <c r="E868" i="15"/>
  <c r="D868" i="15"/>
  <c r="C868" i="15"/>
  <c r="K867" i="15"/>
  <c r="L867" i="15" s="1"/>
  <c r="J867" i="15"/>
  <c r="I867" i="15"/>
  <c r="H867" i="15"/>
  <c r="G867" i="15"/>
  <c r="F867" i="15"/>
  <c r="E867" i="15"/>
  <c r="D867" i="15"/>
  <c r="C867" i="15"/>
  <c r="K866" i="15"/>
  <c r="L866" i="15" s="1"/>
  <c r="J866" i="15"/>
  <c r="I866" i="15"/>
  <c r="H866" i="15"/>
  <c r="G866" i="15"/>
  <c r="F866" i="15"/>
  <c r="E866" i="15"/>
  <c r="D866" i="15"/>
  <c r="C866" i="15"/>
  <c r="K865" i="15"/>
  <c r="L865" i="15" s="1"/>
  <c r="J865" i="15"/>
  <c r="I865" i="15"/>
  <c r="H865" i="15"/>
  <c r="G865" i="15"/>
  <c r="F865" i="15"/>
  <c r="E865" i="15"/>
  <c r="D865" i="15"/>
  <c r="C865" i="15"/>
  <c r="K864" i="15"/>
  <c r="L864" i="15" s="1"/>
  <c r="J864" i="15"/>
  <c r="I864" i="15"/>
  <c r="H864" i="15"/>
  <c r="G864" i="15"/>
  <c r="F864" i="15"/>
  <c r="E864" i="15"/>
  <c r="D864" i="15"/>
  <c r="C864" i="15"/>
  <c r="K863" i="15"/>
  <c r="L863" i="15" s="1"/>
  <c r="J863" i="15"/>
  <c r="I863" i="15"/>
  <c r="H863" i="15"/>
  <c r="G863" i="15"/>
  <c r="F863" i="15"/>
  <c r="E863" i="15"/>
  <c r="D863" i="15"/>
  <c r="C863" i="15"/>
  <c r="K862" i="15"/>
  <c r="L862" i="15" s="1"/>
  <c r="J862" i="15"/>
  <c r="I862" i="15"/>
  <c r="H862" i="15"/>
  <c r="G862" i="15"/>
  <c r="F862" i="15"/>
  <c r="E862" i="15"/>
  <c r="D862" i="15"/>
  <c r="C862" i="15"/>
  <c r="K861" i="15"/>
  <c r="L861" i="15" s="1"/>
  <c r="J861" i="15"/>
  <c r="I861" i="15"/>
  <c r="H861" i="15"/>
  <c r="G861" i="15"/>
  <c r="F861" i="15"/>
  <c r="E861" i="15"/>
  <c r="D861" i="15"/>
  <c r="C861" i="15"/>
  <c r="K860" i="15"/>
  <c r="L860" i="15" s="1"/>
  <c r="J860" i="15"/>
  <c r="I860" i="15"/>
  <c r="H860" i="15"/>
  <c r="G860" i="15"/>
  <c r="F860" i="15"/>
  <c r="E860" i="15"/>
  <c r="D860" i="15"/>
  <c r="C860" i="15"/>
  <c r="K859" i="15"/>
  <c r="J859" i="15"/>
  <c r="I859" i="15"/>
  <c r="H859" i="15"/>
  <c r="G859" i="15"/>
  <c r="F859" i="15"/>
  <c r="E859" i="15"/>
  <c r="D859" i="15"/>
  <c r="C859" i="15"/>
  <c r="K858" i="15"/>
  <c r="J858" i="15"/>
  <c r="I858" i="15"/>
  <c r="H858" i="15"/>
  <c r="G858" i="15"/>
  <c r="F858" i="15"/>
  <c r="E858" i="15"/>
  <c r="D858" i="15"/>
  <c r="C858" i="15"/>
  <c r="K857" i="15"/>
  <c r="J857" i="15"/>
  <c r="I857" i="15"/>
  <c r="H857" i="15"/>
  <c r="G857" i="15"/>
  <c r="F857" i="15"/>
  <c r="E857" i="15"/>
  <c r="D857" i="15"/>
  <c r="C857" i="15"/>
  <c r="K856" i="15"/>
  <c r="J856" i="15"/>
  <c r="I856" i="15"/>
  <c r="H856" i="15"/>
  <c r="G856" i="15"/>
  <c r="F856" i="15"/>
  <c r="E856" i="15"/>
  <c r="D856" i="15"/>
  <c r="C856" i="15"/>
  <c r="K855" i="15"/>
  <c r="L855" i="15" s="1"/>
  <c r="J855" i="15"/>
  <c r="I855" i="15"/>
  <c r="H855" i="15"/>
  <c r="G855" i="15"/>
  <c r="F855" i="15"/>
  <c r="E855" i="15"/>
  <c r="D855" i="15"/>
  <c r="C855" i="15"/>
  <c r="K854" i="15"/>
  <c r="J854" i="15"/>
  <c r="I854" i="15"/>
  <c r="H854" i="15"/>
  <c r="G854" i="15"/>
  <c r="F854" i="15"/>
  <c r="E854" i="15"/>
  <c r="D854" i="15"/>
  <c r="C854" i="15"/>
  <c r="K853" i="15"/>
  <c r="J853" i="15"/>
  <c r="I853" i="15"/>
  <c r="H853" i="15"/>
  <c r="G853" i="15"/>
  <c r="F853" i="15"/>
  <c r="E853" i="15"/>
  <c r="D853" i="15"/>
  <c r="C853" i="15"/>
  <c r="K852" i="15"/>
  <c r="J852" i="15"/>
  <c r="I852" i="15"/>
  <c r="H852" i="15"/>
  <c r="G852" i="15"/>
  <c r="F852" i="15"/>
  <c r="E852" i="15"/>
  <c r="D852" i="15"/>
  <c r="C852" i="15"/>
  <c r="K851" i="15"/>
  <c r="J851" i="15"/>
  <c r="I851" i="15"/>
  <c r="H851" i="15"/>
  <c r="G851" i="15"/>
  <c r="F851" i="15"/>
  <c r="E851" i="15"/>
  <c r="D851" i="15"/>
  <c r="C851" i="15"/>
  <c r="K850" i="15"/>
  <c r="J850" i="15"/>
  <c r="I850" i="15"/>
  <c r="H850" i="15"/>
  <c r="G850" i="15"/>
  <c r="F850" i="15"/>
  <c r="E850" i="15"/>
  <c r="D850" i="15"/>
  <c r="C850" i="15"/>
  <c r="K849" i="15"/>
  <c r="J849" i="15"/>
  <c r="I849" i="15"/>
  <c r="H849" i="15"/>
  <c r="G849" i="15"/>
  <c r="F849" i="15"/>
  <c r="E849" i="15"/>
  <c r="D849" i="15"/>
  <c r="C849" i="15"/>
  <c r="K848" i="15"/>
  <c r="J848" i="15"/>
  <c r="I848" i="15"/>
  <c r="H848" i="15"/>
  <c r="G848" i="15"/>
  <c r="F848" i="15"/>
  <c r="E848" i="15"/>
  <c r="D848" i="15"/>
  <c r="C848" i="15"/>
  <c r="K847" i="15"/>
  <c r="L847" i="15" s="1"/>
  <c r="J847" i="15"/>
  <c r="I847" i="15"/>
  <c r="H847" i="15"/>
  <c r="G847" i="15"/>
  <c r="F847" i="15"/>
  <c r="E847" i="15"/>
  <c r="D847" i="15"/>
  <c r="C847" i="15"/>
  <c r="K846" i="15"/>
  <c r="J846" i="15"/>
  <c r="I846" i="15"/>
  <c r="H846" i="15"/>
  <c r="G846" i="15"/>
  <c r="F846" i="15"/>
  <c r="E846" i="15"/>
  <c r="D846" i="15"/>
  <c r="C846" i="15"/>
  <c r="K845" i="15"/>
  <c r="J845" i="15"/>
  <c r="I845" i="15"/>
  <c r="H845" i="15"/>
  <c r="G845" i="15"/>
  <c r="F845" i="15"/>
  <c r="E845" i="15"/>
  <c r="D845" i="15"/>
  <c r="C845" i="15"/>
  <c r="K844" i="15"/>
  <c r="J844" i="15"/>
  <c r="I844" i="15"/>
  <c r="H844" i="15"/>
  <c r="G844" i="15"/>
  <c r="F844" i="15"/>
  <c r="E844" i="15"/>
  <c r="D844" i="15"/>
  <c r="C844" i="15"/>
  <c r="K843" i="15"/>
  <c r="J843" i="15"/>
  <c r="I843" i="15"/>
  <c r="H843" i="15"/>
  <c r="G843" i="15"/>
  <c r="F843" i="15"/>
  <c r="E843" i="15"/>
  <c r="D843" i="15"/>
  <c r="C843" i="15"/>
  <c r="K842" i="15"/>
  <c r="J842" i="15"/>
  <c r="I842" i="15"/>
  <c r="H842" i="15"/>
  <c r="G842" i="15"/>
  <c r="F842" i="15"/>
  <c r="E842" i="15"/>
  <c r="D842" i="15"/>
  <c r="C842" i="15"/>
  <c r="K841" i="15"/>
  <c r="J841" i="15"/>
  <c r="I841" i="15"/>
  <c r="H841" i="15"/>
  <c r="G841" i="15"/>
  <c r="F841" i="15"/>
  <c r="E841" i="15"/>
  <c r="D841" i="15"/>
  <c r="C841" i="15"/>
  <c r="K840" i="15"/>
  <c r="J840" i="15"/>
  <c r="I840" i="15"/>
  <c r="H840" i="15"/>
  <c r="G840" i="15"/>
  <c r="F840" i="15"/>
  <c r="E840" i="15"/>
  <c r="D840" i="15"/>
  <c r="C840" i="15"/>
  <c r="K839" i="15"/>
  <c r="J839" i="15"/>
  <c r="I839" i="15"/>
  <c r="H839" i="15"/>
  <c r="G839" i="15"/>
  <c r="F839" i="15"/>
  <c r="E839" i="15"/>
  <c r="D839" i="15"/>
  <c r="C839" i="15"/>
  <c r="K838" i="15"/>
  <c r="J838" i="15"/>
  <c r="I838" i="15"/>
  <c r="H838" i="15"/>
  <c r="G838" i="15"/>
  <c r="F838" i="15"/>
  <c r="E838" i="15"/>
  <c r="D838" i="15"/>
  <c r="C838" i="15"/>
  <c r="K837" i="15"/>
  <c r="J837" i="15"/>
  <c r="I837" i="15"/>
  <c r="H837" i="15"/>
  <c r="G837" i="15"/>
  <c r="F837" i="15"/>
  <c r="E837" i="15"/>
  <c r="D837" i="15"/>
  <c r="C837" i="15"/>
  <c r="K836" i="15"/>
  <c r="J836" i="15"/>
  <c r="I836" i="15"/>
  <c r="H836" i="15"/>
  <c r="G836" i="15"/>
  <c r="F836" i="15"/>
  <c r="E836" i="15"/>
  <c r="D836" i="15"/>
  <c r="C836" i="15"/>
  <c r="K835" i="15"/>
  <c r="J835" i="15"/>
  <c r="I835" i="15"/>
  <c r="H835" i="15"/>
  <c r="G835" i="15"/>
  <c r="F835" i="15"/>
  <c r="E835" i="15"/>
  <c r="D835" i="15"/>
  <c r="C835" i="15"/>
  <c r="K834" i="15"/>
  <c r="J834" i="15"/>
  <c r="I834" i="15"/>
  <c r="H834" i="15"/>
  <c r="G834" i="15"/>
  <c r="F834" i="15"/>
  <c r="E834" i="15"/>
  <c r="D834" i="15"/>
  <c r="C834" i="15"/>
  <c r="K833" i="15"/>
  <c r="J833" i="15"/>
  <c r="I833" i="15"/>
  <c r="H833" i="15"/>
  <c r="G833" i="15"/>
  <c r="F833" i="15"/>
  <c r="E833" i="15"/>
  <c r="D833" i="15"/>
  <c r="C833" i="15"/>
  <c r="K832" i="15"/>
  <c r="J832" i="15"/>
  <c r="I832" i="15"/>
  <c r="H832" i="15"/>
  <c r="G832" i="15"/>
  <c r="F832" i="15"/>
  <c r="E832" i="15"/>
  <c r="D832" i="15"/>
  <c r="C832" i="15"/>
  <c r="K831" i="15"/>
  <c r="J831" i="15"/>
  <c r="I831" i="15"/>
  <c r="H831" i="15"/>
  <c r="G831" i="15"/>
  <c r="F831" i="15"/>
  <c r="E831" i="15"/>
  <c r="D831" i="15"/>
  <c r="C831" i="15"/>
  <c r="K830" i="15"/>
  <c r="J830" i="15"/>
  <c r="I830" i="15"/>
  <c r="H830" i="15"/>
  <c r="G830" i="15"/>
  <c r="F830" i="15"/>
  <c r="E830" i="15"/>
  <c r="D830" i="15"/>
  <c r="C830" i="15"/>
  <c r="K829" i="15"/>
  <c r="J829" i="15"/>
  <c r="I829" i="15"/>
  <c r="H829" i="15"/>
  <c r="G829" i="15"/>
  <c r="F829" i="15"/>
  <c r="E829" i="15"/>
  <c r="D829" i="15"/>
  <c r="C829" i="15"/>
  <c r="K828" i="15"/>
  <c r="J828" i="15"/>
  <c r="I828" i="15"/>
  <c r="H828" i="15"/>
  <c r="G828" i="15"/>
  <c r="F828" i="15"/>
  <c r="E828" i="15"/>
  <c r="D828" i="15"/>
  <c r="C828" i="15"/>
  <c r="K827" i="15"/>
  <c r="J827" i="15"/>
  <c r="I827" i="15"/>
  <c r="H827" i="15"/>
  <c r="G827" i="15"/>
  <c r="F827" i="15"/>
  <c r="E827" i="15"/>
  <c r="D827" i="15"/>
  <c r="C827" i="15"/>
  <c r="K826" i="15"/>
  <c r="J826" i="15"/>
  <c r="I826" i="15"/>
  <c r="H826" i="15"/>
  <c r="G826" i="15"/>
  <c r="F826" i="15"/>
  <c r="E826" i="15"/>
  <c r="D826" i="15"/>
  <c r="C826" i="15"/>
  <c r="K825" i="15"/>
  <c r="J825" i="15"/>
  <c r="I825" i="15"/>
  <c r="H825" i="15"/>
  <c r="G825" i="15"/>
  <c r="F825" i="15"/>
  <c r="E825" i="15"/>
  <c r="D825" i="15"/>
  <c r="C825" i="15"/>
  <c r="K824" i="15"/>
  <c r="J824" i="15"/>
  <c r="I824" i="15"/>
  <c r="H824" i="15"/>
  <c r="G824" i="15"/>
  <c r="F824" i="15"/>
  <c r="E824" i="15"/>
  <c r="D824" i="15"/>
  <c r="C824" i="15"/>
  <c r="K823" i="15"/>
  <c r="J823" i="15"/>
  <c r="I823" i="15"/>
  <c r="H823" i="15"/>
  <c r="G823" i="15"/>
  <c r="F823" i="15"/>
  <c r="E823" i="15"/>
  <c r="D823" i="15"/>
  <c r="L823" i="15" s="1"/>
  <c r="C823" i="15"/>
  <c r="K822" i="15"/>
  <c r="L822" i="15" s="1"/>
  <c r="J822" i="15"/>
  <c r="I822" i="15"/>
  <c r="H822" i="15"/>
  <c r="G822" i="15"/>
  <c r="F822" i="15"/>
  <c r="E822" i="15"/>
  <c r="D822" i="15"/>
  <c r="C822" i="15"/>
  <c r="K821" i="15"/>
  <c r="J821" i="15"/>
  <c r="I821" i="15"/>
  <c r="H821" i="15"/>
  <c r="G821" i="15"/>
  <c r="F821" i="15"/>
  <c r="E821" i="15"/>
  <c r="D821" i="15"/>
  <c r="C821" i="15"/>
  <c r="K820" i="15"/>
  <c r="J820" i="15"/>
  <c r="I820" i="15"/>
  <c r="H820" i="15"/>
  <c r="G820" i="15"/>
  <c r="F820" i="15"/>
  <c r="E820" i="15"/>
  <c r="D820" i="15"/>
  <c r="C820" i="15"/>
  <c r="K819" i="15"/>
  <c r="L819" i="15" s="1"/>
  <c r="J819" i="15"/>
  <c r="I819" i="15"/>
  <c r="H819" i="15"/>
  <c r="G819" i="15"/>
  <c r="F819" i="15"/>
  <c r="E819" i="15"/>
  <c r="D819" i="15"/>
  <c r="C819" i="15"/>
  <c r="K818" i="15"/>
  <c r="J818" i="15"/>
  <c r="I818" i="15"/>
  <c r="H818" i="15"/>
  <c r="G818" i="15"/>
  <c r="F818" i="15"/>
  <c r="E818" i="15"/>
  <c r="D818" i="15"/>
  <c r="C818" i="15"/>
  <c r="K817" i="15"/>
  <c r="J817" i="15"/>
  <c r="I817" i="15"/>
  <c r="H817" i="15"/>
  <c r="G817" i="15"/>
  <c r="F817" i="15"/>
  <c r="E817" i="15"/>
  <c r="D817" i="15"/>
  <c r="C817" i="15"/>
  <c r="K816" i="15"/>
  <c r="J816" i="15"/>
  <c r="I816" i="15"/>
  <c r="H816" i="15"/>
  <c r="G816" i="15"/>
  <c r="F816" i="15"/>
  <c r="E816" i="15"/>
  <c r="D816" i="15"/>
  <c r="C816" i="15"/>
  <c r="K815" i="15"/>
  <c r="J815" i="15"/>
  <c r="I815" i="15"/>
  <c r="H815" i="15"/>
  <c r="G815" i="15"/>
  <c r="F815" i="15"/>
  <c r="E815" i="15"/>
  <c r="D815" i="15"/>
  <c r="L815" i="15" s="1"/>
  <c r="C815" i="15"/>
  <c r="K814" i="15"/>
  <c r="J814" i="15"/>
  <c r="I814" i="15"/>
  <c r="H814" i="15"/>
  <c r="G814" i="15"/>
  <c r="F814" i="15"/>
  <c r="E814" i="15"/>
  <c r="D814" i="15"/>
  <c r="C814" i="15"/>
  <c r="K813" i="15"/>
  <c r="J813" i="15"/>
  <c r="I813" i="15"/>
  <c r="H813" i="15"/>
  <c r="G813" i="15"/>
  <c r="F813" i="15"/>
  <c r="E813" i="15"/>
  <c r="D813" i="15"/>
  <c r="C813" i="15"/>
  <c r="K812" i="15"/>
  <c r="J812" i="15"/>
  <c r="I812" i="15"/>
  <c r="H812" i="15"/>
  <c r="G812" i="15"/>
  <c r="F812" i="15"/>
  <c r="E812" i="15"/>
  <c r="D812" i="15"/>
  <c r="C812" i="15"/>
  <c r="K811" i="15"/>
  <c r="L811" i="15" s="1"/>
  <c r="J811" i="15"/>
  <c r="I811" i="15"/>
  <c r="H811" i="15"/>
  <c r="G811" i="15"/>
  <c r="F811" i="15"/>
  <c r="E811" i="15"/>
  <c r="D811" i="15"/>
  <c r="C811" i="15"/>
  <c r="K810" i="15"/>
  <c r="J810" i="15"/>
  <c r="I810" i="15"/>
  <c r="H810" i="15"/>
  <c r="G810" i="15"/>
  <c r="F810" i="15"/>
  <c r="E810" i="15"/>
  <c r="D810" i="15"/>
  <c r="C810" i="15"/>
  <c r="K809" i="15"/>
  <c r="J809" i="15"/>
  <c r="I809" i="15"/>
  <c r="H809" i="15"/>
  <c r="G809" i="15"/>
  <c r="F809" i="15"/>
  <c r="E809" i="15"/>
  <c r="D809" i="15"/>
  <c r="C809" i="15"/>
  <c r="K808" i="15"/>
  <c r="J808" i="15"/>
  <c r="I808" i="15"/>
  <c r="H808" i="15"/>
  <c r="G808" i="15"/>
  <c r="F808" i="15"/>
  <c r="E808" i="15"/>
  <c r="D808" i="15"/>
  <c r="C808" i="15"/>
  <c r="K807" i="15"/>
  <c r="J807" i="15"/>
  <c r="I807" i="15"/>
  <c r="H807" i="15"/>
  <c r="G807" i="15"/>
  <c r="F807" i="15"/>
  <c r="E807" i="15"/>
  <c r="D807" i="15"/>
  <c r="L807" i="15" s="1"/>
  <c r="C807" i="15"/>
  <c r="K806" i="15"/>
  <c r="J806" i="15"/>
  <c r="I806" i="15"/>
  <c r="H806" i="15"/>
  <c r="G806" i="15"/>
  <c r="F806" i="15"/>
  <c r="E806" i="15"/>
  <c r="D806" i="15"/>
  <c r="C806" i="15"/>
  <c r="K805" i="15"/>
  <c r="J805" i="15"/>
  <c r="I805" i="15"/>
  <c r="H805" i="15"/>
  <c r="G805" i="15"/>
  <c r="F805" i="15"/>
  <c r="E805" i="15"/>
  <c r="D805" i="15"/>
  <c r="C805" i="15"/>
  <c r="K804" i="15"/>
  <c r="J804" i="15"/>
  <c r="I804" i="15"/>
  <c r="H804" i="15"/>
  <c r="G804" i="15"/>
  <c r="F804" i="15"/>
  <c r="E804" i="15"/>
  <c r="D804" i="15"/>
  <c r="C804" i="15"/>
  <c r="K803" i="15"/>
  <c r="L803" i="15" s="1"/>
  <c r="J803" i="15"/>
  <c r="I803" i="15"/>
  <c r="H803" i="15"/>
  <c r="G803" i="15"/>
  <c r="F803" i="15"/>
  <c r="E803" i="15"/>
  <c r="D803" i="15"/>
  <c r="C803" i="15"/>
  <c r="K802" i="15"/>
  <c r="J802" i="15"/>
  <c r="I802" i="15"/>
  <c r="H802" i="15"/>
  <c r="G802" i="15"/>
  <c r="F802" i="15"/>
  <c r="E802" i="15"/>
  <c r="D802" i="15"/>
  <c r="C802" i="15"/>
  <c r="K801" i="15"/>
  <c r="J801" i="15"/>
  <c r="I801" i="15"/>
  <c r="H801" i="15"/>
  <c r="G801" i="15"/>
  <c r="F801" i="15"/>
  <c r="E801" i="15"/>
  <c r="D801" i="15"/>
  <c r="C801" i="15"/>
  <c r="K800" i="15"/>
  <c r="J800" i="15"/>
  <c r="I800" i="15"/>
  <c r="H800" i="15"/>
  <c r="G800" i="15"/>
  <c r="F800" i="15"/>
  <c r="E800" i="15"/>
  <c r="D800" i="15"/>
  <c r="C800" i="15"/>
  <c r="K799" i="15"/>
  <c r="L799" i="15" s="1"/>
  <c r="J799" i="15"/>
  <c r="I799" i="15"/>
  <c r="H799" i="15"/>
  <c r="G799" i="15"/>
  <c r="F799" i="15"/>
  <c r="E799" i="15"/>
  <c r="D799" i="15"/>
  <c r="C799" i="15"/>
  <c r="K798" i="15"/>
  <c r="J798" i="15"/>
  <c r="I798" i="15"/>
  <c r="H798" i="15"/>
  <c r="G798" i="15"/>
  <c r="F798" i="15"/>
  <c r="E798" i="15"/>
  <c r="D798" i="15"/>
  <c r="C798" i="15"/>
  <c r="K797" i="15"/>
  <c r="J797" i="15"/>
  <c r="I797" i="15"/>
  <c r="H797" i="15"/>
  <c r="G797" i="15"/>
  <c r="F797" i="15"/>
  <c r="E797" i="15"/>
  <c r="D797" i="15"/>
  <c r="C797" i="15"/>
  <c r="K796" i="15"/>
  <c r="J796" i="15"/>
  <c r="I796" i="15"/>
  <c r="H796" i="15"/>
  <c r="G796" i="15"/>
  <c r="F796" i="15"/>
  <c r="E796" i="15"/>
  <c r="D796" i="15"/>
  <c r="C796" i="15"/>
  <c r="K795" i="15"/>
  <c r="J795" i="15"/>
  <c r="I795" i="15"/>
  <c r="H795" i="15"/>
  <c r="G795" i="15"/>
  <c r="F795" i="15"/>
  <c r="E795" i="15"/>
  <c r="D795" i="15"/>
  <c r="L795" i="15" s="1"/>
  <c r="C795" i="15"/>
  <c r="K794" i="15"/>
  <c r="J794" i="15"/>
  <c r="I794" i="15"/>
  <c r="H794" i="15"/>
  <c r="G794" i="15"/>
  <c r="F794" i="15"/>
  <c r="E794" i="15"/>
  <c r="D794" i="15"/>
  <c r="C794" i="15"/>
  <c r="K793" i="15"/>
  <c r="J793" i="15"/>
  <c r="I793" i="15"/>
  <c r="H793" i="15"/>
  <c r="G793" i="15"/>
  <c r="F793" i="15"/>
  <c r="E793" i="15"/>
  <c r="D793" i="15"/>
  <c r="C793" i="15"/>
  <c r="K792" i="15"/>
  <c r="J792" i="15"/>
  <c r="I792" i="15"/>
  <c r="H792" i="15"/>
  <c r="G792" i="15"/>
  <c r="F792" i="15"/>
  <c r="E792" i="15"/>
  <c r="D792" i="15"/>
  <c r="C792" i="15"/>
  <c r="K791" i="15"/>
  <c r="J791" i="15"/>
  <c r="I791" i="15"/>
  <c r="H791" i="15"/>
  <c r="G791" i="15"/>
  <c r="F791" i="15"/>
  <c r="E791" i="15"/>
  <c r="D791" i="15"/>
  <c r="L791" i="15" s="1"/>
  <c r="C791" i="15"/>
  <c r="K790" i="15"/>
  <c r="J790" i="15"/>
  <c r="I790" i="15"/>
  <c r="H790" i="15"/>
  <c r="G790" i="15"/>
  <c r="F790" i="15"/>
  <c r="E790" i="15"/>
  <c r="D790" i="15"/>
  <c r="C790" i="15"/>
  <c r="K789" i="15"/>
  <c r="J789" i="15"/>
  <c r="I789" i="15"/>
  <c r="H789" i="15"/>
  <c r="G789" i="15"/>
  <c r="F789" i="15"/>
  <c r="E789" i="15"/>
  <c r="D789" i="15"/>
  <c r="C789" i="15"/>
  <c r="K788" i="15"/>
  <c r="J788" i="15"/>
  <c r="I788" i="15"/>
  <c r="H788" i="15"/>
  <c r="G788" i="15"/>
  <c r="F788" i="15"/>
  <c r="E788" i="15"/>
  <c r="D788" i="15"/>
  <c r="C788" i="15"/>
  <c r="K787" i="15"/>
  <c r="L787" i="15" s="1"/>
  <c r="J787" i="15"/>
  <c r="I787" i="15"/>
  <c r="H787" i="15"/>
  <c r="G787" i="15"/>
  <c r="F787" i="15"/>
  <c r="E787" i="15"/>
  <c r="D787" i="15"/>
  <c r="C787" i="15"/>
  <c r="K786" i="15"/>
  <c r="J786" i="15"/>
  <c r="I786" i="15"/>
  <c r="H786" i="15"/>
  <c r="G786" i="15"/>
  <c r="F786" i="15"/>
  <c r="E786" i="15"/>
  <c r="D786" i="15"/>
  <c r="C786" i="15"/>
  <c r="K785" i="15"/>
  <c r="J785" i="15"/>
  <c r="I785" i="15"/>
  <c r="H785" i="15"/>
  <c r="G785" i="15"/>
  <c r="F785" i="15"/>
  <c r="E785" i="15"/>
  <c r="D785" i="15"/>
  <c r="C785" i="15"/>
  <c r="K784" i="15"/>
  <c r="J784" i="15"/>
  <c r="I784" i="15"/>
  <c r="H784" i="15"/>
  <c r="G784" i="15"/>
  <c r="F784" i="15"/>
  <c r="E784" i="15"/>
  <c r="D784" i="15"/>
  <c r="C784" i="15"/>
  <c r="K783" i="15"/>
  <c r="J783" i="15"/>
  <c r="I783" i="15"/>
  <c r="H783" i="15"/>
  <c r="G783" i="15"/>
  <c r="F783" i="15"/>
  <c r="E783" i="15"/>
  <c r="D783" i="15"/>
  <c r="L783" i="15" s="1"/>
  <c r="C783" i="15"/>
  <c r="K782" i="15"/>
  <c r="J782" i="15"/>
  <c r="I782" i="15"/>
  <c r="H782" i="15"/>
  <c r="G782" i="15"/>
  <c r="F782" i="15"/>
  <c r="E782" i="15"/>
  <c r="D782" i="15"/>
  <c r="C782" i="15"/>
  <c r="K781" i="15"/>
  <c r="J781" i="15"/>
  <c r="I781" i="15"/>
  <c r="H781" i="15"/>
  <c r="G781" i="15"/>
  <c r="F781" i="15"/>
  <c r="E781" i="15"/>
  <c r="D781" i="15"/>
  <c r="C781" i="15"/>
  <c r="K780" i="15"/>
  <c r="J780" i="15"/>
  <c r="I780" i="15"/>
  <c r="H780" i="15"/>
  <c r="G780" i="15"/>
  <c r="F780" i="15"/>
  <c r="E780" i="15"/>
  <c r="D780" i="15"/>
  <c r="C780" i="15"/>
  <c r="K779" i="15"/>
  <c r="L779" i="15" s="1"/>
  <c r="J779" i="15"/>
  <c r="I779" i="15"/>
  <c r="H779" i="15"/>
  <c r="G779" i="15"/>
  <c r="F779" i="15"/>
  <c r="E779" i="15"/>
  <c r="D779" i="15"/>
  <c r="C779" i="15"/>
  <c r="K778" i="15"/>
  <c r="J778" i="15"/>
  <c r="I778" i="15"/>
  <c r="H778" i="15"/>
  <c r="G778" i="15"/>
  <c r="F778" i="15"/>
  <c r="E778" i="15"/>
  <c r="D778" i="15"/>
  <c r="C778" i="15"/>
  <c r="K777" i="15"/>
  <c r="J777" i="15"/>
  <c r="I777" i="15"/>
  <c r="H777" i="15"/>
  <c r="G777" i="15"/>
  <c r="F777" i="15"/>
  <c r="E777" i="15"/>
  <c r="D777" i="15"/>
  <c r="C777" i="15"/>
  <c r="K776" i="15"/>
  <c r="J776" i="15"/>
  <c r="I776" i="15"/>
  <c r="H776" i="15"/>
  <c r="G776" i="15"/>
  <c r="F776" i="15"/>
  <c r="E776" i="15"/>
  <c r="D776" i="15"/>
  <c r="C776" i="15"/>
  <c r="K775" i="15"/>
  <c r="J775" i="15"/>
  <c r="I775" i="15"/>
  <c r="H775" i="15"/>
  <c r="G775" i="15"/>
  <c r="F775" i="15"/>
  <c r="E775" i="15"/>
  <c r="D775" i="15"/>
  <c r="L775" i="15" s="1"/>
  <c r="C775" i="15"/>
  <c r="K774" i="15"/>
  <c r="J774" i="15"/>
  <c r="I774" i="15"/>
  <c r="H774" i="15"/>
  <c r="G774" i="15"/>
  <c r="F774" i="15"/>
  <c r="E774" i="15"/>
  <c r="D774" i="15"/>
  <c r="C774" i="15"/>
  <c r="K773" i="15"/>
  <c r="J773" i="15"/>
  <c r="I773" i="15"/>
  <c r="H773" i="15"/>
  <c r="G773" i="15"/>
  <c r="F773" i="15"/>
  <c r="E773" i="15"/>
  <c r="D773" i="15"/>
  <c r="C773" i="15"/>
  <c r="K772" i="15"/>
  <c r="J772" i="15"/>
  <c r="I772" i="15"/>
  <c r="H772" i="15"/>
  <c r="G772" i="15"/>
  <c r="F772" i="15"/>
  <c r="E772" i="15"/>
  <c r="D772" i="15"/>
  <c r="C772" i="15"/>
  <c r="K771" i="15"/>
  <c r="L771" i="15" s="1"/>
  <c r="J771" i="15"/>
  <c r="I771" i="15"/>
  <c r="H771" i="15"/>
  <c r="G771" i="15"/>
  <c r="F771" i="15"/>
  <c r="E771" i="15"/>
  <c r="D771" i="15"/>
  <c r="C771" i="15"/>
  <c r="K770" i="15"/>
  <c r="J770" i="15"/>
  <c r="I770" i="15"/>
  <c r="H770" i="15"/>
  <c r="G770" i="15"/>
  <c r="F770" i="15"/>
  <c r="E770" i="15"/>
  <c r="D770" i="15"/>
  <c r="C770" i="15"/>
  <c r="K769" i="15"/>
  <c r="J769" i="15"/>
  <c r="I769" i="15"/>
  <c r="H769" i="15"/>
  <c r="G769" i="15"/>
  <c r="F769" i="15"/>
  <c r="E769" i="15"/>
  <c r="D769" i="15"/>
  <c r="C769" i="15"/>
  <c r="K768" i="15"/>
  <c r="J768" i="15"/>
  <c r="I768" i="15"/>
  <c r="H768" i="15"/>
  <c r="G768" i="15"/>
  <c r="F768" i="15"/>
  <c r="E768" i="15"/>
  <c r="D768" i="15"/>
  <c r="C768" i="15"/>
  <c r="K767" i="15"/>
  <c r="L767" i="15" s="1"/>
  <c r="J767" i="15"/>
  <c r="I767" i="15"/>
  <c r="H767" i="15"/>
  <c r="G767" i="15"/>
  <c r="F767" i="15"/>
  <c r="E767" i="15"/>
  <c r="D767" i="15"/>
  <c r="C767" i="15"/>
  <c r="K766" i="15"/>
  <c r="L766" i="15" s="1"/>
  <c r="J766" i="15"/>
  <c r="I766" i="15"/>
  <c r="H766" i="15"/>
  <c r="G766" i="15"/>
  <c r="F766" i="15"/>
  <c r="E766" i="15"/>
  <c r="D766" i="15"/>
  <c r="C766" i="15"/>
  <c r="K765" i="15"/>
  <c r="J765" i="15"/>
  <c r="I765" i="15"/>
  <c r="H765" i="15"/>
  <c r="G765" i="15"/>
  <c r="F765" i="15"/>
  <c r="E765" i="15"/>
  <c r="D765" i="15"/>
  <c r="C765" i="15"/>
  <c r="K764" i="15"/>
  <c r="J764" i="15"/>
  <c r="I764" i="15"/>
  <c r="H764" i="15"/>
  <c r="G764" i="15"/>
  <c r="F764" i="15"/>
  <c r="E764" i="15"/>
  <c r="D764" i="15"/>
  <c r="C764" i="15"/>
  <c r="K763" i="15"/>
  <c r="J763" i="15"/>
  <c r="I763" i="15"/>
  <c r="H763" i="15"/>
  <c r="G763" i="15"/>
  <c r="F763" i="15"/>
  <c r="E763" i="15"/>
  <c r="D763" i="15"/>
  <c r="L763" i="15" s="1"/>
  <c r="C763" i="15"/>
  <c r="K762" i="15"/>
  <c r="J762" i="15"/>
  <c r="I762" i="15"/>
  <c r="H762" i="15"/>
  <c r="G762" i="15"/>
  <c r="F762" i="15"/>
  <c r="E762" i="15"/>
  <c r="D762" i="15"/>
  <c r="C762" i="15"/>
  <c r="K761" i="15"/>
  <c r="J761" i="15"/>
  <c r="I761" i="15"/>
  <c r="H761" i="15"/>
  <c r="G761" i="15"/>
  <c r="F761" i="15"/>
  <c r="E761" i="15"/>
  <c r="D761" i="15"/>
  <c r="C761" i="15"/>
  <c r="K760" i="15"/>
  <c r="J760" i="15"/>
  <c r="I760" i="15"/>
  <c r="H760" i="15"/>
  <c r="G760" i="15"/>
  <c r="F760" i="15"/>
  <c r="E760" i="15"/>
  <c r="D760" i="15"/>
  <c r="C760" i="15"/>
  <c r="K759" i="15"/>
  <c r="J759" i="15"/>
  <c r="I759" i="15"/>
  <c r="H759" i="15"/>
  <c r="G759" i="15"/>
  <c r="F759" i="15"/>
  <c r="E759" i="15"/>
  <c r="D759" i="15"/>
  <c r="L759" i="15" s="1"/>
  <c r="C759" i="15"/>
  <c r="K758" i="15"/>
  <c r="J758" i="15"/>
  <c r="I758" i="15"/>
  <c r="H758" i="15"/>
  <c r="G758" i="15"/>
  <c r="F758" i="15"/>
  <c r="E758" i="15"/>
  <c r="D758" i="15"/>
  <c r="C758" i="15"/>
  <c r="K757" i="15"/>
  <c r="J757" i="15"/>
  <c r="I757" i="15"/>
  <c r="H757" i="15"/>
  <c r="G757" i="15"/>
  <c r="F757" i="15"/>
  <c r="E757" i="15"/>
  <c r="D757" i="15"/>
  <c r="C757" i="15"/>
  <c r="K756" i="15"/>
  <c r="J756" i="15"/>
  <c r="I756" i="15"/>
  <c r="H756" i="15"/>
  <c r="G756" i="15"/>
  <c r="F756" i="15"/>
  <c r="E756" i="15"/>
  <c r="D756" i="15"/>
  <c r="C756" i="15"/>
  <c r="K755" i="15"/>
  <c r="L755" i="15" s="1"/>
  <c r="J755" i="15"/>
  <c r="I755" i="15"/>
  <c r="H755" i="15"/>
  <c r="G755" i="15"/>
  <c r="F755" i="15"/>
  <c r="E755" i="15"/>
  <c r="D755" i="15"/>
  <c r="C755" i="15"/>
  <c r="K754" i="15"/>
  <c r="J754" i="15"/>
  <c r="I754" i="15"/>
  <c r="H754" i="15"/>
  <c r="G754" i="15"/>
  <c r="F754" i="15"/>
  <c r="E754" i="15"/>
  <c r="D754" i="15"/>
  <c r="C754" i="15"/>
  <c r="K753" i="15"/>
  <c r="J753" i="15"/>
  <c r="I753" i="15"/>
  <c r="H753" i="15"/>
  <c r="G753" i="15"/>
  <c r="F753" i="15"/>
  <c r="E753" i="15"/>
  <c r="D753" i="15"/>
  <c r="C753" i="15"/>
  <c r="K752" i="15"/>
  <c r="J752" i="15"/>
  <c r="I752" i="15"/>
  <c r="H752" i="15"/>
  <c r="G752" i="15"/>
  <c r="F752" i="15"/>
  <c r="E752" i="15"/>
  <c r="D752" i="15"/>
  <c r="C752" i="15"/>
  <c r="K751" i="15"/>
  <c r="J751" i="15"/>
  <c r="I751" i="15"/>
  <c r="H751" i="15"/>
  <c r="G751" i="15"/>
  <c r="F751" i="15"/>
  <c r="E751" i="15"/>
  <c r="D751" i="15"/>
  <c r="L751" i="15" s="1"/>
  <c r="C751" i="15"/>
  <c r="K750" i="15"/>
  <c r="J750" i="15"/>
  <c r="I750" i="15"/>
  <c r="H750" i="15"/>
  <c r="G750" i="15"/>
  <c r="F750" i="15"/>
  <c r="E750" i="15"/>
  <c r="D750" i="15"/>
  <c r="C750" i="15"/>
  <c r="K749" i="15"/>
  <c r="J749" i="15"/>
  <c r="I749" i="15"/>
  <c r="H749" i="15"/>
  <c r="G749" i="15"/>
  <c r="F749" i="15"/>
  <c r="E749" i="15"/>
  <c r="D749" i="15"/>
  <c r="C749" i="15"/>
  <c r="K748" i="15"/>
  <c r="J748" i="15"/>
  <c r="I748" i="15"/>
  <c r="H748" i="15"/>
  <c r="G748" i="15"/>
  <c r="F748" i="15"/>
  <c r="E748" i="15"/>
  <c r="D748" i="15"/>
  <c r="C748" i="15"/>
  <c r="K747" i="15"/>
  <c r="L747" i="15" s="1"/>
  <c r="J747" i="15"/>
  <c r="I747" i="15"/>
  <c r="H747" i="15"/>
  <c r="G747" i="15"/>
  <c r="F747" i="15"/>
  <c r="E747" i="15"/>
  <c r="D747" i="15"/>
  <c r="C747" i="15"/>
  <c r="K746" i="15"/>
  <c r="J746" i="15"/>
  <c r="I746" i="15"/>
  <c r="H746" i="15"/>
  <c r="G746" i="15"/>
  <c r="F746" i="15"/>
  <c r="E746" i="15"/>
  <c r="D746" i="15"/>
  <c r="C746" i="15"/>
  <c r="K745" i="15"/>
  <c r="J745" i="15"/>
  <c r="I745" i="15"/>
  <c r="H745" i="15"/>
  <c r="G745" i="15"/>
  <c r="F745" i="15"/>
  <c r="E745" i="15"/>
  <c r="D745" i="15"/>
  <c r="C745" i="15"/>
  <c r="K744" i="15"/>
  <c r="J744" i="15"/>
  <c r="I744" i="15"/>
  <c r="H744" i="15"/>
  <c r="G744" i="15"/>
  <c r="F744" i="15"/>
  <c r="E744" i="15"/>
  <c r="D744" i="15"/>
  <c r="C744" i="15"/>
  <c r="K743" i="15"/>
  <c r="J743" i="15"/>
  <c r="I743" i="15"/>
  <c r="H743" i="15"/>
  <c r="G743" i="15"/>
  <c r="F743" i="15"/>
  <c r="E743" i="15"/>
  <c r="D743" i="15"/>
  <c r="L743" i="15" s="1"/>
  <c r="C743" i="15"/>
  <c r="K742" i="15"/>
  <c r="J742" i="15"/>
  <c r="I742" i="15"/>
  <c r="H742" i="15"/>
  <c r="G742" i="15"/>
  <c r="F742" i="15"/>
  <c r="E742" i="15"/>
  <c r="D742" i="15"/>
  <c r="C742" i="15"/>
  <c r="K741" i="15"/>
  <c r="J741" i="15"/>
  <c r="I741" i="15"/>
  <c r="H741" i="15"/>
  <c r="G741" i="15"/>
  <c r="F741" i="15"/>
  <c r="E741" i="15"/>
  <c r="D741" i="15"/>
  <c r="C741" i="15"/>
  <c r="K740" i="15"/>
  <c r="J740" i="15"/>
  <c r="I740" i="15"/>
  <c r="H740" i="15"/>
  <c r="G740" i="15"/>
  <c r="F740" i="15"/>
  <c r="E740" i="15"/>
  <c r="D740" i="15"/>
  <c r="C740" i="15"/>
  <c r="K739" i="15"/>
  <c r="L739" i="15" s="1"/>
  <c r="J739" i="15"/>
  <c r="I739" i="15"/>
  <c r="H739" i="15"/>
  <c r="G739" i="15"/>
  <c r="F739" i="15"/>
  <c r="E739" i="15"/>
  <c r="D739" i="15"/>
  <c r="C739" i="15"/>
  <c r="K738" i="15"/>
  <c r="J738" i="15"/>
  <c r="I738" i="15"/>
  <c r="H738" i="15"/>
  <c r="G738" i="15"/>
  <c r="F738" i="15"/>
  <c r="E738" i="15"/>
  <c r="D738" i="15"/>
  <c r="C738" i="15"/>
  <c r="K737" i="15"/>
  <c r="J737" i="15"/>
  <c r="I737" i="15"/>
  <c r="H737" i="15"/>
  <c r="G737" i="15"/>
  <c r="F737" i="15"/>
  <c r="E737" i="15"/>
  <c r="D737" i="15"/>
  <c r="C737" i="15"/>
  <c r="K736" i="15"/>
  <c r="J736" i="15"/>
  <c r="I736" i="15"/>
  <c r="H736" i="15"/>
  <c r="G736" i="15"/>
  <c r="F736" i="15"/>
  <c r="E736" i="15"/>
  <c r="D736" i="15"/>
  <c r="C736" i="15"/>
  <c r="K735" i="15"/>
  <c r="L735" i="15" s="1"/>
  <c r="J735" i="15"/>
  <c r="I735" i="15"/>
  <c r="H735" i="15"/>
  <c r="G735" i="15"/>
  <c r="F735" i="15"/>
  <c r="E735" i="15"/>
  <c r="D735" i="15"/>
  <c r="C735" i="15"/>
  <c r="K734" i="15"/>
  <c r="L734" i="15" s="1"/>
  <c r="J734" i="15"/>
  <c r="I734" i="15"/>
  <c r="H734" i="15"/>
  <c r="G734" i="15"/>
  <c r="F734" i="15"/>
  <c r="E734" i="15"/>
  <c r="D734" i="15"/>
  <c r="C734" i="15"/>
  <c r="K733" i="15"/>
  <c r="J733" i="15"/>
  <c r="I733" i="15"/>
  <c r="H733" i="15"/>
  <c r="G733" i="15"/>
  <c r="F733" i="15"/>
  <c r="E733" i="15"/>
  <c r="D733" i="15"/>
  <c r="C733" i="15"/>
  <c r="K732" i="15"/>
  <c r="J732" i="15"/>
  <c r="I732" i="15"/>
  <c r="H732" i="15"/>
  <c r="G732" i="15"/>
  <c r="F732" i="15"/>
  <c r="E732" i="15"/>
  <c r="D732" i="15"/>
  <c r="C732" i="15"/>
  <c r="K731" i="15"/>
  <c r="J731" i="15"/>
  <c r="I731" i="15"/>
  <c r="H731" i="15"/>
  <c r="G731" i="15"/>
  <c r="F731" i="15"/>
  <c r="E731" i="15"/>
  <c r="D731" i="15"/>
  <c r="L731" i="15" s="1"/>
  <c r="C731" i="15"/>
  <c r="K730" i="15"/>
  <c r="J730" i="15"/>
  <c r="I730" i="15"/>
  <c r="H730" i="15"/>
  <c r="G730" i="15"/>
  <c r="F730" i="15"/>
  <c r="E730" i="15"/>
  <c r="D730" i="15"/>
  <c r="C730" i="15"/>
  <c r="K729" i="15"/>
  <c r="J729" i="15"/>
  <c r="I729" i="15"/>
  <c r="H729" i="15"/>
  <c r="G729" i="15"/>
  <c r="F729" i="15"/>
  <c r="E729" i="15"/>
  <c r="D729" i="15"/>
  <c r="C729" i="15"/>
  <c r="K728" i="15"/>
  <c r="J728" i="15"/>
  <c r="I728" i="15"/>
  <c r="H728" i="15"/>
  <c r="G728" i="15"/>
  <c r="F728" i="15"/>
  <c r="E728" i="15"/>
  <c r="D728" i="15"/>
  <c r="C728" i="15"/>
  <c r="K727" i="15"/>
  <c r="J727" i="15"/>
  <c r="I727" i="15"/>
  <c r="H727" i="15"/>
  <c r="G727" i="15"/>
  <c r="F727" i="15"/>
  <c r="E727" i="15"/>
  <c r="D727" i="15"/>
  <c r="L727" i="15" s="1"/>
  <c r="C727" i="15"/>
  <c r="K726" i="15"/>
  <c r="J726" i="15"/>
  <c r="I726" i="15"/>
  <c r="H726" i="15"/>
  <c r="G726" i="15"/>
  <c r="F726" i="15"/>
  <c r="E726" i="15"/>
  <c r="D726" i="15"/>
  <c r="C726" i="15"/>
  <c r="K725" i="15"/>
  <c r="J725" i="15"/>
  <c r="I725" i="15"/>
  <c r="H725" i="15"/>
  <c r="G725" i="15"/>
  <c r="F725" i="15"/>
  <c r="E725" i="15"/>
  <c r="D725" i="15"/>
  <c r="C725" i="15"/>
  <c r="K724" i="15"/>
  <c r="J724" i="15"/>
  <c r="I724" i="15"/>
  <c r="H724" i="15"/>
  <c r="G724" i="15"/>
  <c r="F724" i="15"/>
  <c r="E724" i="15"/>
  <c r="D724" i="15"/>
  <c r="C724" i="15"/>
  <c r="K723" i="15"/>
  <c r="L723" i="15" s="1"/>
  <c r="J723" i="15"/>
  <c r="I723" i="15"/>
  <c r="H723" i="15"/>
  <c r="G723" i="15"/>
  <c r="F723" i="15"/>
  <c r="E723" i="15"/>
  <c r="D723" i="15"/>
  <c r="C723" i="15"/>
  <c r="K722" i="15"/>
  <c r="J722" i="15"/>
  <c r="I722" i="15"/>
  <c r="H722" i="15"/>
  <c r="G722" i="15"/>
  <c r="F722" i="15"/>
  <c r="E722" i="15"/>
  <c r="D722" i="15"/>
  <c r="C722" i="15"/>
  <c r="K721" i="15"/>
  <c r="J721" i="15"/>
  <c r="I721" i="15"/>
  <c r="H721" i="15"/>
  <c r="G721" i="15"/>
  <c r="F721" i="15"/>
  <c r="E721" i="15"/>
  <c r="D721" i="15"/>
  <c r="C721" i="15"/>
  <c r="K720" i="15"/>
  <c r="J720" i="15"/>
  <c r="I720" i="15"/>
  <c r="H720" i="15"/>
  <c r="G720" i="15"/>
  <c r="F720" i="15"/>
  <c r="E720" i="15"/>
  <c r="D720" i="15"/>
  <c r="C720" i="15"/>
  <c r="K719" i="15"/>
  <c r="J719" i="15"/>
  <c r="I719" i="15"/>
  <c r="H719" i="15"/>
  <c r="G719" i="15"/>
  <c r="F719" i="15"/>
  <c r="E719" i="15"/>
  <c r="D719" i="15"/>
  <c r="L719" i="15" s="1"/>
  <c r="C719" i="15"/>
  <c r="K718" i="15"/>
  <c r="J718" i="15"/>
  <c r="I718" i="15"/>
  <c r="H718" i="15"/>
  <c r="G718" i="15"/>
  <c r="F718" i="15"/>
  <c r="E718" i="15"/>
  <c r="D718" i="15"/>
  <c r="C718" i="15"/>
  <c r="K717" i="15"/>
  <c r="J717" i="15"/>
  <c r="I717" i="15"/>
  <c r="H717" i="15"/>
  <c r="G717" i="15"/>
  <c r="F717" i="15"/>
  <c r="E717" i="15"/>
  <c r="D717" i="15"/>
  <c r="C717" i="15"/>
  <c r="K716" i="15"/>
  <c r="J716" i="15"/>
  <c r="I716" i="15"/>
  <c r="H716" i="15"/>
  <c r="G716" i="15"/>
  <c r="F716" i="15"/>
  <c r="E716" i="15"/>
  <c r="D716" i="15"/>
  <c r="C716" i="15"/>
  <c r="K715" i="15"/>
  <c r="L715" i="15" s="1"/>
  <c r="J715" i="15"/>
  <c r="I715" i="15"/>
  <c r="H715" i="15"/>
  <c r="G715" i="15"/>
  <c r="F715" i="15"/>
  <c r="E715" i="15"/>
  <c r="D715" i="15"/>
  <c r="C715" i="15"/>
  <c r="K714" i="15"/>
  <c r="J714" i="15"/>
  <c r="I714" i="15"/>
  <c r="H714" i="15"/>
  <c r="G714" i="15"/>
  <c r="F714" i="15"/>
  <c r="E714" i="15"/>
  <c r="D714" i="15"/>
  <c r="C714" i="15"/>
  <c r="K713" i="15"/>
  <c r="J713" i="15"/>
  <c r="I713" i="15"/>
  <c r="H713" i="15"/>
  <c r="G713" i="15"/>
  <c r="F713" i="15"/>
  <c r="E713" i="15"/>
  <c r="D713" i="15"/>
  <c r="C713" i="15"/>
  <c r="K712" i="15"/>
  <c r="J712" i="15"/>
  <c r="I712" i="15"/>
  <c r="H712" i="15"/>
  <c r="G712" i="15"/>
  <c r="F712" i="15"/>
  <c r="E712" i="15"/>
  <c r="D712" i="15"/>
  <c r="C712" i="15"/>
  <c r="K711" i="15"/>
  <c r="J711" i="15"/>
  <c r="I711" i="15"/>
  <c r="H711" i="15"/>
  <c r="G711" i="15"/>
  <c r="F711" i="15"/>
  <c r="E711" i="15"/>
  <c r="D711" i="15"/>
  <c r="L711" i="15" s="1"/>
  <c r="C711" i="15"/>
  <c r="K710" i="15"/>
  <c r="J710" i="15"/>
  <c r="I710" i="15"/>
  <c r="H710" i="15"/>
  <c r="G710" i="15"/>
  <c r="F710" i="15"/>
  <c r="E710" i="15"/>
  <c r="D710" i="15"/>
  <c r="C710" i="15"/>
  <c r="K709" i="15"/>
  <c r="J709" i="15"/>
  <c r="I709" i="15"/>
  <c r="H709" i="15"/>
  <c r="G709" i="15"/>
  <c r="F709" i="15"/>
  <c r="E709" i="15"/>
  <c r="D709" i="15"/>
  <c r="C709" i="15"/>
  <c r="K708" i="15"/>
  <c r="J708" i="15"/>
  <c r="I708" i="15"/>
  <c r="H708" i="15"/>
  <c r="G708" i="15"/>
  <c r="F708" i="15"/>
  <c r="E708" i="15"/>
  <c r="D708" i="15"/>
  <c r="C708" i="15"/>
  <c r="K707" i="15"/>
  <c r="L707" i="15" s="1"/>
  <c r="J707" i="15"/>
  <c r="I707" i="15"/>
  <c r="H707" i="15"/>
  <c r="G707" i="15"/>
  <c r="F707" i="15"/>
  <c r="E707" i="15"/>
  <c r="D707" i="15"/>
  <c r="C707" i="15"/>
  <c r="K706" i="15"/>
  <c r="J706" i="15"/>
  <c r="I706" i="15"/>
  <c r="H706" i="15"/>
  <c r="G706" i="15"/>
  <c r="F706" i="15"/>
  <c r="E706" i="15"/>
  <c r="D706" i="15"/>
  <c r="C706" i="15"/>
  <c r="K705" i="15"/>
  <c r="J705" i="15"/>
  <c r="I705" i="15"/>
  <c r="H705" i="15"/>
  <c r="G705" i="15"/>
  <c r="F705" i="15"/>
  <c r="E705" i="15"/>
  <c r="D705" i="15"/>
  <c r="C705" i="15"/>
  <c r="K704" i="15"/>
  <c r="J704" i="15"/>
  <c r="I704" i="15"/>
  <c r="H704" i="15"/>
  <c r="G704" i="15"/>
  <c r="F704" i="15"/>
  <c r="E704" i="15"/>
  <c r="D704" i="15"/>
  <c r="C704" i="15"/>
  <c r="K703" i="15"/>
  <c r="L703" i="15" s="1"/>
  <c r="J703" i="15"/>
  <c r="I703" i="15"/>
  <c r="H703" i="15"/>
  <c r="G703" i="15"/>
  <c r="F703" i="15"/>
  <c r="E703" i="15"/>
  <c r="D703" i="15"/>
  <c r="C703" i="15"/>
  <c r="K702" i="15"/>
  <c r="L702" i="15" s="1"/>
  <c r="J702" i="15"/>
  <c r="I702" i="15"/>
  <c r="H702" i="15"/>
  <c r="G702" i="15"/>
  <c r="F702" i="15"/>
  <c r="E702" i="15"/>
  <c r="D702" i="15"/>
  <c r="C702" i="15"/>
  <c r="K701" i="15"/>
  <c r="J701" i="15"/>
  <c r="I701" i="15"/>
  <c r="H701" i="15"/>
  <c r="G701" i="15"/>
  <c r="F701" i="15"/>
  <c r="E701" i="15"/>
  <c r="D701" i="15"/>
  <c r="C701" i="15"/>
  <c r="K700" i="15"/>
  <c r="J700" i="15"/>
  <c r="I700" i="15"/>
  <c r="H700" i="15"/>
  <c r="G700" i="15"/>
  <c r="F700" i="15"/>
  <c r="E700" i="15"/>
  <c r="D700" i="15"/>
  <c r="C700" i="15"/>
  <c r="K699" i="15"/>
  <c r="J699" i="15"/>
  <c r="I699" i="15"/>
  <c r="H699" i="15"/>
  <c r="G699" i="15"/>
  <c r="F699" i="15"/>
  <c r="E699" i="15"/>
  <c r="D699" i="15"/>
  <c r="L699" i="15" s="1"/>
  <c r="C699" i="15"/>
  <c r="K698" i="15"/>
  <c r="J698" i="15"/>
  <c r="I698" i="15"/>
  <c r="H698" i="15"/>
  <c r="G698" i="15"/>
  <c r="F698" i="15"/>
  <c r="E698" i="15"/>
  <c r="D698" i="15"/>
  <c r="C698" i="15"/>
  <c r="K697" i="15"/>
  <c r="J697" i="15"/>
  <c r="I697" i="15"/>
  <c r="H697" i="15"/>
  <c r="G697" i="15"/>
  <c r="F697" i="15"/>
  <c r="E697" i="15"/>
  <c r="D697" i="15"/>
  <c r="C697" i="15"/>
  <c r="K696" i="15"/>
  <c r="J696" i="15"/>
  <c r="I696" i="15"/>
  <c r="H696" i="15"/>
  <c r="G696" i="15"/>
  <c r="F696" i="15"/>
  <c r="E696" i="15"/>
  <c r="D696" i="15"/>
  <c r="C696" i="15"/>
  <c r="K695" i="15"/>
  <c r="J695" i="15"/>
  <c r="I695" i="15"/>
  <c r="H695" i="15"/>
  <c r="G695" i="15"/>
  <c r="F695" i="15"/>
  <c r="E695" i="15"/>
  <c r="D695" i="15"/>
  <c r="L695" i="15" s="1"/>
  <c r="C695" i="15"/>
  <c r="K694" i="15"/>
  <c r="J694" i="15"/>
  <c r="I694" i="15"/>
  <c r="H694" i="15"/>
  <c r="G694" i="15"/>
  <c r="F694" i="15"/>
  <c r="E694" i="15"/>
  <c r="D694" i="15"/>
  <c r="C694" i="15"/>
  <c r="K693" i="15"/>
  <c r="J693" i="15"/>
  <c r="I693" i="15"/>
  <c r="H693" i="15"/>
  <c r="G693" i="15"/>
  <c r="F693" i="15"/>
  <c r="E693" i="15"/>
  <c r="D693" i="15"/>
  <c r="C693" i="15"/>
  <c r="K692" i="15"/>
  <c r="J692" i="15"/>
  <c r="I692" i="15"/>
  <c r="H692" i="15"/>
  <c r="G692" i="15"/>
  <c r="F692" i="15"/>
  <c r="E692" i="15"/>
  <c r="D692" i="15"/>
  <c r="C692" i="15"/>
  <c r="K691" i="15"/>
  <c r="L691" i="15" s="1"/>
  <c r="J691" i="15"/>
  <c r="I691" i="15"/>
  <c r="H691" i="15"/>
  <c r="G691" i="15"/>
  <c r="F691" i="15"/>
  <c r="E691" i="15"/>
  <c r="D691" i="15"/>
  <c r="C691" i="15"/>
  <c r="K690" i="15"/>
  <c r="J690" i="15"/>
  <c r="I690" i="15"/>
  <c r="H690" i="15"/>
  <c r="G690" i="15"/>
  <c r="F690" i="15"/>
  <c r="E690" i="15"/>
  <c r="D690" i="15"/>
  <c r="C690" i="15"/>
  <c r="K689" i="15"/>
  <c r="J689" i="15"/>
  <c r="I689" i="15"/>
  <c r="H689" i="15"/>
  <c r="G689" i="15"/>
  <c r="F689" i="15"/>
  <c r="E689" i="15"/>
  <c r="D689" i="15"/>
  <c r="C689" i="15"/>
  <c r="K688" i="15"/>
  <c r="J688" i="15"/>
  <c r="I688" i="15"/>
  <c r="H688" i="15"/>
  <c r="G688" i="15"/>
  <c r="F688" i="15"/>
  <c r="E688" i="15"/>
  <c r="D688" i="15"/>
  <c r="C688" i="15"/>
  <c r="K687" i="15"/>
  <c r="J687" i="15"/>
  <c r="I687" i="15"/>
  <c r="H687" i="15"/>
  <c r="G687" i="15"/>
  <c r="F687" i="15"/>
  <c r="E687" i="15"/>
  <c r="D687" i="15"/>
  <c r="L687" i="15" s="1"/>
  <c r="C687" i="15"/>
  <c r="K686" i="15"/>
  <c r="J686" i="15"/>
  <c r="I686" i="15"/>
  <c r="H686" i="15"/>
  <c r="G686" i="15"/>
  <c r="F686" i="15"/>
  <c r="E686" i="15"/>
  <c r="D686" i="15"/>
  <c r="C686" i="15"/>
  <c r="K685" i="15"/>
  <c r="J685" i="15"/>
  <c r="I685" i="15"/>
  <c r="H685" i="15"/>
  <c r="G685" i="15"/>
  <c r="F685" i="15"/>
  <c r="E685" i="15"/>
  <c r="D685" i="15"/>
  <c r="C685" i="15"/>
  <c r="K684" i="15"/>
  <c r="J684" i="15"/>
  <c r="I684" i="15"/>
  <c r="H684" i="15"/>
  <c r="G684" i="15"/>
  <c r="F684" i="15"/>
  <c r="E684" i="15"/>
  <c r="D684" i="15"/>
  <c r="C684" i="15"/>
  <c r="K683" i="15"/>
  <c r="L683" i="15" s="1"/>
  <c r="J683" i="15"/>
  <c r="I683" i="15"/>
  <c r="H683" i="15"/>
  <c r="G683" i="15"/>
  <c r="F683" i="15"/>
  <c r="E683" i="15"/>
  <c r="D683" i="15"/>
  <c r="C683" i="15"/>
  <c r="K682" i="15"/>
  <c r="J682" i="15"/>
  <c r="I682" i="15"/>
  <c r="H682" i="15"/>
  <c r="G682" i="15"/>
  <c r="F682" i="15"/>
  <c r="E682" i="15"/>
  <c r="D682" i="15"/>
  <c r="C682" i="15"/>
  <c r="K681" i="15"/>
  <c r="J681" i="15"/>
  <c r="I681" i="15"/>
  <c r="H681" i="15"/>
  <c r="G681" i="15"/>
  <c r="F681" i="15"/>
  <c r="E681" i="15"/>
  <c r="D681" i="15"/>
  <c r="C681" i="15"/>
  <c r="K680" i="15"/>
  <c r="J680" i="15"/>
  <c r="I680" i="15"/>
  <c r="H680" i="15"/>
  <c r="G680" i="15"/>
  <c r="F680" i="15"/>
  <c r="E680" i="15"/>
  <c r="D680" i="15"/>
  <c r="C680" i="15"/>
  <c r="K679" i="15"/>
  <c r="J679" i="15"/>
  <c r="I679" i="15"/>
  <c r="H679" i="15"/>
  <c r="G679" i="15"/>
  <c r="F679" i="15"/>
  <c r="E679" i="15"/>
  <c r="D679" i="15"/>
  <c r="L679" i="15" s="1"/>
  <c r="C679" i="15"/>
  <c r="K678" i="15"/>
  <c r="J678" i="15"/>
  <c r="I678" i="15"/>
  <c r="H678" i="15"/>
  <c r="G678" i="15"/>
  <c r="F678" i="15"/>
  <c r="E678" i="15"/>
  <c r="D678" i="15"/>
  <c r="C678" i="15"/>
  <c r="K677" i="15"/>
  <c r="J677" i="15"/>
  <c r="I677" i="15"/>
  <c r="H677" i="15"/>
  <c r="G677" i="15"/>
  <c r="F677" i="15"/>
  <c r="E677" i="15"/>
  <c r="D677" i="15"/>
  <c r="C677" i="15"/>
  <c r="K676" i="15"/>
  <c r="J676" i="15"/>
  <c r="I676" i="15"/>
  <c r="H676" i="15"/>
  <c r="G676" i="15"/>
  <c r="F676" i="15"/>
  <c r="E676" i="15"/>
  <c r="D676" i="15"/>
  <c r="C676" i="15"/>
  <c r="K675" i="15"/>
  <c r="L675" i="15" s="1"/>
  <c r="J675" i="15"/>
  <c r="I675" i="15"/>
  <c r="H675" i="15"/>
  <c r="G675" i="15"/>
  <c r="F675" i="15"/>
  <c r="E675" i="15"/>
  <c r="D675" i="15"/>
  <c r="C675" i="15"/>
  <c r="K674" i="15"/>
  <c r="J674" i="15"/>
  <c r="I674" i="15"/>
  <c r="H674" i="15"/>
  <c r="G674" i="15"/>
  <c r="F674" i="15"/>
  <c r="E674" i="15"/>
  <c r="D674" i="15"/>
  <c r="C674" i="15"/>
  <c r="K673" i="15"/>
  <c r="J673" i="15"/>
  <c r="I673" i="15"/>
  <c r="H673" i="15"/>
  <c r="G673" i="15"/>
  <c r="F673" i="15"/>
  <c r="E673" i="15"/>
  <c r="D673" i="15"/>
  <c r="C673" i="15"/>
  <c r="K672" i="15"/>
  <c r="J672" i="15"/>
  <c r="I672" i="15"/>
  <c r="H672" i="15"/>
  <c r="G672" i="15"/>
  <c r="F672" i="15"/>
  <c r="E672" i="15"/>
  <c r="D672" i="15"/>
  <c r="C672" i="15"/>
  <c r="K671" i="15"/>
  <c r="L671" i="15" s="1"/>
  <c r="J671" i="15"/>
  <c r="I671" i="15"/>
  <c r="H671" i="15"/>
  <c r="G671" i="15"/>
  <c r="F671" i="15"/>
  <c r="E671" i="15"/>
  <c r="D671" i="15"/>
  <c r="C671" i="15"/>
  <c r="K670" i="15"/>
  <c r="L670" i="15" s="1"/>
  <c r="J670" i="15"/>
  <c r="I670" i="15"/>
  <c r="H670" i="15"/>
  <c r="G670" i="15"/>
  <c r="F670" i="15"/>
  <c r="E670" i="15"/>
  <c r="D670" i="15"/>
  <c r="C670" i="15"/>
  <c r="K669" i="15"/>
  <c r="J669" i="15"/>
  <c r="I669" i="15"/>
  <c r="H669" i="15"/>
  <c r="G669" i="15"/>
  <c r="F669" i="15"/>
  <c r="E669" i="15"/>
  <c r="D669" i="15"/>
  <c r="C669" i="15"/>
  <c r="K668" i="15"/>
  <c r="J668" i="15"/>
  <c r="I668" i="15"/>
  <c r="H668" i="15"/>
  <c r="G668" i="15"/>
  <c r="F668" i="15"/>
  <c r="E668" i="15"/>
  <c r="D668" i="15"/>
  <c r="C668" i="15"/>
  <c r="K667" i="15"/>
  <c r="J667" i="15"/>
  <c r="I667" i="15"/>
  <c r="H667" i="15"/>
  <c r="G667" i="15"/>
  <c r="F667" i="15"/>
  <c r="E667" i="15"/>
  <c r="D667" i="15"/>
  <c r="L667" i="15" s="1"/>
  <c r="C667" i="15"/>
  <c r="K666" i="15"/>
  <c r="J666" i="15"/>
  <c r="I666" i="15"/>
  <c r="H666" i="15"/>
  <c r="G666" i="15"/>
  <c r="F666" i="15"/>
  <c r="E666" i="15"/>
  <c r="D666" i="15"/>
  <c r="C666" i="15"/>
  <c r="K665" i="15"/>
  <c r="J665" i="15"/>
  <c r="I665" i="15"/>
  <c r="H665" i="15"/>
  <c r="G665" i="15"/>
  <c r="F665" i="15"/>
  <c r="E665" i="15"/>
  <c r="D665" i="15"/>
  <c r="C665" i="15"/>
  <c r="K664" i="15"/>
  <c r="J664" i="15"/>
  <c r="I664" i="15"/>
  <c r="H664" i="15"/>
  <c r="G664" i="15"/>
  <c r="F664" i="15"/>
  <c r="E664" i="15"/>
  <c r="D664" i="15"/>
  <c r="C664" i="15"/>
  <c r="K663" i="15"/>
  <c r="J663" i="15"/>
  <c r="I663" i="15"/>
  <c r="H663" i="15"/>
  <c r="G663" i="15"/>
  <c r="F663" i="15"/>
  <c r="E663" i="15"/>
  <c r="D663" i="15"/>
  <c r="L663" i="15" s="1"/>
  <c r="C663" i="15"/>
  <c r="K662" i="15"/>
  <c r="J662" i="15"/>
  <c r="I662" i="15"/>
  <c r="H662" i="15"/>
  <c r="G662" i="15"/>
  <c r="F662" i="15"/>
  <c r="E662" i="15"/>
  <c r="D662" i="15"/>
  <c r="C662" i="15"/>
  <c r="K661" i="15"/>
  <c r="J661" i="15"/>
  <c r="I661" i="15"/>
  <c r="H661" i="15"/>
  <c r="G661" i="15"/>
  <c r="F661" i="15"/>
  <c r="E661" i="15"/>
  <c r="D661" i="15"/>
  <c r="C661" i="15"/>
  <c r="K660" i="15"/>
  <c r="J660" i="15"/>
  <c r="I660" i="15"/>
  <c r="H660" i="15"/>
  <c r="G660" i="15"/>
  <c r="F660" i="15"/>
  <c r="E660" i="15"/>
  <c r="D660" i="15"/>
  <c r="C660" i="15"/>
  <c r="K659" i="15"/>
  <c r="L659" i="15" s="1"/>
  <c r="J659" i="15"/>
  <c r="I659" i="15"/>
  <c r="H659" i="15"/>
  <c r="G659" i="15"/>
  <c r="F659" i="15"/>
  <c r="E659" i="15"/>
  <c r="D659" i="15"/>
  <c r="C659" i="15"/>
  <c r="K658" i="15"/>
  <c r="J658" i="15"/>
  <c r="I658" i="15"/>
  <c r="H658" i="15"/>
  <c r="G658" i="15"/>
  <c r="F658" i="15"/>
  <c r="E658" i="15"/>
  <c r="D658" i="15"/>
  <c r="C658" i="15"/>
  <c r="K657" i="15"/>
  <c r="J657" i="15"/>
  <c r="I657" i="15"/>
  <c r="H657" i="15"/>
  <c r="G657" i="15"/>
  <c r="F657" i="15"/>
  <c r="E657" i="15"/>
  <c r="D657" i="15"/>
  <c r="C657" i="15"/>
  <c r="K656" i="15"/>
  <c r="J656" i="15"/>
  <c r="I656" i="15"/>
  <c r="H656" i="15"/>
  <c r="G656" i="15"/>
  <c r="F656" i="15"/>
  <c r="E656" i="15"/>
  <c r="D656" i="15"/>
  <c r="C656" i="15"/>
  <c r="K655" i="15"/>
  <c r="J655" i="15"/>
  <c r="I655" i="15"/>
  <c r="H655" i="15"/>
  <c r="G655" i="15"/>
  <c r="F655" i="15"/>
  <c r="E655" i="15"/>
  <c r="D655" i="15"/>
  <c r="L655" i="15" s="1"/>
  <c r="C655" i="15"/>
  <c r="K654" i="15"/>
  <c r="J654" i="15"/>
  <c r="I654" i="15"/>
  <c r="H654" i="15"/>
  <c r="G654" i="15"/>
  <c r="F654" i="15"/>
  <c r="E654" i="15"/>
  <c r="D654" i="15"/>
  <c r="C654" i="15"/>
  <c r="K653" i="15"/>
  <c r="J653" i="15"/>
  <c r="I653" i="15"/>
  <c r="H653" i="15"/>
  <c r="G653" i="15"/>
  <c r="F653" i="15"/>
  <c r="E653" i="15"/>
  <c r="D653" i="15"/>
  <c r="C653" i="15"/>
  <c r="K652" i="15"/>
  <c r="J652" i="15"/>
  <c r="I652" i="15"/>
  <c r="H652" i="15"/>
  <c r="G652" i="15"/>
  <c r="F652" i="15"/>
  <c r="E652" i="15"/>
  <c r="D652" i="15"/>
  <c r="C652" i="15"/>
  <c r="K651" i="15"/>
  <c r="L651" i="15" s="1"/>
  <c r="J651" i="15"/>
  <c r="I651" i="15"/>
  <c r="H651" i="15"/>
  <c r="G651" i="15"/>
  <c r="F651" i="15"/>
  <c r="E651" i="15"/>
  <c r="D651" i="15"/>
  <c r="C651" i="15"/>
  <c r="K650" i="15"/>
  <c r="J650" i="15"/>
  <c r="I650" i="15"/>
  <c r="H650" i="15"/>
  <c r="G650" i="15"/>
  <c r="F650" i="15"/>
  <c r="E650" i="15"/>
  <c r="D650" i="15"/>
  <c r="C650" i="15"/>
  <c r="K649" i="15"/>
  <c r="J649" i="15"/>
  <c r="I649" i="15"/>
  <c r="H649" i="15"/>
  <c r="G649" i="15"/>
  <c r="F649" i="15"/>
  <c r="E649" i="15"/>
  <c r="D649" i="15"/>
  <c r="C649" i="15"/>
  <c r="K648" i="15"/>
  <c r="J648" i="15"/>
  <c r="I648" i="15"/>
  <c r="H648" i="15"/>
  <c r="G648" i="15"/>
  <c r="F648" i="15"/>
  <c r="E648" i="15"/>
  <c r="D648" i="15"/>
  <c r="C648" i="15"/>
  <c r="K647" i="15"/>
  <c r="J647" i="15"/>
  <c r="I647" i="15"/>
  <c r="H647" i="15"/>
  <c r="G647" i="15"/>
  <c r="F647" i="15"/>
  <c r="E647" i="15"/>
  <c r="D647" i="15"/>
  <c r="L647" i="15" s="1"/>
  <c r="C647" i="15"/>
  <c r="K646" i="15"/>
  <c r="J646" i="15"/>
  <c r="I646" i="15"/>
  <c r="H646" i="15"/>
  <c r="G646" i="15"/>
  <c r="F646" i="15"/>
  <c r="E646" i="15"/>
  <c r="D646" i="15"/>
  <c r="C646" i="15"/>
  <c r="K645" i="15"/>
  <c r="J645" i="15"/>
  <c r="I645" i="15"/>
  <c r="H645" i="15"/>
  <c r="G645" i="15"/>
  <c r="F645" i="15"/>
  <c r="E645" i="15"/>
  <c r="D645" i="15"/>
  <c r="C645" i="15"/>
  <c r="K644" i="15"/>
  <c r="J644" i="15"/>
  <c r="I644" i="15"/>
  <c r="H644" i="15"/>
  <c r="G644" i="15"/>
  <c r="F644" i="15"/>
  <c r="E644" i="15"/>
  <c r="D644" i="15"/>
  <c r="C644" i="15"/>
  <c r="K643" i="15"/>
  <c r="L643" i="15" s="1"/>
  <c r="J643" i="15"/>
  <c r="I643" i="15"/>
  <c r="H643" i="15"/>
  <c r="G643" i="15"/>
  <c r="F643" i="15"/>
  <c r="E643" i="15"/>
  <c r="D643" i="15"/>
  <c r="C643" i="15"/>
  <c r="K642" i="15"/>
  <c r="J642" i="15"/>
  <c r="I642" i="15"/>
  <c r="H642" i="15"/>
  <c r="G642" i="15"/>
  <c r="F642" i="15"/>
  <c r="E642" i="15"/>
  <c r="D642" i="15"/>
  <c r="C642" i="15"/>
  <c r="K641" i="15"/>
  <c r="J641" i="15"/>
  <c r="I641" i="15"/>
  <c r="H641" i="15"/>
  <c r="G641" i="15"/>
  <c r="F641" i="15"/>
  <c r="E641" i="15"/>
  <c r="D641" i="15"/>
  <c r="C641" i="15"/>
  <c r="K640" i="15"/>
  <c r="J640" i="15"/>
  <c r="I640" i="15"/>
  <c r="H640" i="15"/>
  <c r="G640" i="15"/>
  <c r="F640" i="15"/>
  <c r="E640" i="15"/>
  <c r="D640" i="15"/>
  <c r="C640" i="15"/>
  <c r="K639" i="15"/>
  <c r="L639" i="15" s="1"/>
  <c r="J639" i="15"/>
  <c r="I639" i="15"/>
  <c r="H639" i="15"/>
  <c r="G639" i="15"/>
  <c r="F639" i="15"/>
  <c r="E639" i="15"/>
  <c r="D639" i="15"/>
  <c r="C639" i="15"/>
  <c r="K638" i="15"/>
  <c r="L638" i="15" s="1"/>
  <c r="J638" i="15"/>
  <c r="I638" i="15"/>
  <c r="H638" i="15"/>
  <c r="G638" i="15"/>
  <c r="F638" i="15"/>
  <c r="E638" i="15"/>
  <c r="D638" i="15"/>
  <c r="C638" i="15"/>
  <c r="K637" i="15"/>
  <c r="J637" i="15"/>
  <c r="I637" i="15"/>
  <c r="H637" i="15"/>
  <c r="G637" i="15"/>
  <c r="F637" i="15"/>
  <c r="E637" i="15"/>
  <c r="D637" i="15"/>
  <c r="C637" i="15"/>
  <c r="K636" i="15"/>
  <c r="J636" i="15"/>
  <c r="I636" i="15"/>
  <c r="H636" i="15"/>
  <c r="G636" i="15"/>
  <c r="F636" i="15"/>
  <c r="E636" i="15"/>
  <c r="D636" i="15"/>
  <c r="C636" i="15"/>
  <c r="K635" i="15"/>
  <c r="J635" i="15"/>
  <c r="I635" i="15"/>
  <c r="H635" i="15"/>
  <c r="G635" i="15"/>
  <c r="F635" i="15"/>
  <c r="E635" i="15"/>
  <c r="D635" i="15"/>
  <c r="L635" i="15" s="1"/>
  <c r="C635" i="15"/>
  <c r="K634" i="15"/>
  <c r="J634" i="15"/>
  <c r="I634" i="15"/>
  <c r="H634" i="15"/>
  <c r="G634" i="15"/>
  <c r="F634" i="15"/>
  <c r="E634" i="15"/>
  <c r="D634" i="15"/>
  <c r="C634" i="15"/>
  <c r="K633" i="15"/>
  <c r="J633" i="15"/>
  <c r="I633" i="15"/>
  <c r="H633" i="15"/>
  <c r="G633" i="15"/>
  <c r="F633" i="15"/>
  <c r="E633" i="15"/>
  <c r="D633" i="15"/>
  <c r="C633" i="15"/>
  <c r="K632" i="15"/>
  <c r="J632" i="15"/>
  <c r="I632" i="15"/>
  <c r="H632" i="15"/>
  <c r="G632" i="15"/>
  <c r="F632" i="15"/>
  <c r="E632" i="15"/>
  <c r="D632" i="15"/>
  <c r="C632" i="15"/>
  <c r="K631" i="15"/>
  <c r="J631" i="15"/>
  <c r="I631" i="15"/>
  <c r="H631" i="15"/>
  <c r="G631" i="15"/>
  <c r="F631" i="15"/>
  <c r="E631" i="15"/>
  <c r="D631" i="15"/>
  <c r="L631" i="15" s="1"/>
  <c r="C631" i="15"/>
  <c r="K630" i="15"/>
  <c r="J630" i="15"/>
  <c r="I630" i="15"/>
  <c r="H630" i="15"/>
  <c r="G630" i="15"/>
  <c r="F630" i="15"/>
  <c r="E630" i="15"/>
  <c r="D630" i="15"/>
  <c r="C630" i="15"/>
  <c r="K629" i="15"/>
  <c r="J629" i="15"/>
  <c r="I629" i="15"/>
  <c r="H629" i="15"/>
  <c r="G629" i="15"/>
  <c r="F629" i="15"/>
  <c r="E629" i="15"/>
  <c r="D629" i="15"/>
  <c r="C629" i="15"/>
  <c r="K628" i="15"/>
  <c r="J628" i="15"/>
  <c r="I628" i="15"/>
  <c r="H628" i="15"/>
  <c r="G628" i="15"/>
  <c r="F628" i="15"/>
  <c r="E628" i="15"/>
  <c r="D628" i="15"/>
  <c r="C628" i="15"/>
  <c r="K627" i="15"/>
  <c r="J627" i="15"/>
  <c r="I627" i="15"/>
  <c r="H627" i="15"/>
  <c r="G627" i="15"/>
  <c r="F627" i="15"/>
  <c r="E627" i="15"/>
  <c r="D627" i="15"/>
  <c r="C627" i="15"/>
  <c r="K626" i="15"/>
  <c r="J626" i="15"/>
  <c r="I626" i="15"/>
  <c r="H626" i="15"/>
  <c r="G626" i="15"/>
  <c r="F626" i="15"/>
  <c r="E626" i="15"/>
  <c r="D626" i="15"/>
  <c r="C626" i="15"/>
  <c r="K625" i="15"/>
  <c r="J625" i="15"/>
  <c r="I625" i="15"/>
  <c r="H625" i="15"/>
  <c r="G625" i="15"/>
  <c r="F625" i="15"/>
  <c r="E625" i="15"/>
  <c r="D625" i="15"/>
  <c r="L625" i="15" s="1"/>
  <c r="C625" i="15"/>
  <c r="K624" i="15"/>
  <c r="J624" i="15"/>
  <c r="I624" i="15"/>
  <c r="H624" i="15"/>
  <c r="G624" i="15"/>
  <c r="F624" i="15"/>
  <c r="E624" i="15"/>
  <c r="D624" i="15"/>
  <c r="L624" i="15" s="1"/>
  <c r="C624" i="15"/>
  <c r="K623" i="15"/>
  <c r="J623" i="15"/>
  <c r="I623" i="15"/>
  <c r="H623" i="15"/>
  <c r="G623" i="15"/>
  <c r="F623" i="15"/>
  <c r="E623" i="15"/>
  <c r="D623" i="15"/>
  <c r="L623" i="15" s="1"/>
  <c r="C623" i="15"/>
  <c r="K622" i="15"/>
  <c r="J622" i="15"/>
  <c r="I622" i="15"/>
  <c r="H622" i="15"/>
  <c r="G622" i="15"/>
  <c r="F622" i="15"/>
  <c r="E622" i="15"/>
  <c r="D622" i="15"/>
  <c r="C622" i="15"/>
  <c r="K621" i="15"/>
  <c r="J621" i="15"/>
  <c r="I621" i="15"/>
  <c r="H621" i="15"/>
  <c r="G621" i="15"/>
  <c r="F621" i="15"/>
  <c r="E621" i="15"/>
  <c r="D621" i="15"/>
  <c r="C621" i="15"/>
  <c r="K620" i="15"/>
  <c r="J620" i="15"/>
  <c r="I620" i="15"/>
  <c r="H620" i="15"/>
  <c r="G620" i="15"/>
  <c r="F620" i="15"/>
  <c r="E620" i="15"/>
  <c r="D620" i="15"/>
  <c r="C620" i="15"/>
  <c r="K619" i="15"/>
  <c r="J619" i="15"/>
  <c r="I619" i="15"/>
  <c r="H619" i="15"/>
  <c r="G619" i="15"/>
  <c r="F619" i="15"/>
  <c r="E619" i="15"/>
  <c r="D619" i="15"/>
  <c r="L619" i="15" s="1"/>
  <c r="C619" i="15"/>
  <c r="K618" i="15"/>
  <c r="J618" i="15"/>
  <c r="I618" i="15"/>
  <c r="H618" i="15"/>
  <c r="G618" i="15"/>
  <c r="F618" i="15"/>
  <c r="E618" i="15"/>
  <c r="D618" i="15"/>
  <c r="C618" i="15"/>
  <c r="K617" i="15"/>
  <c r="J617" i="15"/>
  <c r="I617" i="15"/>
  <c r="H617" i="15"/>
  <c r="G617" i="15"/>
  <c r="F617" i="15"/>
  <c r="E617" i="15"/>
  <c r="D617" i="15"/>
  <c r="C617" i="15"/>
  <c r="K616" i="15"/>
  <c r="J616" i="15"/>
  <c r="I616" i="15"/>
  <c r="H616" i="15"/>
  <c r="G616" i="15"/>
  <c r="F616" i="15"/>
  <c r="E616" i="15"/>
  <c r="D616" i="15"/>
  <c r="L616" i="15" s="1"/>
  <c r="C616" i="15"/>
  <c r="K615" i="15"/>
  <c r="J615" i="15"/>
  <c r="I615" i="15"/>
  <c r="H615" i="15"/>
  <c r="G615" i="15"/>
  <c r="F615" i="15"/>
  <c r="E615" i="15"/>
  <c r="D615" i="15"/>
  <c r="L615" i="15" s="1"/>
  <c r="C615" i="15"/>
  <c r="K614" i="15"/>
  <c r="J614" i="15"/>
  <c r="I614" i="15"/>
  <c r="H614" i="15"/>
  <c r="G614" i="15"/>
  <c r="F614" i="15"/>
  <c r="E614" i="15"/>
  <c r="D614" i="15"/>
  <c r="C614" i="15"/>
  <c r="K613" i="15"/>
  <c r="J613" i="15"/>
  <c r="I613" i="15"/>
  <c r="H613" i="15"/>
  <c r="G613" i="15"/>
  <c r="F613" i="15"/>
  <c r="E613" i="15"/>
  <c r="D613" i="15"/>
  <c r="C613" i="15"/>
  <c r="K612" i="15"/>
  <c r="J612" i="15"/>
  <c r="I612" i="15"/>
  <c r="H612" i="15"/>
  <c r="G612" i="15"/>
  <c r="F612" i="15"/>
  <c r="E612" i="15"/>
  <c r="D612" i="15"/>
  <c r="C612" i="15"/>
  <c r="K611" i="15"/>
  <c r="J611" i="15"/>
  <c r="I611" i="15"/>
  <c r="H611" i="15"/>
  <c r="G611" i="15"/>
  <c r="F611" i="15"/>
  <c r="E611" i="15"/>
  <c r="D611" i="15"/>
  <c r="C611" i="15"/>
  <c r="K610" i="15"/>
  <c r="J610" i="15"/>
  <c r="I610" i="15"/>
  <c r="H610" i="15"/>
  <c r="G610" i="15"/>
  <c r="F610" i="15"/>
  <c r="E610" i="15"/>
  <c r="D610" i="15"/>
  <c r="C610" i="15"/>
  <c r="K609" i="15"/>
  <c r="J609" i="15"/>
  <c r="I609" i="15"/>
  <c r="H609" i="15"/>
  <c r="G609" i="15"/>
  <c r="F609" i="15"/>
  <c r="E609" i="15"/>
  <c r="D609" i="15"/>
  <c r="C609" i="15"/>
  <c r="K608" i="15"/>
  <c r="J608" i="15"/>
  <c r="I608" i="15"/>
  <c r="H608" i="15"/>
  <c r="G608" i="15"/>
  <c r="F608" i="15"/>
  <c r="E608" i="15"/>
  <c r="D608" i="15"/>
  <c r="C608" i="15"/>
  <c r="K607" i="15"/>
  <c r="J607" i="15"/>
  <c r="I607" i="15"/>
  <c r="H607" i="15"/>
  <c r="G607" i="15"/>
  <c r="F607" i="15"/>
  <c r="E607" i="15"/>
  <c r="D607" i="15"/>
  <c r="L607" i="15" s="1"/>
  <c r="C607" i="15"/>
  <c r="K606" i="15"/>
  <c r="L606" i="15" s="1"/>
  <c r="J606" i="15"/>
  <c r="I606" i="15"/>
  <c r="H606" i="15"/>
  <c r="G606" i="15"/>
  <c r="F606" i="15"/>
  <c r="E606" i="15"/>
  <c r="D606" i="15"/>
  <c r="C606" i="15"/>
  <c r="K605" i="15"/>
  <c r="J605" i="15"/>
  <c r="I605" i="15"/>
  <c r="H605" i="15"/>
  <c r="G605" i="15"/>
  <c r="F605" i="15"/>
  <c r="E605" i="15"/>
  <c r="D605" i="15"/>
  <c r="L605" i="15" s="1"/>
  <c r="C605" i="15"/>
  <c r="K604" i="15"/>
  <c r="J604" i="15"/>
  <c r="I604" i="15"/>
  <c r="H604" i="15"/>
  <c r="G604" i="15"/>
  <c r="F604" i="15"/>
  <c r="E604" i="15"/>
  <c r="D604" i="15"/>
  <c r="C604" i="15"/>
  <c r="K603" i="15"/>
  <c r="J603" i="15"/>
  <c r="I603" i="15"/>
  <c r="H603" i="15"/>
  <c r="G603" i="15"/>
  <c r="F603" i="15"/>
  <c r="E603" i="15"/>
  <c r="D603" i="15"/>
  <c r="L603" i="15" s="1"/>
  <c r="C603" i="15"/>
  <c r="K602" i="15"/>
  <c r="J602" i="15"/>
  <c r="I602" i="15"/>
  <c r="H602" i="15"/>
  <c r="G602" i="15"/>
  <c r="F602" i="15"/>
  <c r="E602" i="15"/>
  <c r="D602" i="15"/>
  <c r="L602" i="15" s="1"/>
  <c r="C602" i="15"/>
  <c r="K601" i="15"/>
  <c r="J601" i="15"/>
  <c r="I601" i="15"/>
  <c r="H601" i="15"/>
  <c r="G601" i="15"/>
  <c r="F601" i="15"/>
  <c r="E601" i="15"/>
  <c r="D601" i="15"/>
  <c r="C601" i="15"/>
  <c r="K600" i="15"/>
  <c r="L600" i="15" s="1"/>
  <c r="J600" i="15"/>
  <c r="I600" i="15"/>
  <c r="H600" i="15"/>
  <c r="G600" i="15"/>
  <c r="F600" i="15"/>
  <c r="E600" i="15"/>
  <c r="D600" i="15"/>
  <c r="C600" i="15"/>
  <c r="K599" i="15"/>
  <c r="L599" i="15" s="1"/>
  <c r="J599" i="15"/>
  <c r="I599" i="15"/>
  <c r="H599" i="15"/>
  <c r="G599" i="15"/>
  <c r="F599" i="15"/>
  <c r="E599" i="15"/>
  <c r="D599" i="15"/>
  <c r="C599" i="15"/>
  <c r="K598" i="15"/>
  <c r="J598" i="15"/>
  <c r="I598" i="15"/>
  <c r="H598" i="15"/>
  <c r="G598" i="15"/>
  <c r="F598" i="15"/>
  <c r="E598" i="15"/>
  <c r="D598" i="15"/>
  <c r="L598" i="15" s="1"/>
  <c r="C598" i="15"/>
  <c r="K597" i="15"/>
  <c r="J597" i="15"/>
  <c r="I597" i="15"/>
  <c r="H597" i="15"/>
  <c r="G597" i="15"/>
  <c r="F597" i="15"/>
  <c r="E597" i="15"/>
  <c r="D597" i="15"/>
  <c r="C597" i="15"/>
  <c r="K596" i="15"/>
  <c r="J596" i="15"/>
  <c r="I596" i="15"/>
  <c r="H596" i="15"/>
  <c r="G596" i="15"/>
  <c r="F596" i="15"/>
  <c r="E596" i="15"/>
  <c r="D596" i="15"/>
  <c r="C596" i="15"/>
  <c r="K595" i="15"/>
  <c r="L595" i="15" s="1"/>
  <c r="J595" i="15"/>
  <c r="I595" i="15"/>
  <c r="H595" i="15"/>
  <c r="G595" i="15"/>
  <c r="F595" i="15"/>
  <c r="E595" i="15"/>
  <c r="D595" i="15"/>
  <c r="C595" i="15"/>
  <c r="K594" i="15"/>
  <c r="L594" i="15" s="1"/>
  <c r="J594" i="15"/>
  <c r="I594" i="15"/>
  <c r="H594" i="15"/>
  <c r="G594" i="15"/>
  <c r="F594" i="15"/>
  <c r="E594" i="15"/>
  <c r="D594" i="15"/>
  <c r="C594" i="15"/>
  <c r="K593" i="15"/>
  <c r="J593" i="15"/>
  <c r="I593" i="15"/>
  <c r="H593" i="15"/>
  <c r="G593" i="15"/>
  <c r="F593" i="15"/>
  <c r="E593" i="15"/>
  <c r="D593" i="15"/>
  <c r="C593" i="15"/>
  <c r="K592" i="15"/>
  <c r="J592" i="15"/>
  <c r="I592" i="15"/>
  <c r="H592" i="15"/>
  <c r="G592" i="15"/>
  <c r="F592" i="15"/>
  <c r="E592" i="15"/>
  <c r="D592" i="15"/>
  <c r="C592" i="15"/>
  <c r="K591" i="15"/>
  <c r="J591" i="15"/>
  <c r="I591" i="15"/>
  <c r="H591" i="15"/>
  <c r="G591" i="15"/>
  <c r="F591" i="15"/>
  <c r="E591" i="15"/>
  <c r="D591" i="15"/>
  <c r="L591" i="15" s="1"/>
  <c r="C591" i="15"/>
  <c r="K590" i="15"/>
  <c r="L590" i="15" s="1"/>
  <c r="J590" i="15"/>
  <c r="I590" i="15"/>
  <c r="H590" i="15"/>
  <c r="G590" i="15"/>
  <c r="F590" i="15"/>
  <c r="E590" i="15"/>
  <c r="D590" i="15"/>
  <c r="C590" i="15"/>
  <c r="K589" i="15"/>
  <c r="J589" i="15"/>
  <c r="I589" i="15"/>
  <c r="H589" i="15"/>
  <c r="G589" i="15"/>
  <c r="F589" i="15"/>
  <c r="E589" i="15"/>
  <c r="D589" i="15"/>
  <c r="L589" i="15" s="1"/>
  <c r="C589" i="15"/>
  <c r="K588" i="15"/>
  <c r="L588" i="15" s="1"/>
  <c r="J588" i="15"/>
  <c r="I588" i="15"/>
  <c r="H588" i="15"/>
  <c r="G588" i="15"/>
  <c r="F588" i="15"/>
  <c r="E588" i="15"/>
  <c r="D588" i="15"/>
  <c r="C588" i="15"/>
  <c r="K587" i="15"/>
  <c r="J587" i="15"/>
  <c r="I587" i="15"/>
  <c r="H587" i="15"/>
  <c r="G587" i="15"/>
  <c r="F587" i="15"/>
  <c r="E587" i="15"/>
  <c r="D587" i="15"/>
  <c r="L587" i="15" s="1"/>
  <c r="C587" i="15"/>
  <c r="K586" i="15"/>
  <c r="J586" i="15"/>
  <c r="I586" i="15"/>
  <c r="H586" i="15"/>
  <c r="G586" i="15"/>
  <c r="F586" i="15"/>
  <c r="E586" i="15"/>
  <c r="D586" i="15"/>
  <c r="L586" i="15" s="1"/>
  <c r="C586" i="15"/>
  <c r="K585" i="15"/>
  <c r="J585" i="15"/>
  <c r="I585" i="15"/>
  <c r="H585" i="15"/>
  <c r="G585" i="15"/>
  <c r="F585" i="15"/>
  <c r="E585" i="15"/>
  <c r="D585" i="15"/>
  <c r="C585" i="15"/>
  <c r="K584" i="15"/>
  <c r="L584" i="15" s="1"/>
  <c r="J584" i="15"/>
  <c r="I584" i="15"/>
  <c r="H584" i="15"/>
  <c r="G584" i="15"/>
  <c r="F584" i="15"/>
  <c r="E584" i="15"/>
  <c r="D584" i="15"/>
  <c r="C584" i="15"/>
  <c r="K583" i="15"/>
  <c r="L583" i="15" s="1"/>
  <c r="J583" i="15"/>
  <c r="I583" i="15"/>
  <c r="H583" i="15"/>
  <c r="G583" i="15"/>
  <c r="F583" i="15"/>
  <c r="E583" i="15"/>
  <c r="D583" i="15"/>
  <c r="C583" i="15"/>
  <c r="K582" i="15"/>
  <c r="J582" i="15"/>
  <c r="I582" i="15"/>
  <c r="H582" i="15"/>
  <c r="G582" i="15"/>
  <c r="F582" i="15"/>
  <c r="E582" i="15"/>
  <c r="D582" i="15"/>
  <c r="L582" i="15" s="1"/>
  <c r="C582" i="15"/>
  <c r="K581" i="15"/>
  <c r="J581" i="15"/>
  <c r="I581" i="15"/>
  <c r="H581" i="15"/>
  <c r="G581" i="15"/>
  <c r="F581" i="15"/>
  <c r="E581" i="15"/>
  <c r="D581" i="15"/>
  <c r="C581" i="15"/>
  <c r="K580" i="15"/>
  <c r="J580" i="15"/>
  <c r="I580" i="15"/>
  <c r="H580" i="15"/>
  <c r="G580" i="15"/>
  <c r="F580" i="15"/>
  <c r="E580" i="15"/>
  <c r="D580" i="15"/>
  <c r="C580" i="15"/>
  <c r="K579" i="15"/>
  <c r="L579" i="15" s="1"/>
  <c r="J579" i="15"/>
  <c r="I579" i="15"/>
  <c r="H579" i="15"/>
  <c r="G579" i="15"/>
  <c r="F579" i="15"/>
  <c r="E579" i="15"/>
  <c r="D579" i="15"/>
  <c r="C579" i="15"/>
  <c r="K578" i="15"/>
  <c r="L578" i="15" s="1"/>
  <c r="J578" i="15"/>
  <c r="I578" i="15"/>
  <c r="H578" i="15"/>
  <c r="G578" i="15"/>
  <c r="F578" i="15"/>
  <c r="E578" i="15"/>
  <c r="D578" i="15"/>
  <c r="C578" i="15"/>
  <c r="K577" i="15"/>
  <c r="J577" i="15"/>
  <c r="I577" i="15"/>
  <c r="H577" i="15"/>
  <c r="G577" i="15"/>
  <c r="F577" i="15"/>
  <c r="E577" i="15"/>
  <c r="D577" i="15"/>
  <c r="C577" i="15"/>
  <c r="K576" i="15"/>
  <c r="J576" i="15"/>
  <c r="I576" i="15"/>
  <c r="H576" i="15"/>
  <c r="G576" i="15"/>
  <c r="F576" i="15"/>
  <c r="E576" i="15"/>
  <c r="D576" i="15"/>
  <c r="C576" i="15"/>
  <c r="K575" i="15"/>
  <c r="J575" i="15"/>
  <c r="I575" i="15"/>
  <c r="H575" i="15"/>
  <c r="G575" i="15"/>
  <c r="F575" i="15"/>
  <c r="E575" i="15"/>
  <c r="D575" i="15"/>
  <c r="L575" i="15" s="1"/>
  <c r="C575" i="15"/>
  <c r="K574" i="15"/>
  <c r="L574" i="15" s="1"/>
  <c r="J574" i="15"/>
  <c r="I574" i="15"/>
  <c r="H574" i="15"/>
  <c r="G574" i="15"/>
  <c r="F574" i="15"/>
  <c r="E574" i="15"/>
  <c r="D574" i="15"/>
  <c r="C574" i="15"/>
  <c r="K573" i="15"/>
  <c r="J573" i="15"/>
  <c r="I573" i="15"/>
  <c r="H573" i="15"/>
  <c r="G573" i="15"/>
  <c r="F573" i="15"/>
  <c r="E573" i="15"/>
  <c r="D573" i="15"/>
  <c r="L573" i="15" s="1"/>
  <c r="C573" i="15"/>
  <c r="K572" i="15"/>
  <c r="L572" i="15" s="1"/>
  <c r="J572" i="15"/>
  <c r="I572" i="15"/>
  <c r="H572" i="15"/>
  <c r="G572" i="15"/>
  <c r="F572" i="15"/>
  <c r="E572" i="15"/>
  <c r="D572" i="15"/>
  <c r="C572" i="15"/>
  <c r="K571" i="15"/>
  <c r="J571" i="15"/>
  <c r="I571" i="15"/>
  <c r="H571" i="15"/>
  <c r="G571" i="15"/>
  <c r="F571" i="15"/>
  <c r="E571" i="15"/>
  <c r="D571" i="15"/>
  <c r="L571" i="15" s="1"/>
  <c r="C571" i="15"/>
  <c r="K570" i="15"/>
  <c r="J570" i="15"/>
  <c r="I570" i="15"/>
  <c r="H570" i="15"/>
  <c r="G570" i="15"/>
  <c r="F570" i="15"/>
  <c r="E570" i="15"/>
  <c r="D570" i="15"/>
  <c r="L570" i="15" s="1"/>
  <c r="C570" i="15"/>
  <c r="K569" i="15"/>
  <c r="J569" i="15"/>
  <c r="I569" i="15"/>
  <c r="H569" i="15"/>
  <c r="G569" i="15"/>
  <c r="F569" i="15"/>
  <c r="E569" i="15"/>
  <c r="D569" i="15"/>
  <c r="C569" i="15"/>
  <c r="K568" i="15"/>
  <c r="L568" i="15" s="1"/>
  <c r="J568" i="15"/>
  <c r="I568" i="15"/>
  <c r="H568" i="15"/>
  <c r="G568" i="15"/>
  <c r="F568" i="15"/>
  <c r="E568" i="15"/>
  <c r="D568" i="15"/>
  <c r="C568" i="15"/>
  <c r="K567" i="15"/>
  <c r="L567" i="15" s="1"/>
  <c r="J567" i="15"/>
  <c r="I567" i="15"/>
  <c r="H567" i="15"/>
  <c r="G567" i="15"/>
  <c r="F567" i="15"/>
  <c r="E567" i="15"/>
  <c r="D567" i="15"/>
  <c r="C567" i="15"/>
  <c r="K566" i="15"/>
  <c r="J566" i="15"/>
  <c r="I566" i="15"/>
  <c r="H566" i="15"/>
  <c r="G566" i="15"/>
  <c r="F566" i="15"/>
  <c r="E566" i="15"/>
  <c r="D566" i="15"/>
  <c r="L566" i="15" s="1"/>
  <c r="C566" i="15"/>
  <c r="K565" i="15"/>
  <c r="J565" i="15"/>
  <c r="I565" i="15"/>
  <c r="H565" i="15"/>
  <c r="G565" i="15"/>
  <c r="F565" i="15"/>
  <c r="E565" i="15"/>
  <c r="D565" i="15"/>
  <c r="C565" i="15"/>
  <c r="K564" i="15"/>
  <c r="J564" i="15"/>
  <c r="I564" i="15"/>
  <c r="H564" i="15"/>
  <c r="G564" i="15"/>
  <c r="F564" i="15"/>
  <c r="E564" i="15"/>
  <c r="D564" i="15"/>
  <c r="C564" i="15"/>
  <c r="K563" i="15"/>
  <c r="L563" i="15" s="1"/>
  <c r="J563" i="15"/>
  <c r="I563" i="15"/>
  <c r="H563" i="15"/>
  <c r="G563" i="15"/>
  <c r="F563" i="15"/>
  <c r="E563" i="15"/>
  <c r="D563" i="15"/>
  <c r="C563" i="15"/>
  <c r="K562" i="15"/>
  <c r="L562" i="15" s="1"/>
  <c r="J562" i="15"/>
  <c r="I562" i="15"/>
  <c r="H562" i="15"/>
  <c r="G562" i="15"/>
  <c r="F562" i="15"/>
  <c r="E562" i="15"/>
  <c r="D562" i="15"/>
  <c r="C562" i="15"/>
  <c r="K561" i="15"/>
  <c r="J561" i="15"/>
  <c r="I561" i="15"/>
  <c r="H561" i="15"/>
  <c r="G561" i="15"/>
  <c r="F561" i="15"/>
  <c r="E561" i="15"/>
  <c r="D561" i="15"/>
  <c r="C561" i="15"/>
  <c r="K560" i="15"/>
  <c r="J560" i="15"/>
  <c r="I560" i="15"/>
  <c r="H560" i="15"/>
  <c r="G560" i="15"/>
  <c r="F560" i="15"/>
  <c r="E560" i="15"/>
  <c r="D560" i="15"/>
  <c r="C560" i="15"/>
  <c r="K559" i="15"/>
  <c r="J559" i="15"/>
  <c r="I559" i="15"/>
  <c r="H559" i="15"/>
  <c r="G559" i="15"/>
  <c r="F559" i="15"/>
  <c r="E559" i="15"/>
  <c r="D559" i="15"/>
  <c r="L559" i="15" s="1"/>
  <c r="C559" i="15"/>
  <c r="K558" i="15"/>
  <c r="L558" i="15" s="1"/>
  <c r="J558" i="15"/>
  <c r="I558" i="15"/>
  <c r="H558" i="15"/>
  <c r="G558" i="15"/>
  <c r="F558" i="15"/>
  <c r="E558" i="15"/>
  <c r="D558" i="15"/>
  <c r="C558" i="15"/>
  <c r="K557" i="15"/>
  <c r="J557" i="15"/>
  <c r="I557" i="15"/>
  <c r="H557" i="15"/>
  <c r="G557" i="15"/>
  <c r="F557" i="15"/>
  <c r="E557" i="15"/>
  <c r="D557" i="15"/>
  <c r="L557" i="15" s="1"/>
  <c r="C557" i="15"/>
  <c r="K556" i="15"/>
  <c r="L556" i="15" s="1"/>
  <c r="J556" i="15"/>
  <c r="I556" i="15"/>
  <c r="H556" i="15"/>
  <c r="G556" i="15"/>
  <c r="F556" i="15"/>
  <c r="E556" i="15"/>
  <c r="D556" i="15"/>
  <c r="C556" i="15"/>
  <c r="K555" i="15"/>
  <c r="J555" i="15"/>
  <c r="I555" i="15"/>
  <c r="H555" i="15"/>
  <c r="G555" i="15"/>
  <c r="F555" i="15"/>
  <c r="E555" i="15"/>
  <c r="D555" i="15"/>
  <c r="L555" i="15" s="1"/>
  <c r="C555" i="15"/>
  <c r="K554" i="15"/>
  <c r="J554" i="15"/>
  <c r="I554" i="15"/>
  <c r="H554" i="15"/>
  <c r="G554" i="15"/>
  <c r="F554" i="15"/>
  <c r="E554" i="15"/>
  <c r="D554" i="15"/>
  <c r="L554" i="15" s="1"/>
  <c r="C554" i="15"/>
  <c r="K553" i="15"/>
  <c r="J553" i="15"/>
  <c r="I553" i="15"/>
  <c r="H553" i="15"/>
  <c r="G553" i="15"/>
  <c r="F553" i="15"/>
  <c r="E553" i="15"/>
  <c r="D553" i="15"/>
  <c r="C553" i="15"/>
  <c r="K552" i="15"/>
  <c r="L552" i="15" s="1"/>
  <c r="J552" i="15"/>
  <c r="I552" i="15"/>
  <c r="H552" i="15"/>
  <c r="G552" i="15"/>
  <c r="F552" i="15"/>
  <c r="E552" i="15"/>
  <c r="D552" i="15"/>
  <c r="C552" i="15"/>
  <c r="K551" i="15"/>
  <c r="L551" i="15" s="1"/>
  <c r="J551" i="15"/>
  <c r="I551" i="15"/>
  <c r="H551" i="15"/>
  <c r="G551" i="15"/>
  <c r="F551" i="15"/>
  <c r="E551" i="15"/>
  <c r="D551" i="15"/>
  <c r="C551" i="15"/>
  <c r="K550" i="15"/>
  <c r="J550" i="15"/>
  <c r="I550" i="15"/>
  <c r="H550" i="15"/>
  <c r="G550" i="15"/>
  <c r="F550" i="15"/>
  <c r="E550" i="15"/>
  <c r="D550" i="15"/>
  <c r="L550" i="15" s="1"/>
  <c r="C550" i="15"/>
  <c r="K549" i="15"/>
  <c r="J549" i="15"/>
  <c r="I549" i="15"/>
  <c r="H549" i="15"/>
  <c r="G549" i="15"/>
  <c r="F549" i="15"/>
  <c r="E549" i="15"/>
  <c r="D549" i="15"/>
  <c r="C549" i="15"/>
  <c r="K548" i="15"/>
  <c r="J548" i="15"/>
  <c r="I548" i="15"/>
  <c r="H548" i="15"/>
  <c r="G548" i="15"/>
  <c r="F548" i="15"/>
  <c r="E548" i="15"/>
  <c r="D548" i="15"/>
  <c r="C548" i="15"/>
  <c r="K547" i="15"/>
  <c r="L547" i="15" s="1"/>
  <c r="J547" i="15"/>
  <c r="I547" i="15"/>
  <c r="H547" i="15"/>
  <c r="G547" i="15"/>
  <c r="F547" i="15"/>
  <c r="E547" i="15"/>
  <c r="D547" i="15"/>
  <c r="C547" i="15"/>
  <c r="K546" i="15"/>
  <c r="L546" i="15" s="1"/>
  <c r="J546" i="15"/>
  <c r="I546" i="15"/>
  <c r="H546" i="15"/>
  <c r="G546" i="15"/>
  <c r="F546" i="15"/>
  <c r="E546" i="15"/>
  <c r="D546" i="15"/>
  <c r="C546" i="15"/>
  <c r="K545" i="15"/>
  <c r="J545" i="15"/>
  <c r="I545" i="15"/>
  <c r="H545" i="15"/>
  <c r="G545" i="15"/>
  <c r="F545" i="15"/>
  <c r="E545" i="15"/>
  <c r="D545" i="15"/>
  <c r="C545" i="15"/>
  <c r="K544" i="15"/>
  <c r="J544" i="15"/>
  <c r="I544" i="15"/>
  <c r="H544" i="15"/>
  <c r="G544" i="15"/>
  <c r="F544" i="15"/>
  <c r="E544" i="15"/>
  <c r="D544" i="15"/>
  <c r="C544" i="15"/>
  <c r="K543" i="15"/>
  <c r="J543" i="15"/>
  <c r="I543" i="15"/>
  <c r="H543" i="15"/>
  <c r="G543" i="15"/>
  <c r="F543" i="15"/>
  <c r="E543" i="15"/>
  <c r="D543" i="15"/>
  <c r="L543" i="15" s="1"/>
  <c r="C543" i="15"/>
  <c r="K542" i="15"/>
  <c r="L542" i="15" s="1"/>
  <c r="J542" i="15"/>
  <c r="I542" i="15"/>
  <c r="H542" i="15"/>
  <c r="G542" i="15"/>
  <c r="F542" i="15"/>
  <c r="E542" i="15"/>
  <c r="D542" i="15"/>
  <c r="C542" i="15"/>
  <c r="K541" i="15"/>
  <c r="J541" i="15"/>
  <c r="I541" i="15"/>
  <c r="H541" i="15"/>
  <c r="G541" i="15"/>
  <c r="F541" i="15"/>
  <c r="E541" i="15"/>
  <c r="D541" i="15"/>
  <c r="L541" i="15" s="1"/>
  <c r="C541" i="15"/>
  <c r="K540" i="15"/>
  <c r="L540" i="15" s="1"/>
  <c r="J540" i="15"/>
  <c r="I540" i="15"/>
  <c r="H540" i="15"/>
  <c r="G540" i="15"/>
  <c r="F540" i="15"/>
  <c r="E540" i="15"/>
  <c r="D540" i="15"/>
  <c r="C540" i="15"/>
  <c r="K539" i="15"/>
  <c r="J539" i="15"/>
  <c r="I539" i="15"/>
  <c r="H539" i="15"/>
  <c r="G539" i="15"/>
  <c r="F539" i="15"/>
  <c r="E539" i="15"/>
  <c r="D539" i="15"/>
  <c r="L539" i="15" s="1"/>
  <c r="C539" i="15"/>
  <c r="K538" i="15"/>
  <c r="J538" i="15"/>
  <c r="I538" i="15"/>
  <c r="H538" i="15"/>
  <c r="G538" i="15"/>
  <c r="F538" i="15"/>
  <c r="E538" i="15"/>
  <c r="D538" i="15"/>
  <c r="L538" i="15" s="1"/>
  <c r="C538" i="15"/>
  <c r="K537" i="15"/>
  <c r="J537" i="15"/>
  <c r="I537" i="15"/>
  <c r="H537" i="15"/>
  <c r="G537" i="15"/>
  <c r="F537" i="15"/>
  <c r="E537" i="15"/>
  <c r="D537" i="15"/>
  <c r="C537" i="15"/>
  <c r="K536" i="15"/>
  <c r="L536" i="15" s="1"/>
  <c r="J536" i="15"/>
  <c r="I536" i="15"/>
  <c r="H536" i="15"/>
  <c r="G536" i="15"/>
  <c r="F536" i="15"/>
  <c r="E536" i="15"/>
  <c r="D536" i="15"/>
  <c r="C536" i="15"/>
  <c r="K535" i="15"/>
  <c r="L535" i="15" s="1"/>
  <c r="J535" i="15"/>
  <c r="I535" i="15"/>
  <c r="H535" i="15"/>
  <c r="G535" i="15"/>
  <c r="F535" i="15"/>
  <c r="E535" i="15"/>
  <c r="D535" i="15"/>
  <c r="C535" i="15"/>
  <c r="K534" i="15"/>
  <c r="J534" i="15"/>
  <c r="I534" i="15"/>
  <c r="H534" i="15"/>
  <c r="G534" i="15"/>
  <c r="F534" i="15"/>
  <c r="E534" i="15"/>
  <c r="D534" i="15"/>
  <c r="L534" i="15" s="1"/>
  <c r="C534" i="15"/>
  <c r="K533" i="15"/>
  <c r="J533" i="15"/>
  <c r="I533" i="15"/>
  <c r="H533" i="15"/>
  <c r="G533" i="15"/>
  <c r="F533" i="15"/>
  <c r="E533" i="15"/>
  <c r="D533" i="15"/>
  <c r="C533" i="15"/>
  <c r="K532" i="15"/>
  <c r="J532" i="15"/>
  <c r="I532" i="15"/>
  <c r="H532" i="15"/>
  <c r="G532" i="15"/>
  <c r="F532" i="15"/>
  <c r="E532" i="15"/>
  <c r="D532" i="15"/>
  <c r="C532" i="15"/>
  <c r="K531" i="15"/>
  <c r="L531" i="15" s="1"/>
  <c r="J531" i="15"/>
  <c r="I531" i="15"/>
  <c r="H531" i="15"/>
  <c r="G531" i="15"/>
  <c r="F531" i="15"/>
  <c r="E531" i="15"/>
  <c r="D531" i="15"/>
  <c r="C531" i="15"/>
  <c r="K530" i="15"/>
  <c r="L530" i="15" s="1"/>
  <c r="J530" i="15"/>
  <c r="I530" i="15"/>
  <c r="H530" i="15"/>
  <c r="G530" i="15"/>
  <c r="F530" i="15"/>
  <c r="E530" i="15"/>
  <c r="D530" i="15"/>
  <c r="C530" i="15"/>
  <c r="K529" i="15"/>
  <c r="J529" i="15"/>
  <c r="I529" i="15"/>
  <c r="H529" i="15"/>
  <c r="G529" i="15"/>
  <c r="F529" i="15"/>
  <c r="E529" i="15"/>
  <c r="D529" i="15"/>
  <c r="C529" i="15"/>
  <c r="K528" i="15"/>
  <c r="J528" i="15"/>
  <c r="I528" i="15"/>
  <c r="H528" i="15"/>
  <c r="G528" i="15"/>
  <c r="F528" i="15"/>
  <c r="E528" i="15"/>
  <c r="D528" i="15"/>
  <c r="C528" i="15"/>
  <c r="K527" i="15"/>
  <c r="J527" i="15"/>
  <c r="I527" i="15"/>
  <c r="H527" i="15"/>
  <c r="G527" i="15"/>
  <c r="F527" i="15"/>
  <c r="E527" i="15"/>
  <c r="D527" i="15"/>
  <c r="C527" i="15"/>
  <c r="L527" i="15" s="1"/>
  <c r="K526" i="15"/>
  <c r="L526" i="15" s="1"/>
  <c r="J526" i="15"/>
  <c r="I526" i="15"/>
  <c r="H526" i="15"/>
  <c r="G526" i="15"/>
  <c r="F526" i="15"/>
  <c r="E526" i="15"/>
  <c r="D526" i="15"/>
  <c r="C526" i="15"/>
  <c r="K525" i="15"/>
  <c r="J525" i="15"/>
  <c r="I525" i="15"/>
  <c r="H525" i="15"/>
  <c r="G525" i="15"/>
  <c r="F525" i="15"/>
  <c r="E525" i="15"/>
  <c r="D525" i="15"/>
  <c r="L525" i="15" s="1"/>
  <c r="C525" i="15"/>
  <c r="K524" i="15"/>
  <c r="L524" i="15" s="1"/>
  <c r="J524" i="15"/>
  <c r="I524" i="15"/>
  <c r="H524" i="15"/>
  <c r="G524" i="15"/>
  <c r="F524" i="15"/>
  <c r="E524" i="15"/>
  <c r="D524" i="15"/>
  <c r="C524" i="15"/>
  <c r="K523" i="15"/>
  <c r="J523" i="15"/>
  <c r="I523" i="15"/>
  <c r="H523" i="15"/>
  <c r="G523" i="15"/>
  <c r="F523" i="15"/>
  <c r="E523" i="15"/>
  <c r="D523" i="15"/>
  <c r="L523" i="15" s="1"/>
  <c r="C523" i="15"/>
  <c r="K522" i="15"/>
  <c r="J522" i="15"/>
  <c r="I522" i="15"/>
  <c r="H522" i="15"/>
  <c r="G522" i="15"/>
  <c r="F522" i="15"/>
  <c r="E522" i="15"/>
  <c r="D522" i="15"/>
  <c r="C522" i="15"/>
  <c r="L522" i="15" s="1"/>
  <c r="K521" i="15"/>
  <c r="J521" i="15"/>
  <c r="I521" i="15"/>
  <c r="H521" i="15"/>
  <c r="G521" i="15"/>
  <c r="F521" i="15"/>
  <c r="E521" i="15"/>
  <c r="D521" i="15"/>
  <c r="C521" i="15"/>
  <c r="K520" i="15"/>
  <c r="L520" i="15" s="1"/>
  <c r="J520" i="15"/>
  <c r="I520" i="15"/>
  <c r="H520" i="15"/>
  <c r="G520" i="15"/>
  <c r="F520" i="15"/>
  <c r="E520" i="15"/>
  <c r="D520" i="15"/>
  <c r="C520" i="15"/>
  <c r="K519" i="15"/>
  <c r="L519" i="15" s="1"/>
  <c r="J519" i="15"/>
  <c r="I519" i="15"/>
  <c r="H519" i="15"/>
  <c r="G519" i="15"/>
  <c r="F519" i="15"/>
  <c r="E519" i="15"/>
  <c r="D519" i="15"/>
  <c r="C519" i="15"/>
  <c r="K518" i="15"/>
  <c r="J518" i="15"/>
  <c r="I518" i="15"/>
  <c r="H518" i="15"/>
  <c r="G518" i="15"/>
  <c r="F518" i="15"/>
  <c r="E518" i="15"/>
  <c r="D518" i="15"/>
  <c r="L518" i="15" s="1"/>
  <c r="C518" i="15"/>
  <c r="K517" i="15"/>
  <c r="J517" i="15"/>
  <c r="I517" i="15"/>
  <c r="H517" i="15"/>
  <c r="G517" i="15"/>
  <c r="F517" i="15"/>
  <c r="E517" i="15"/>
  <c r="D517" i="15"/>
  <c r="C517" i="15"/>
  <c r="K516" i="15"/>
  <c r="J516" i="15"/>
  <c r="I516" i="15"/>
  <c r="H516" i="15"/>
  <c r="G516" i="15"/>
  <c r="F516" i="15"/>
  <c r="E516" i="15"/>
  <c r="D516" i="15"/>
  <c r="C516" i="15"/>
  <c r="K515" i="15"/>
  <c r="L515" i="15" s="1"/>
  <c r="J515" i="15"/>
  <c r="I515" i="15"/>
  <c r="H515" i="15"/>
  <c r="G515" i="15"/>
  <c r="F515" i="15"/>
  <c r="E515" i="15"/>
  <c r="D515" i="15"/>
  <c r="C515" i="15"/>
  <c r="K514" i="15"/>
  <c r="L514" i="15" s="1"/>
  <c r="J514" i="15"/>
  <c r="I514" i="15"/>
  <c r="H514" i="15"/>
  <c r="G514" i="15"/>
  <c r="F514" i="15"/>
  <c r="E514" i="15"/>
  <c r="D514" i="15"/>
  <c r="C514" i="15"/>
  <c r="K513" i="15"/>
  <c r="J513" i="15"/>
  <c r="I513" i="15"/>
  <c r="H513" i="15"/>
  <c r="G513" i="15"/>
  <c r="F513" i="15"/>
  <c r="E513" i="15"/>
  <c r="D513" i="15"/>
  <c r="C513" i="15"/>
  <c r="K512" i="15"/>
  <c r="J512" i="15"/>
  <c r="I512" i="15"/>
  <c r="H512" i="15"/>
  <c r="G512" i="15"/>
  <c r="F512" i="15"/>
  <c r="E512" i="15"/>
  <c r="D512" i="15"/>
  <c r="C512" i="15"/>
  <c r="K511" i="15"/>
  <c r="L511" i="15" s="1"/>
  <c r="J511" i="15"/>
  <c r="I511" i="15"/>
  <c r="H511" i="15"/>
  <c r="G511" i="15"/>
  <c r="F511" i="15"/>
  <c r="E511" i="15"/>
  <c r="D511" i="15"/>
  <c r="C511" i="15"/>
  <c r="K510" i="15"/>
  <c r="L510" i="15" s="1"/>
  <c r="J510" i="15"/>
  <c r="I510" i="15"/>
  <c r="H510" i="15"/>
  <c r="G510" i="15"/>
  <c r="F510" i="15"/>
  <c r="E510" i="15"/>
  <c r="D510" i="15"/>
  <c r="C510" i="15"/>
  <c r="K509" i="15"/>
  <c r="J509" i="15"/>
  <c r="I509" i="15"/>
  <c r="H509" i="15"/>
  <c r="G509" i="15"/>
  <c r="F509" i="15"/>
  <c r="E509" i="15"/>
  <c r="D509" i="15"/>
  <c r="L509" i="15" s="1"/>
  <c r="C509" i="15"/>
  <c r="K508" i="15"/>
  <c r="L508" i="15" s="1"/>
  <c r="J508" i="15"/>
  <c r="I508" i="15"/>
  <c r="H508" i="15"/>
  <c r="G508" i="15"/>
  <c r="F508" i="15"/>
  <c r="E508" i="15"/>
  <c r="D508" i="15"/>
  <c r="C508" i="15"/>
  <c r="K507" i="15"/>
  <c r="J507" i="15"/>
  <c r="I507" i="15"/>
  <c r="H507" i="15"/>
  <c r="G507" i="15"/>
  <c r="F507" i="15"/>
  <c r="E507" i="15"/>
  <c r="D507" i="15"/>
  <c r="L507" i="15" s="1"/>
  <c r="C507" i="15"/>
  <c r="K506" i="15"/>
  <c r="L506" i="15" s="1"/>
  <c r="J506" i="15"/>
  <c r="I506" i="15"/>
  <c r="H506" i="15"/>
  <c r="G506" i="15"/>
  <c r="F506" i="15"/>
  <c r="E506" i="15"/>
  <c r="D506" i="15"/>
  <c r="C506" i="15"/>
  <c r="K505" i="15"/>
  <c r="J505" i="15"/>
  <c r="I505" i="15"/>
  <c r="H505" i="15"/>
  <c r="G505" i="15"/>
  <c r="F505" i="15"/>
  <c r="E505" i="15"/>
  <c r="D505" i="15"/>
  <c r="C505" i="15"/>
  <c r="K504" i="15"/>
  <c r="L504" i="15" s="1"/>
  <c r="J504" i="15"/>
  <c r="I504" i="15"/>
  <c r="H504" i="15"/>
  <c r="G504" i="15"/>
  <c r="F504" i="15"/>
  <c r="E504" i="15"/>
  <c r="D504" i="15"/>
  <c r="C504" i="15"/>
  <c r="K503" i="15"/>
  <c r="L503" i="15" s="1"/>
  <c r="J503" i="15"/>
  <c r="I503" i="15"/>
  <c r="H503" i="15"/>
  <c r="G503" i="15"/>
  <c r="F503" i="15"/>
  <c r="E503" i="15"/>
  <c r="D503" i="15"/>
  <c r="C503" i="15"/>
  <c r="K502" i="15"/>
  <c r="J502" i="15"/>
  <c r="I502" i="15"/>
  <c r="H502" i="15"/>
  <c r="G502" i="15"/>
  <c r="F502" i="15"/>
  <c r="E502" i="15"/>
  <c r="D502" i="15"/>
  <c r="L502" i="15" s="1"/>
  <c r="C502" i="15"/>
  <c r="K501" i="15"/>
  <c r="J501" i="15"/>
  <c r="I501" i="15"/>
  <c r="H501" i="15"/>
  <c r="G501" i="15"/>
  <c r="F501" i="15"/>
  <c r="E501" i="15"/>
  <c r="D501" i="15"/>
  <c r="C501" i="15"/>
  <c r="K500" i="15"/>
  <c r="J500" i="15"/>
  <c r="I500" i="15"/>
  <c r="H500" i="15"/>
  <c r="G500" i="15"/>
  <c r="F500" i="15"/>
  <c r="E500" i="15"/>
  <c r="D500" i="15"/>
  <c r="C500" i="15"/>
  <c r="K499" i="15"/>
  <c r="L499" i="15" s="1"/>
  <c r="J499" i="15"/>
  <c r="I499" i="15"/>
  <c r="H499" i="15"/>
  <c r="G499" i="15"/>
  <c r="F499" i="15"/>
  <c r="E499" i="15"/>
  <c r="D499" i="15"/>
  <c r="C499" i="15"/>
  <c r="K498" i="15"/>
  <c r="L498" i="15" s="1"/>
  <c r="J498" i="15"/>
  <c r="I498" i="15"/>
  <c r="H498" i="15"/>
  <c r="G498" i="15"/>
  <c r="F498" i="15"/>
  <c r="E498" i="15"/>
  <c r="D498" i="15"/>
  <c r="C498" i="15"/>
  <c r="K497" i="15"/>
  <c r="J497" i="15"/>
  <c r="I497" i="15"/>
  <c r="H497" i="15"/>
  <c r="G497" i="15"/>
  <c r="F497" i="15"/>
  <c r="E497" i="15"/>
  <c r="D497" i="15"/>
  <c r="C497" i="15"/>
  <c r="K496" i="15"/>
  <c r="J496" i="15"/>
  <c r="I496" i="15"/>
  <c r="H496" i="15"/>
  <c r="G496" i="15"/>
  <c r="F496" i="15"/>
  <c r="E496" i="15"/>
  <c r="D496" i="15"/>
  <c r="C496" i="15"/>
  <c r="K495" i="15"/>
  <c r="L495" i="15" s="1"/>
  <c r="J495" i="15"/>
  <c r="I495" i="15"/>
  <c r="H495" i="15"/>
  <c r="G495" i="15"/>
  <c r="F495" i="15"/>
  <c r="E495" i="15"/>
  <c r="D495" i="15"/>
  <c r="C495" i="15"/>
  <c r="K494" i="15"/>
  <c r="L494" i="15" s="1"/>
  <c r="J494" i="15"/>
  <c r="I494" i="15"/>
  <c r="H494" i="15"/>
  <c r="G494" i="15"/>
  <c r="F494" i="15"/>
  <c r="E494" i="15"/>
  <c r="D494" i="15"/>
  <c r="C494" i="15"/>
  <c r="K493" i="15"/>
  <c r="J493" i="15"/>
  <c r="I493" i="15"/>
  <c r="H493" i="15"/>
  <c r="G493" i="15"/>
  <c r="F493" i="15"/>
  <c r="E493" i="15"/>
  <c r="D493" i="15"/>
  <c r="L493" i="15" s="1"/>
  <c r="C493" i="15"/>
  <c r="K492" i="15"/>
  <c r="L492" i="15" s="1"/>
  <c r="J492" i="15"/>
  <c r="I492" i="15"/>
  <c r="H492" i="15"/>
  <c r="G492" i="15"/>
  <c r="F492" i="15"/>
  <c r="E492" i="15"/>
  <c r="D492" i="15"/>
  <c r="C492" i="15"/>
  <c r="K491" i="15"/>
  <c r="J491" i="15"/>
  <c r="I491" i="15"/>
  <c r="H491" i="15"/>
  <c r="G491" i="15"/>
  <c r="F491" i="15"/>
  <c r="E491" i="15"/>
  <c r="D491" i="15"/>
  <c r="L491" i="15" s="1"/>
  <c r="C491" i="15"/>
  <c r="K490" i="15"/>
  <c r="L490" i="15" s="1"/>
  <c r="J490" i="15"/>
  <c r="I490" i="15"/>
  <c r="H490" i="15"/>
  <c r="G490" i="15"/>
  <c r="F490" i="15"/>
  <c r="E490" i="15"/>
  <c r="D490" i="15"/>
  <c r="C490" i="15"/>
  <c r="K489" i="15"/>
  <c r="J489" i="15"/>
  <c r="I489" i="15"/>
  <c r="H489" i="15"/>
  <c r="G489" i="15"/>
  <c r="F489" i="15"/>
  <c r="E489" i="15"/>
  <c r="D489" i="15"/>
  <c r="C489" i="15"/>
  <c r="K488" i="15"/>
  <c r="L488" i="15" s="1"/>
  <c r="J488" i="15"/>
  <c r="I488" i="15"/>
  <c r="H488" i="15"/>
  <c r="G488" i="15"/>
  <c r="F488" i="15"/>
  <c r="E488" i="15"/>
  <c r="D488" i="15"/>
  <c r="C488" i="15"/>
  <c r="K487" i="15"/>
  <c r="L487" i="15" s="1"/>
  <c r="J487" i="15"/>
  <c r="I487" i="15"/>
  <c r="H487" i="15"/>
  <c r="G487" i="15"/>
  <c r="F487" i="15"/>
  <c r="E487" i="15"/>
  <c r="D487" i="15"/>
  <c r="C487" i="15"/>
  <c r="K486" i="15"/>
  <c r="J486" i="15"/>
  <c r="I486" i="15"/>
  <c r="H486" i="15"/>
  <c r="G486" i="15"/>
  <c r="F486" i="15"/>
  <c r="E486" i="15"/>
  <c r="D486" i="15"/>
  <c r="L486" i="15" s="1"/>
  <c r="C486" i="15"/>
  <c r="K485" i="15"/>
  <c r="J485" i="15"/>
  <c r="I485" i="15"/>
  <c r="H485" i="15"/>
  <c r="G485" i="15"/>
  <c r="F485" i="15"/>
  <c r="E485" i="15"/>
  <c r="D485" i="15"/>
  <c r="C485" i="15"/>
  <c r="K484" i="15"/>
  <c r="J484" i="15"/>
  <c r="I484" i="15"/>
  <c r="H484" i="15"/>
  <c r="G484" i="15"/>
  <c r="F484" i="15"/>
  <c r="E484" i="15"/>
  <c r="D484" i="15"/>
  <c r="C484" i="15"/>
  <c r="K483" i="15"/>
  <c r="L483" i="15" s="1"/>
  <c r="J483" i="15"/>
  <c r="I483" i="15"/>
  <c r="H483" i="15"/>
  <c r="G483" i="15"/>
  <c r="F483" i="15"/>
  <c r="E483" i="15"/>
  <c r="D483" i="15"/>
  <c r="C483" i="15"/>
  <c r="K482" i="15"/>
  <c r="L482" i="15" s="1"/>
  <c r="J482" i="15"/>
  <c r="I482" i="15"/>
  <c r="H482" i="15"/>
  <c r="G482" i="15"/>
  <c r="F482" i="15"/>
  <c r="E482" i="15"/>
  <c r="D482" i="15"/>
  <c r="C482" i="15"/>
  <c r="K481" i="15"/>
  <c r="J481" i="15"/>
  <c r="I481" i="15"/>
  <c r="H481" i="15"/>
  <c r="G481" i="15"/>
  <c r="F481" i="15"/>
  <c r="E481" i="15"/>
  <c r="D481" i="15"/>
  <c r="C481" i="15"/>
  <c r="K480" i="15"/>
  <c r="J480" i="15"/>
  <c r="I480" i="15"/>
  <c r="H480" i="15"/>
  <c r="G480" i="15"/>
  <c r="F480" i="15"/>
  <c r="E480" i="15"/>
  <c r="D480" i="15"/>
  <c r="C480" i="15"/>
  <c r="K479" i="15"/>
  <c r="L479" i="15" s="1"/>
  <c r="J479" i="15"/>
  <c r="I479" i="15"/>
  <c r="H479" i="15"/>
  <c r="G479" i="15"/>
  <c r="F479" i="15"/>
  <c r="E479" i="15"/>
  <c r="D479" i="15"/>
  <c r="C479" i="15"/>
  <c r="K478" i="15"/>
  <c r="L478" i="15" s="1"/>
  <c r="J478" i="15"/>
  <c r="I478" i="15"/>
  <c r="H478" i="15"/>
  <c r="G478" i="15"/>
  <c r="F478" i="15"/>
  <c r="E478" i="15"/>
  <c r="D478" i="15"/>
  <c r="C478" i="15"/>
  <c r="K477" i="15"/>
  <c r="J477" i="15"/>
  <c r="I477" i="15"/>
  <c r="H477" i="15"/>
  <c r="G477" i="15"/>
  <c r="F477" i="15"/>
  <c r="E477" i="15"/>
  <c r="D477" i="15"/>
  <c r="L477" i="15" s="1"/>
  <c r="C477" i="15"/>
  <c r="K476" i="15"/>
  <c r="L476" i="15" s="1"/>
  <c r="J476" i="15"/>
  <c r="I476" i="15"/>
  <c r="H476" i="15"/>
  <c r="G476" i="15"/>
  <c r="F476" i="15"/>
  <c r="E476" i="15"/>
  <c r="D476" i="15"/>
  <c r="C476" i="15"/>
  <c r="K475" i="15"/>
  <c r="J475" i="15"/>
  <c r="I475" i="15"/>
  <c r="H475" i="15"/>
  <c r="G475" i="15"/>
  <c r="F475" i="15"/>
  <c r="E475" i="15"/>
  <c r="D475" i="15"/>
  <c r="L475" i="15" s="1"/>
  <c r="C475" i="15"/>
  <c r="K474" i="15"/>
  <c r="L474" i="15" s="1"/>
  <c r="J474" i="15"/>
  <c r="I474" i="15"/>
  <c r="H474" i="15"/>
  <c r="G474" i="15"/>
  <c r="F474" i="15"/>
  <c r="E474" i="15"/>
  <c r="D474" i="15"/>
  <c r="C474" i="15"/>
  <c r="K473" i="15"/>
  <c r="J473" i="15"/>
  <c r="I473" i="15"/>
  <c r="H473" i="15"/>
  <c r="G473" i="15"/>
  <c r="F473" i="15"/>
  <c r="E473" i="15"/>
  <c r="D473" i="15"/>
  <c r="C473" i="15"/>
  <c r="K472" i="15"/>
  <c r="L472" i="15" s="1"/>
  <c r="J472" i="15"/>
  <c r="I472" i="15"/>
  <c r="H472" i="15"/>
  <c r="G472" i="15"/>
  <c r="F472" i="15"/>
  <c r="E472" i="15"/>
  <c r="D472" i="15"/>
  <c r="C472" i="15"/>
  <c r="K471" i="15"/>
  <c r="L471" i="15" s="1"/>
  <c r="J471" i="15"/>
  <c r="I471" i="15"/>
  <c r="H471" i="15"/>
  <c r="G471" i="15"/>
  <c r="F471" i="15"/>
  <c r="E471" i="15"/>
  <c r="D471" i="15"/>
  <c r="C471" i="15"/>
  <c r="K470" i="15"/>
  <c r="J470" i="15"/>
  <c r="I470" i="15"/>
  <c r="H470" i="15"/>
  <c r="G470" i="15"/>
  <c r="F470" i="15"/>
  <c r="E470" i="15"/>
  <c r="D470" i="15"/>
  <c r="L470" i="15" s="1"/>
  <c r="C470" i="15"/>
  <c r="K469" i="15"/>
  <c r="J469" i="15"/>
  <c r="I469" i="15"/>
  <c r="H469" i="15"/>
  <c r="G469" i="15"/>
  <c r="F469" i="15"/>
  <c r="E469" i="15"/>
  <c r="D469" i="15"/>
  <c r="C469" i="15"/>
  <c r="K468" i="15"/>
  <c r="J468" i="15"/>
  <c r="I468" i="15"/>
  <c r="H468" i="15"/>
  <c r="G468" i="15"/>
  <c r="F468" i="15"/>
  <c r="E468" i="15"/>
  <c r="D468" i="15"/>
  <c r="C468" i="15"/>
  <c r="K467" i="15"/>
  <c r="L467" i="15" s="1"/>
  <c r="J467" i="15"/>
  <c r="I467" i="15"/>
  <c r="H467" i="15"/>
  <c r="G467" i="15"/>
  <c r="F467" i="15"/>
  <c r="E467" i="15"/>
  <c r="D467" i="15"/>
  <c r="C467" i="15"/>
  <c r="K466" i="15"/>
  <c r="L466" i="15" s="1"/>
  <c r="J466" i="15"/>
  <c r="I466" i="15"/>
  <c r="H466" i="15"/>
  <c r="G466" i="15"/>
  <c r="F466" i="15"/>
  <c r="E466" i="15"/>
  <c r="D466" i="15"/>
  <c r="C466" i="15"/>
  <c r="K465" i="15"/>
  <c r="J465" i="15"/>
  <c r="I465" i="15"/>
  <c r="H465" i="15"/>
  <c r="G465" i="15"/>
  <c r="F465" i="15"/>
  <c r="E465" i="15"/>
  <c r="D465" i="15"/>
  <c r="C465" i="15"/>
  <c r="K464" i="15"/>
  <c r="J464" i="15"/>
  <c r="I464" i="15"/>
  <c r="H464" i="15"/>
  <c r="G464" i="15"/>
  <c r="F464" i="15"/>
  <c r="E464" i="15"/>
  <c r="D464" i="15"/>
  <c r="C464" i="15"/>
  <c r="K463" i="15"/>
  <c r="L463" i="15" s="1"/>
  <c r="J463" i="15"/>
  <c r="I463" i="15"/>
  <c r="H463" i="15"/>
  <c r="G463" i="15"/>
  <c r="F463" i="15"/>
  <c r="E463" i="15"/>
  <c r="D463" i="15"/>
  <c r="C463" i="15"/>
  <c r="K462" i="15"/>
  <c r="L462" i="15" s="1"/>
  <c r="J462" i="15"/>
  <c r="I462" i="15"/>
  <c r="H462" i="15"/>
  <c r="G462" i="15"/>
  <c r="F462" i="15"/>
  <c r="E462" i="15"/>
  <c r="D462" i="15"/>
  <c r="C462" i="15"/>
  <c r="K461" i="15"/>
  <c r="J461" i="15"/>
  <c r="I461" i="15"/>
  <c r="H461" i="15"/>
  <c r="G461" i="15"/>
  <c r="F461" i="15"/>
  <c r="E461" i="15"/>
  <c r="D461" i="15"/>
  <c r="L461" i="15" s="1"/>
  <c r="C461" i="15"/>
  <c r="K460" i="15"/>
  <c r="J460" i="15"/>
  <c r="I460" i="15"/>
  <c r="H460" i="15"/>
  <c r="G460" i="15"/>
  <c r="F460" i="15"/>
  <c r="E460" i="15"/>
  <c r="D460" i="15"/>
  <c r="C460" i="15"/>
  <c r="K459" i="15"/>
  <c r="J459" i="15"/>
  <c r="I459" i="15"/>
  <c r="H459" i="15"/>
  <c r="G459" i="15"/>
  <c r="F459" i="15"/>
  <c r="E459" i="15"/>
  <c r="D459" i="15"/>
  <c r="L459" i="15" s="1"/>
  <c r="C459" i="15"/>
  <c r="K458" i="15"/>
  <c r="L458" i="15" s="1"/>
  <c r="J458" i="15"/>
  <c r="I458" i="15"/>
  <c r="H458" i="15"/>
  <c r="G458" i="15"/>
  <c r="F458" i="15"/>
  <c r="E458" i="15"/>
  <c r="D458" i="15"/>
  <c r="C458" i="15"/>
  <c r="K457" i="15"/>
  <c r="J457" i="15"/>
  <c r="I457" i="15"/>
  <c r="H457" i="15"/>
  <c r="G457" i="15"/>
  <c r="F457" i="15"/>
  <c r="E457" i="15"/>
  <c r="D457" i="15"/>
  <c r="L457" i="15" s="1"/>
  <c r="C457" i="15"/>
  <c r="K456" i="15"/>
  <c r="J456" i="15"/>
  <c r="I456" i="15"/>
  <c r="H456" i="15"/>
  <c r="G456" i="15"/>
  <c r="F456" i="15"/>
  <c r="E456" i="15"/>
  <c r="D456" i="15"/>
  <c r="C456" i="15"/>
  <c r="K455" i="15"/>
  <c r="J455" i="15"/>
  <c r="I455" i="15"/>
  <c r="H455" i="15"/>
  <c r="G455" i="15"/>
  <c r="F455" i="15"/>
  <c r="E455" i="15"/>
  <c r="D455" i="15"/>
  <c r="L455" i="15" s="1"/>
  <c r="C455" i="15"/>
  <c r="K454" i="15"/>
  <c r="L454" i="15" s="1"/>
  <c r="J454" i="15"/>
  <c r="I454" i="15"/>
  <c r="H454" i="15"/>
  <c r="G454" i="15"/>
  <c r="F454" i="15"/>
  <c r="E454" i="15"/>
  <c r="D454" i="15"/>
  <c r="C454" i="15"/>
  <c r="K453" i="15"/>
  <c r="J453" i="15"/>
  <c r="I453" i="15"/>
  <c r="H453" i="15"/>
  <c r="G453" i="15"/>
  <c r="F453" i="15"/>
  <c r="E453" i="15"/>
  <c r="D453" i="15"/>
  <c r="L453" i="15" s="1"/>
  <c r="C453" i="15"/>
  <c r="K452" i="15"/>
  <c r="J452" i="15"/>
  <c r="I452" i="15"/>
  <c r="H452" i="15"/>
  <c r="G452" i="15"/>
  <c r="F452" i="15"/>
  <c r="E452" i="15"/>
  <c r="D452" i="15"/>
  <c r="C452" i="15"/>
  <c r="K451" i="15"/>
  <c r="J451" i="15"/>
  <c r="I451" i="15"/>
  <c r="H451" i="15"/>
  <c r="G451" i="15"/>
  <c r="F451" i="15"/>
  <c r="E451" i="15"/>
  <c r="D451" i="15"/>
  <c r="L451" i="15" s="1"/>
  <c r="C451" i="15"/>
  <c r="K450" i="15"/>
  <c r="J450" i="15"/>
  <c r="I450" i="15"/>
  <c r="H450" i="15"/>
  <c r="G450" i="15"/>
  <c r="F450" i="15"/>
  <c r="E450" i="15"/>
  <c r="D450" i="15"/>
  <c r="L450" i="15" s="1"/>
  <c r="C450" i="15"/>
  <c r="K449" i="15"/>
  <c r="J449" i="15"/>
  <c r="I449" i="15"/>
  <c r="H449" i="15"/>
  <c r="G449" i="15"/>
  <c r="F449" i="15"/>
  <c r="E449" i="15"/>
  <c r="D449" i="15"/>
  <c r="L449" i="15" s="1"/>
  <c r="C449" i="15"/>
  <c r="K448" i="15"/>
  <c r="J448" i="15"/>
  <c r="I448" i="15"/>
  <c r="H448" i="15"/>
  <c r="G448" i="15"/>
  <c r="F448" i="15"/>
  <c r="E448" i="15"/>
  <c r="D448" i="15"/>
  <c r="C448" i="15"/>
  <c r="K447" i="15"/>
  <c r="L447" i="15" s="1"/>
  <c r="J447" i="15"/>
  <c r="I447" i="15"/>
  <c r="H447" i="15"/>
  <c r="G447" i="15"/>
  <c r="F447" i="15"/>
  <c r="E447" i="15"/>
  <c r="D447" i="15"/>
  <c r="C447" i="15"/>
  <c r="K446" i="15"/>
  <c r="J446" i="15"/>
  <c r="I446" i="15"/>
  <c r="H446" i="15"/>
  <c r="G446" i="15"/>
  <c r="F446" i="15"/>
  <c r="E446" i="15"/>
  <c r="D446" i="15"/>
  <c r="L446" i="15" s="1"/>
  <c r="C446" i="15"/>
  <c r="K445" i="15"/>
  <c r="J445" i="15"/>
  <c r="I445" i="15"/>
  <c r="H445" i="15"/>
  <c r="G445" i="15"/>
  <c r="F445" i="15"/>
  <c r="E445" i="15"/>
  <c r="D445" i="15"/>
  <c r="L445" i="15" s="1"/>
  <c r="C445" i="15"/>
  <c r="K444" i="15"/>
  <c r="J444" i="15"/>
  <c r="I444" i="15"/>
  <c r="H444" i="15"/>
  <c r="G444" i="15"/>
  <c r="F444" i="15"/>
  <c r="E444" i="15"/>
  <c r="D444" i="15"/>
  <c r="C444" i="15"/>
  <c r="K443" i="15"/>
  <c r="J443" i="15"/>
  <c r="I443" i="15"/>
  <c r="H443" i="15"/>
  <c r="G443" i="15"/>
  <c r="F443" i="15"/>
  <c r="E443" i="15"/>
  <c r="D443" i="15"/>
  <c r="L443" i="15" s="1"/>
  <c r="C443" i="15"/>
  <c r="K442" i="15"/>
  <c r="J442" i="15"/>
  <c r="I442" i="15"/>
  <c r="H442" i="15"/>
  <c r="G442" i="15"/>
  <c r="F442" i="15"/>
  <c r="E442" i="15"/>
  <c r="D442" i="15"/>
  <c r="L442" i="15" s="1"/>
  <c r="C442" i="15"/>
  <c r="K441" i="15"/>
  <c r="J441" i="15"/>
  <c r="I441" i="15"/>
  <c r="H441" i="15"/>
  <c r="G441" i="15"/>
  <c r="F441" i="15"/>
  <c r="E441" i="15"/>
  <c r="D441" i="15"/>
  <c r="L441" i="15" s="1"/>
  <c r="C441" i="15"/>
  <c r="K440" i="15"/>
  <c r="J440" i="15"/>
  <c r="I440" i="15"/>
  <c r="H440" i="15"/>
  <c r="G440" i="15"/>
  <c r="F440" i="15"/>
  <c r="E440" i="15"/>
  <c r="D440" i="15"/>
  <c r="C440" i="15"/>
  <c r="K439" i="15"/>
  <c r="L439" i="15" s="1"/>
  <c r="J439" i="15"/>
  <c r="I439" i="15"/>
  <c r="H439" i="15"/>
  <c r="G439" i="15"/>
  <c r="F439" i="15"/>
  <c r="E439" i="15"/>
  <c r="D439" i="15"/>
  <c r="C439" i="15"/>
  <c r="K438" i="15"/>
  <c r="L438" i="15" s="1"/>
  <c r="J438" i="15"/>
  <c r="I438" i="15"/>
  <c r="H438" i="15"/>
  <c r="G438" i="15"/>
  <c r="F438" i="15"/>
  <c r="E438" i="15"/>
  <c r="D438" i="15"/>
  <c r="C438" i="15"/>
  <c r="K437" i="15"/>
  <c r="J437" i="15"/>
  <c r="I437" i="15"/>
  <c r="H437" i="15"/>
  <c r="G437" i="15"/>
  <c r="F437" i="15"/>
  <c r="E437" i="15"/>
  <c r="D437" i="15"/>
  <c r="L437" i="15" s="1"/>
  <c r="C437" i="15"/>
  <c r="K436" i="15"/>
  <c r="J436" i="15"/>
  <c r="I436" i="15"/>
  <c r="H436" i="15"/>
  <c r="G436" i="15"/>
  <c r="F436" i="15"/>
  <c r="E436" i="15"/>
  <c r="D436" i="15"/>
  <c r="C436" i="15"/>
  <c r="K435" i="15"/>
  <c r="L435" i="15" s="1"/>
  <c r="J435" i="15"/>
  <c r="I435" i="15"/>
  <c r="H435" i="15"/>
  <c r="G435" i="15"/>
  <c r="F435" i="15"/>
  <c r="E435" i="15"/>
  <c r="D435" i="15"/>
  <c r="C435" i="15"/>
  <c r="K434" i="15"/>
  <c r="J434" i="15"/>
  <c r="I434" i="15"/>
  <c r="H434" i="15"/>
  <c r="G434" i="15"/>
  <c r="F434" i="15"/>
  <c r="E434" i="15"/>
  <c r="D434" i="15"/>
  <c r="L434" i="15" s="1"/>
  <c r="C434" i="15"/>
  <c r="K433" i="15"/>
  <c r="J433" i="15"/>
  <c r="I433" i="15"/>
  <c r="H433" i="15"/>
  <c r="G433" i="15"/>
  <c r="F433" i="15"/>
  <c r="E433" i="15"/>
  <c r="D433" i="15"/>
  <c r="L433" i="15" s="1"/>
  <c r="C433" i="15"/>
  <c r="K432" i="15"/>
  <c r="J432" i="15"/>
  <c r="I432" i="15"/>
  <c r="H432" i="15"/>
  <c r="G432" i="15"/>
  <c r="F432" i="15"/>
  <c r="E432" i="15"/>
  <c r="D432" i="15"/>
  <c r="C432" i="15"/>
  <c r="K431" i="15"/>
  <c r="L431" i="15" s="1"/>
  <c r="J431" i="15"/>
  <c r="I431" i="15"/>
  <c r="H431" i="15"/>
  <c r="G431" i="15"/>
  <c r="F431" i="15"/>
  <c r="E431" i="15"/>
  <c r="D431" i="15"/>
  <c r="C431" i="15"/>
  <c r="K430" i="15"/>
  <c r="L430" i="15" s="1"/>
  <c r="J430" i="15"/>
  <c r="I430" i="15"/>
  <c r="H430" i="15"/>
  <c r="G430" i="15"/>
  <c r="F430" i="15"/>
  <c r="E430" i="15"/>
  <c r="D430" i="15"/>
  <c r="C430" i="15"/>
  <c r="K429" i="15"/>
  <c r="J429" i="15"/>
  <c r="I429" i="15"/>
  <c r="H429" i="15"/>
  <c r="G429" i="15"/>
  <c r="F429" i="15"/>
  <c r="E429" i="15"/>
  <c r="D429" i="15"/>
  <c r="L429" i="15" s="1"/>
  <c r="C429" i="15"/>
  <c r="K428" i="15"/>
  <c r="J428" i="15"/>
  <c r="I428" i="15"/>
  <c r="H428" i="15"/>
  <c r="G428" i="15"/>
  <c r="F428" i="15"/>
  <c r="E428" i="15"/>
  <c r="D428" i="15"/>
  <c r="C428" i="15"/>
  <c r="K427" i="15"/>
  <c r="J427" i="15"/>
  <c r="I427" i="15"/>
  <c r="H427" i="15"/>
  <c r="G427" i="15"/>
  <c r="F427" i="15"/>
  <c r="E427" i="15"/>
  <c r="D427" i="15"/>
  <c r="L427" i="15" s="1"/>
  <c r="C427" i="15"/>
  <c r="K426" i="15"/>
  <c r="L426" i="15" s="1"/>
  <c r="J426" i="15"/>
  <c r="I426" i="15"/>
  <c r="H426" i="15"/>
  <c r="G426" i="15"/>
  <c r="F426" i="15"/>
  <c r="E426" i="15"/>
  <c r="D426" i="15"/>
  <c r="C426" i="15"/>
  <c r="K425" i="15"/>
  <c r="J425" i="15"/>
  <c r="I425" i="15"/>
  <c r="H425" i="15"/>
  <c r="G425" i="15"/>
  <c r="F425" i="15"/>
  <c r="E425" i="15"/>
  <c r="D425" i="15"/>
  <c r="L425" i="15" s="1"/>
  <c r="C425" i="15"/>
  <c r="K424" i="15"/>
  <c r="J424" i="15"/>
  <c r="I424" i="15"/>
  <c r="H424" i="15"/>
  <c r="G424" i="15"/>
  <c r="F424" i="15"/>
  <c r="E424" i="15"/>
  <c r="D424" i="15"/>
  <c r="C424" i="15"/>
  <c r="K423" i="15"/>
  <c r="J423" i="15"/>
  <c r="I423" i="15"/>
  <c r="H423" i="15"/>
  <c r="G423" i="15"/>
  <c r="F423" i="15"/>
  <c r="E423" i="15"/>
  <c r="D423" i="15"/>
  <c r="L423" i="15" s="1"/>
  <c r="C423" i="15"/>
  <c r="K422" i="15"/>
  <c r="L422" i="15" s="1"/>
  <c r="J422" i="15"/>
  <c r="I422" i="15"/>
  <c r="H422" i="15"/>
  <c r="G422" i="15"/>
  <c r="F422" i="15"/>
  <c r="E422" i="15"/>
  <c r="D422" i="15"/>
  <c r="C422" i="15"/>
  <c r="K421" i="15"/>
  <c r="L421" i="15" s="1"/>
  <c r="J421" i="15"/>
  <c r="I421" i="15"/>
  <c r="H421" i="15"/>
  <c r="G421" i="15"/>
  <c r="F421" i="15"/>
  <c r="E421" i="15"/>
  <c r="D421" i="15"/>
  <c r="C421" i="15"/>
  <c r="K420" i="15"/>
  <c r="J420" i="15"/>
  <c r="I420" i="15"/>
  <c r="H420" i="15"/>
  <c r="G420" i="15"/>
  <c r="F420" i="15"/>
  <c r="E420" i="15"/>
  <c r="D420" i="15"/>
  <c r="C420" i="15"/>
  <c r="K419" i="15"/>
  <c r="J419" i="15"/>
  <c r="I419" i="15"/>
  <c r="H419" i="15"/>
  <c r="G419" i="15"/>
  <c r="F419" i="15"/>
  <c r="E419" i="15"/>
  <c r="D419" i="15"/>
  <c r="L419" i="15" s="1"/>
  <c r="C419" i="15"/>
  <c r="K418" i="15"/>
  <c r="J418" i="15"/>
  <c r="I418" i="15"/>
  <c r="H418" i="15"/>
  <c r="G418" i="15"/>
  <c r="F418" i="15"/>
  <c r="E418" i="15"/>
  <c r="D418" i="15"/>
  <c r="L418" i="15" s="1"/>
  <c r="C418" i="15"/>
  <c r="K417" i="15"/>
  <c r="L417" i="15" s="1"/>
  <c r="J417" i="15"/>
  <c r="I417" i="15"/>
  <c r="H417" i="15"/>
  <c r="G417" i="15"/>
  <c r="F417" i="15"/>
  <c r="E417" i="15"/>
  <c r="D417" i="15"/>
  <c r="C417" i="15"/>
  <c r="K416" i="15"/>
  <c r="J416" i="15"/>
  <c r="I416" i="15"/>
  <c r="H416" i="15"/>
  <c r="G416" i="15"/>
  <c r="F416" i="15"/>
  <c r="E416" i="15"/>
  <c r="D416" i="15"/>
  <c r="C416" i="15"/>
  <c r="K415" i="15"/>
  <c r="L415" i="15" s="1"/>
  <c r="J415" i="15"/>
  <c r="I415" i="15"/>
  <c r="H415" i="15"/>
  <c r="G415" i="15"/>
  <c r="F415" i="15"/>
  <c r="E415" i="15"/>
  <c r="D415" i="15"/>
  <c r="C415" i="15"/>
  <c r="K414" i="15"/>
  <c r="J414" i="15"/>
  <c r="I414" i="15"/>
  <c r="H414" i="15"/>
  <c r="G414" i="15"/>
  <c r="F414" i="15"/>
  <c r="E414" i="15"/>
  <c r="D414" i="15"/>
  <c r="L414" i="15" s="1"/>
  <c r="C414" i="15"/>
  <c r="K413" i="15"/>
  <c r="L413" i="15" s="1"/>
  <c r="J413" i="15"/>
  <c r="I413" i="15"/>
  <c r="H413" i="15"/>
  <c r="G413" i="15"/>
  <c r="F413" i="15"/>
  <c r="E413" i="15"/>
  <c r="D413" i="15"/>
  <c r="C413" i="15"/>
  <c r="K412" i="15"/>
  <c r="J412" i="15"/>
  <c r="I412" i="15"/>
  <c r="H412" i="15"/>
  <c r="G412" i="15"/>
  <c r="F412" i="15"/>
  <c r="E412" i="15"/>
  <c r="D412" i="15"/>
  <c r="C412" i="15"/>
  <c r="K411" i="15"/>
  <c r="J411" i="15"/>
  <c r="I411" i="15"/>
  <c r="H411" i="15"/>
  <c r="G411" i="15"/>
  <c r="F411" i="15"/>
  <c r="E411" i="15"/>
  <c r="D411" i="15"/>
  <c r="L411" i="15" s="1"/>
  <c r="C411" i="15"/>
  <c r="K410" i="15"/>
  <c r="J410" i="15"/>
  <c r="I410" i="15"/>
  <c r="H410" i="15"/>
  <c r="G410" i="15"/>
  <c r="F410" i="15"/>
  <c r="E410" i="15"/>
  <c r="D410" i="15"/>
  <c r="L410" i="15" s="1"/>
  <c r="C410" i="15"/>
  <c r="K409" i="15"/>
  <c r="J409" i="15"/>
  <c r="I409" i="15"/>
  <c r="H409" i="15"/>
  <c r="G409" i="15"/>
  <c r="F409" i="15"/>
  <c r="E409" i="15"/>
  <c r="D409" i="15"/>
  <c r="L409" i="15" s="1"/>
  <c r="C409" i="15"/>
  <c r="K408" i="15"/>
  <c r="J408" i="15"/>
  <c r="I408" i="15"/>
  <c r="H408" i="15"/>
  <c r="G408" i="15"/>
  <c r="F408" i="15"/>
  <c r="E408" i="15"/>
  <c r="D408" i="15"/>
  <c r="C408" i="15"/>
  <c r="K407" i="15"/>
  <c r="J407" i="15"/>
  <c r="I407" i="15"/>
  <c r="H407" i="15"/>
  <c r="G407" i="15"/>
  <c r="F407" i="15"/>
  <c r="E407" i="15"/>
  <c r="D407" i="15"/>
  <c r="C407" i="15"/>
  <c r="K406" i="15"/>
  <c r="L406" i="15" s="1"/>
  <c r="J406" i="15"/>
  <c r="I406" i="15"/>
  <c r="H406" i="15"/>
  <c r="G406" i="15"/>
  <c r="F406" i="15"/>
  <c r="E406" i="15"/>
  <c r="D406" i="15"/>
  <c r="C406" i="15"/>
  <c r="K405" i="15"/>
  <c r="J405" i="15"/>
  <c r="I405" i="15"/>
  <c r="H405" i="15"/>
  <c r="G405" i="15"/>
  <c r="F405" i="15"/>
  <c r="E405" i="15"/>
  <c r="D405" i="15"/>
  <c r="L405" i="15" s="1"/>
  <c r="C405" i="15"/>
  <c r="K404" i="15"/>
  <c r="J404" i="15"/>
  <c r="I404" i="15"/>
  <c r="H404" i="15"/>
  <c r="G404" i="15"/>
  <c r="F404" i="15"/>
  <c r="E404" i="15"/>
  <c r="D404" i="15"/>
  <c r="C404" i="15"/>
  <c r="K403" i="15"/>
  <c r="L403" i="15" s="1"/>
  <c r="J403" i="15"/>
  <c r="I403" i="15"/>
  <c r="H403" i="15"/>
  <c r="G403" i="15"/>
  <c r="F403" i="15"/>
  <c r="E403" i="15"/>
  <c r="D403" i="15"/>
  <c r="C403" i="15"/>
  <c r="K402" i="15"/>
  <c r="J402" i="15"/>
  <c r="I402" i="15"/>
  <c r="H402" i="15"/>
  <c r="G402" i="15"/>
  <c r="F402" i="15"/>
  <c r="E402" i="15"/>
  <c r="D402" i="15"/>
  <c r="L402" i="15" s="1"/>
  <c r="C402" i="15"/>
  <c r="K401" i="15"/>
  <c r="J401" i="15"/>
  <c r="I401" i="15"/>
  <c r="H401" i="15"/>
  <c r="G401" i="15"/>
  <c r="F401" i="15"/>
  <c r="E401" i="15"/>
  <c r="D401" i="15"/>
  <c r="C401" i="15"/>
  <c r="K400" i="15"/>
  <c r="J400" i="15"/>
  <c r="I400" i="15"/>
  <c r="H400" i="15"/>
  <c r="G400" i="15"/>
  <c r="F400" i="15"/>
  <c r="E400" i="15"/>
  <c r="D400" i="15"/>
  <c r="C400" i="15"/>
  <c r="K399" i="15"/>
  <c r="J399" i="15"/>
  <c r="I399" i="15"/>
  <c r="H399" i="15"/>
  <c r="G399" i="15"/>
  <c r="F399" i="15"/>
  <c r="E399" i="15"/>
  <c r="D399" i="15"/>
  <c r="C399" i="15"/>
  <c r="K398" i="15"/>
  <c r="J398" i="15"/>
  <c r="I398" i="15"/>
  <c r="H398" i="15"/>
  <c r="G398" i="15"/>
  <c r="F398" i="15"/>
  <c r="E398" i="15"/>
  <c r="D398" i="15"/>
  <c r="C398" i="15"/>
  <c r="K397" i="15"/>
  <c r="J397" i="15"/>
  <c r="I397" i="15"/>
  <c r="H397" i="15"/>
  <c r="G397" i="15"/>
  <c r="F397" i="15"/>
  <c r="E397" i="15"/>
  <c r="D397" i="15"/>
  <c r="C397" i="15"/>
  <c r="K396" i="15"/>
  <c r="J396" i="15"/>
  <c r="I396" i="15"/>
  <c r="H396" i="15"/>
  <c r="G396" i="15"/>
  <c r="F396" i="15"/>
  <c r="E396" i="15"/>
  <c r="D396" i="15"/>
  <c r="C396" i="15"/>
  <c r="K395" i="15"/>
  <c r="J395" i="15"/>
  <c r="I395" i="15"/>
  <c r="H395" i="15"/>
  <c r="G395" i="15"/>
  <c r="F395" i="15"/>
  <c r="E395" i="15"/>
  <c r="D395" i="15"/>
  <c r="C395" i="15"/>
  <c r="K394" i="15"/>
  <c r="J394" i="15"/>
  <c r="I394" i="15"/>
  <c r="H394" i="15"/>
  <c r="G394" i="15"/>
  <c r="F394" i="15"/>
  <c r="E394" i="15"/>
  <c r="D394" i="15"/>
  <c r="C394" i="15"/>
  <c r="K393" i="15"/>
  <c r="J393" i="15"/>
  <c r="I393" i="15"/>
  <c r="H393" i="15"/>
  <c r="G393" i="15"/>
  <c r="F393" i="15"/>
  <c r="E393" i="15"/>
  <c r="D393" i="15"/>
  <c r="L393" i="15" s="1"/>
  <c r="C393" i="15"/>
  <c r="K392" i="15"/>
  <c r="J392" i="15"/>
  <c r="I392" i="15"/>
  <c r="H392" i="15"/>
  <c r="G392" i="15"/>
  <c r="F392" i="15"/>
  <c r="E392" i="15"/>
  <c r="D392" i="15"/>
  <c r="L392" i="15" s="1"/>
  <c r="C392" i="15"/>
  <c r="K391" i="15"/>
  <c r="J391" i="15"/>
  <c r="I391" i="15"/>
  <c r="H391" i="15"/>
  <c r="G391" i="15"/>
  <c r="F391" i="15"/>
  <c r="E391" i="15"/>
  <c r="D391" i="15"/>
  <c r="L391" i="15" s="1"/>
  <c r="C391" i="15"/>
  <c r="K390" i="15"/>
  <c r="L390" i="15" s="1"/>
  <c r="J390" i="15"/>
  <c r="I390" i="15"/>
  <c r="H390" i="15"/>
  <c r="G390" i="15"/>
  <c r="F390" i="15"/>
  <c r="E390" i="15"/>
  <c r="D390" i="15"/>
  <c r="C390" i="15"/>
  <c r="K389" i="15"/>
  <c r="J389" i="15"/>
  <c r="I389" i="15"/>
  <c r="H389" i="15"/>
  <c r="G389" i="15"/>
  <c r="F389" i="15"/>
  <c r="E389" i="15"/>
  <c r="D389" i="15"/>
  <c r="L389" i="15" s="1"/>
  <c r="C389" i="15"/>
  <c r="K388" i="15"/>
  <c r="J388" i="15"/>
  <c r="I388" i="15"/>
  <c r="H388" i="15"/>
  <c r="G388" i="15"/>
  <c r="F388" i="15"/>
  <c r="E388" i="15"/>
  <c r="D388" i="15"/>
  <c r="C388" i="15"/>
  <c r="K387" i="15"/>
  <c r="J387" i="15"/>
  <c r="I387" i="15"/>
  <c r="H387" i="15"/>
  <c r="G387" i="15"/>
  <c r="F387" i="15"/>
  <c r="E387" i="15"/>
  <c r="D387" i="15"/>
  <c r="C387" i="15"/>
  <c r="K386" i="15"/>
  <c r="L386" i="15" s="1"/>
  <c r="J386" i="15"/>
  <c r="I386" i="15"/>
  <c r="H386" i="15"/>
  <c r="G386" i="15"/>
  <c r="F386" i="15"/>
  <c r="E386" i="15"/>
  <c r="D386" i="15"/>
  <c r="C386" i="15"/>
  <c r="K385" i="15"/>
  <c r="J385" i="15"/>
  <c r="I385" i="15"/>
  <c r="H385" i="15"/>
  <c r="G385" i="15"/>
  <c r="F385" i="15"/>
  <c r="E385" i="15"/>
  <c r="D385" i="15"/>
  <c r="L385" i="15" s="1"/>
  <c r="C385" i="15"/>
  <c r="K384" i="15"/>
  <c r="J384" i="15"/>
  <c r="I384" i="15"/>
  <c r="H384" i="15"/>
  <c r="G384" i="15"/>
  <c r="F384" i="15"/>
  <c r="E384" i="15"/>
  <c r="D384" i="15"/>
  <c r="C384" i="15"/>
  <c r="K383" i="15"/>
  <c r="J383" i="15"/>
  <c r="I383" i="15"/>
  <c r="H383" i="15"/>
  <c r="G383" i="15"/>
  <c r="F383" i="15"/>
  <c r="E383" i="15"/>
  <c r="D383" i="15"/>
  <c r="L383" i="15" s="1"/>
  <c r="C383" i="15"/>
  <c r="K382" i="15"/>
  <c r="L382" i="15" s="1"/>
  <c r="J382" i="15"/>
  <c r="I382" i="15"/>
  <c r="H382" i="15"/>
  <c r="G382" i="15"/>
  <c r="F382" i="15"/>
  <c r="E382" i="15"/>
  <c r="D382" i="15"/>
  <c r="C382" i="15"/>
  <c r="K381" i="15"/>
  <c r="J381" i="15"/>
  <c r="I381" i="15"/>
  <c r="H381" i="15"/>
  <c r="G381" i="15"/>
  <c r="F381" i="15"/>
  <c r="E381" i="15"/>
  <c r="D381" i="15"/>
  <c r="L381" i="15" s="1"/>
  <c r="C381" i="15"/>
  <c r="K380" i="15"/>
  <c r="J380" i="15"/>
  <c r="I380" i="15"/>
  <c r="H380" i="15"/>
  <c r="G380" i="15"/>
  <c r="F380" i="15"/>
  <c r="E380" i="15"/>
  <c r="D380" i="15"/>
  <c r="L380" i="15" s="1"/>
  <c r="C380" i="15"/>
  <c r="K379" i="15"/>
  <c r="J379" i="15"/>
  <c r="I379" i="15"/>
  <c r="H379" i="15"/>
  <c r="G379" i="15"/>
  <c r="F379" i="15"/>
  <c r="E379" i="15"/>
  <c r="D379" i="15"/>
  <c r="L379" i="15" s="1"/>
  <c r="C379" i="15"/>
  <c r="K378" i="15"/>
  <c r="J378" i="15"/>
  <c r="I378" i="15"/>
  <c r="H378" i="15"/>
  <c r="G378" i="15"/>
  <c r="F378" i="15"/>
  <c r="E378" i="15"/>
  <c r="D378" i="15"/>
  <c r="C378" i="15"/>
  <c r="K377" i="15"/>
  <c r="J377" i="15"/>
  <c r="I377" i="15"/>
  <c r="H377" i="15"/>
  <c r="G377" i="15"/>
  <c r="F377" i="15"/>
  <c r="E377" i="15"/>
  <c r="D377" i="15"/>
  <c r="L377" i="15" s="1"/>
  <c r="C377" i="15"/>
  <c r="K376" i="15"/>
  <c r="J376" i="15"/>
  <c r="I376" i="15"/>
  <c r="H376" i="15"/>
  <c r="G376" i="15"/>
  <c r="F376" i="15"/>
  <c r="E376" i="15"/>
  <c r="D376" i="15"/>
  <c r="C376" i="15"/>
  <c r="K375" i="15"/>
  <c r="J375" i="15"/>
  <c r="I375" i="15"/>
  <c r="H375" i="15"/>
  <c r="G375" i="15"/>
  <c r="F375" i="15"/>
  <c r="E375" i="15"/>
  <c r="D375" i="15"/>
  <c r="C375" i="15"/>
  <c r="K374" i="15"/>
  <c r="J374" i="15"/>
  <c r="I374" i="15"/>
  <c r="H374" i="15"/>
  <c r="G374" i="15"/>
  <c r="F374" i="15"/>
  <c r="E374" i="15"/>
  <c r="D374" i="15"/>
  <c r="C374" i="15"/>
  <c r="K373" i="15"/>
  <c r="J373" i="15"/>
  <c r="I373" i="15"/>
  <c r="H373" i="15"/>
  <c r="G373" i="15"/>
  <c r="F373" i="15"/>
  <c r="E373" i="15"/>
  <c r="D373" i="15"/>
  <c r="L373" i="15" s="1"/>
  <c r="C373" i="15"/>
  <c r="K372" i="15"/>
  <c r="J372" i="15"/>
  <c r="I372" i="15"/>
  <c r="H372" i="15"/>
  <c r="G372" i="15"/>
  <c r="F372" i="15"/>
  <c r="E372" i="15"/>
  <c r="D372" i="15"/>
  <c r="L372" i="15" s="1"/>
  <c r="C372" i="15"/>
  <c r="K371" i="15"/>
  <c r="J371" i="15"/>
  <c r="I371" i="15"/>
  <c r="H371" i="15"/>
  <c r="G371" i="15"/>
  <c r="F371" i="15"/>
  <c r="E371" i="15"/>
  <c r="D371" i="15"/>
  <c r="L371" i="15" s="1"/>
  <c r="C371" i="15"/>
  <c r="K370" i="15"/>
  <c r="L370" i="15" s="1"/>
  <c r="J370" i="15"/>
  <c r="I370" i="15"/>
  <c r="H370" i="15"/>
  <c r="G370" i="15"/>
  <c r="F370" i="15"/>
  <c r="E370" i="15"/>
  <c r="D370" i="15"/>
  <c r="C370" i="15"/>
  <c r="K369" i="15"/>
  <c r="J369" i="15"/>
  <c r="I369" i="15"/>
  <c r="H369" i="15"/>
  <c r="G369" i="15"/>
  <c r="F369" i="15"/>
  <c r="E369" i="15"/>
  <c r="D369" i="15"/>
  <c r="L369" i="15" s="1"/>
  <c r="C369" i="15"/>
  <c r="K368" i="15"/>
  <c r="J368" i="15"/>
  <c r="I368" i="15"/>
  <c r="H368" i="15"/>
  <c r="G368" i="15"/>
  <c r="F368" i="15"/>
  <c r="E368" i="15"/>
  <c r="D368" i="15"/>
  <c r="L368" i="15" s="1"/>
  <c r="C368" i="15"/>
  <c r="K367" i="15"/>
  <c r="J367" i="15"/>
  <c r="I367" i="15"/>
  <c r="H367" i="15"/>
  <c r="G367" i="15"/>
  <c r="F367" i="15"/>
  <c r="E367" i="15"/>
  <c r="D367" i="15"/>
  <c r="L367" i="15" s="1"/>
  <c r="C367" i="15"/>
  <c r="K366" i="15"/>
  <c r="J366" i="15"/>
  <c r="I366" i="15"/>
  <c r="H366" i="15"/>
  <c r="G366" i="15"/>
  <c r="F366" i="15"/>
  <c r="E366" i="15"/>
  <c r="D366" i="15"/>
  <c r="C366" i="15"/>
  <c r="K365" i="15"/>
  <c r="J365" i="15"/>
  <c r="I365" i="15"/>
  <c r="H365" i="15"/>
  <c r="G365" i="15"/>
  <c r="F365" i="15"/>
  <c r="E365" i="15"/>
  <c r="D365" i="15"/>
  <c r="L365" i="15" s="1"/>
  <c r="C365" i="15"/>
  <c r="K364" i="15"/>
  <c r="J364" i="15"/>
  <c r="I364" i="15"/>
  <c r="H364" i="15"/>
  <c r="G364" i="15"/>
  <c r="F364" i="15"/>
  <c r="E364" i="15"/>
  <c r="D364" i="15"/>
  <c r="L364" i="15" s="1"/>
  <c r="C364" i="15"/>
  <c r="K363" i="15"/>
  <c r="J363" i="15"/>
  <c r="I363" i="15"/>
  <c r="H363" i="15"/>
  <c r="G363" i="15"/>
  <c r="F363" i="15"/>
  <c r="E363" i="15"/>
  <c r="D363" i="15"/>
  <c r="C363" i="15"/>
  <c r="K362" i="15"/>
  <c r="J362" i="15"/>
  <c r="I362" i="15"/>
  <c r="H362" i="15"/>
  <c r="G362" i="15"/>
  <c r="F362" i="15"/>
  <c r="E362" i="15"/>
  <c r="D362" i="15"/>
  <c r="C362" i="15"/>
  <c r="K361" i="15"/>
  <c r="J361" i="15"/>
  <c r="I361" i="15"/>
  <c r="H361" i="15"/>
  <c r="G361" i="15"/>
  <c r="F361" i="15"/>
  <c r="E361" i="15"/>
  <c r="D361" i="15"/>
  <c r="L361" i="15" s="1"/>
  <c r="C361" i="15"/>
  <c r="K360" i="15"/>
  <c r="J360" i="15"/>
  <c r="I360" i="15"/>
  <c r="H360" i="15"/>
  <c r="G360" i="15"/>
  <c r="F360" i="15"/>
  <c r="E360" i="15"/>
  <c r="D360" i="15"/>
  <c r="L360" i="15" s="1"/>
  <c r="C360" i="15"/>
  <c r="K359" i="15"/>
  <c r="J359" i="15"/>
  <c r="I359" i="15"/>
  <c r="H359" i="15"/>
  <c r="G359" i="15"/>
  <c r="F359" i="15"/>
  <c r="E359" i="15"/>
  <c r="D359" i="15"/>
  <c r="C359" i="15"/>
  <c r="K358" i="15"/>
  <c r="J358" i="15"/>
  <c r="I358" i="15"/>
  <c r="H358" i="15"/>
  <c r="G358" i="15"/>
  <c r="F358" i="15"/>
  <c r="E358" i="15"/>
  <c r="D358" i="15"/>
  <c r="C358" i="15"/>
  <c r="K357" i="15"/>
  <c r="J357" i="15"/>
  <c r="I357" i="15"/>
  <c r="H357" i="15"/>
  <c r="G357" i="15"/>
  <c r="F357" i="15"/>
  <c r="E357" i="15"/>
  <c r="D357" i="15"/>
  <c r="L357" i="15" s="1"/>
  <c r="C357" i="15"/>
  <c r="K356" i="15"/>
  <c r="J356" i="15"/>
  <c r="I356" i="15"/>
  <c r="H356" i="15"/>
  <c r="G356" i="15"/>
  <c r="F356" i="15"/>
  <c r="E356" i="15"/>
  <c r="D356" i="15"/>
  <c r="L356" i="15" s="1"/>
  <c r="C356" i="15"/>
  <c r="K355" i="15"/>
  <c r="J355" i="15"/>
  <c r="I355" i="15"/>
  <c r="H355" i="15"/>
  <c r="G355" i="15"/>
  <c r="F355" i="15"/>
  <c r="E355" i="15"/>
  <c r="D355" i="15"/>
  <c r="C355" i="15"/>
  <c r="K354" i="15"/>
  <c r="J354" i="15"/>
  <c r="I354" i="15"/>
  <c r="H354" i="15"/>
  <c r="G354" i="15"/>
  <c r="F354" i="15"/>
  <c r="E354" i="15"/>
  <c r="D354" i="15"/>
  <c r="C354" i="15"/>
  <c r="K353" i="15"/>
  <c r="J353" i="15"/>
  <c r="I353" i="15"/>
  <c r="H353" i="15"/>
  <c r="G353" i="15"/>
  <c r="F353" i="15"/>
  <c r="E353" i="15"/>
  <c r="D353" i="15"/>
  <c r="L353" i="15" s="1"/>
  <c r="C353" i="15"/>
  <c r="K352" i="15"/>
  <c r="L352" i="15" s="1"/>
  <c r="J352" i="15"/>
  <c r="I352" i="15"/>
  <c r="H352" i="15"/>
  <c r="G352" i="15"/>
  <c r="F352" i="15"/>
  <c r="E352" i="15"/>
  <c r="D352" i="15"/>
  <c r="C352" i="15"/>
  <c r="K351" i="15"/>
  <c r="J351" i="15"/>
  <c r="I351" i="15"/>
  <c r="H351" i="15"/>
  <c r="G351" i="15"/>
  <c r="F351" i="15"/>
  <c r="E351" i="15"/>
  <c r="D351" i="15"/>
  <c r="L351" i="15" s="1"/>
  <c r="C351" i="15"/>
  <c r="K350" i="15"/>
  <c r="J350" i="15"/>
  <c r="I350" i="15"/>
  <c r="H350" i="15"/>
  <c r="G350" i="15"/>
  <c r="F350" i="15"/>
  <c r="E350" i="15"/>
  <c r="D350" i="15"/>
  <c r="C350" i="15"/>
  <c r="K349" i="15"/>
  <c r="J349" i="15"/>
  <c r="I349" i="15"/>
  <c r="H349" i="15"/>
  <c r="G349" i="15"/>
  <c r="F349" i="15"/>
  <c r="E349" i="15"/>
  <c r="D349" i="15"/>
  <c r="L349" i="15" s="1"/>
  <c r="C349" i="15"/>
  <c r="K348" i="15"/>
  <c r="J348" i="15"/>
  <c r="I348" i="15"/>
  <c r="H348" i="15"/>
  <c r="G348" i="15"/>
  <c r="F348" i="15"/>
  <c r="E348" i="15"/>
  <c r="D348" i="15"/>
  <c r="L348" i="15" s="1"/>
  <c r="C348" i="15"/>
  <c r="K347" i="15"/>
  <c r="J347" i="15"/>
  <c r="I347" i="15"/>
  <c r="H347" i="15"/>
  <c r="G347" i="15"/>
  <c r="F347" i="15"/>
  <c r="E347" i="15"/>
  <c r="D347" i="15"/>
  <c r="C347" i="15"/>
  <c r="K346" i="15"/>
  <c r="J346" i="15"/>
  <c r="I346" i="15"/>
  <c r="H346" i="15"/>
  <c r="G346" i="15"/>
  <c r="F346" i="15"/>
  <c r="E346" i="15"/>
  <c r="D346" i="15"/>
  <c r="C346" i="15"/>
  <c r="K345" i="15"/>
  <c r="J345" i="15"/>
  <c r="I345" i="15"/>
  <c r="H345" i="15"/>
  <c r="G345" i="15"/>
  <c r="F345" i="15"/>
  <c r="E345" i="15"/>
  <c r="D345" i="15"/>
  <c r="L345" i="15" s="1"/>
  <c r="C345" i="15"/>
  <c r="K344" i="15"/>
  <c r="J344" i="15"/>
  <c r="I344" i="15"/>
  <c r="H344" i="15"/>
  <c r="G344" i="15"/>
  <c r="F344" i="15"/>
  <c r="E344" i="15"/>
  <c r="D344" i="15"/>
  <c r="L344" i="15" s="1"/>
  <c r="C344" i="15"/>
  <c r="K343" i="15"/>
  <c r="J343" i="15"/>
  <c r="I343" i="15"/>
  <c r="H343" i="15"/>
  <c r="G343" i="15"/>
  <c r="F343" i="15"/>
  <c r="E343" i="15"/>
  <c r="D343" i="15"/>
  <c r="C343" i="15"/>
  <c r="K342" i="15"/>
  <c r="J342" i="15"/>
  <c r="I342" i="15"/>
  <c r="H342" i="15"/>
  <c r="G342" i="15"/>
  <c r="F342" i="15"/>
  <c r="E342" i="15"/>
  <c r="D342" i="15"/>
  <c r="C342" i="15"/>
  <c r="K341" i="15"/>
  <c r="J341" i="15"/>
  <c r="I341" i="15"/>
  <c r="H341" i="15"/>
  <c r="G341" i="15"/>
  <c r="F341" i="15"/>
  <c r="E341" i="15"/>
  <c r="D341" i="15"/>
  <c r="L341" i="15" s="1"/>
  <c r="C341" i="15"/>
  <c r="K340" i="15"/>
  <c r="J340" i="15"/>
  <c r="I340" i="15"/>
  <c r="H340" i="15"/>
  <c r="G340" i="15"/>
  <c r="F340" i="15"/>
  <c r="E340" i="15"/>
  <c r="D340" i="15"/>
  <c r="L340" i="15" s="1"/>
  <c r="C340" i="15"/>
  <c r="K339" i="15"/>
  <c r="J339" i="15"/>
  <c r="I339" i="15"/>
  <c r="H339" i="15"/>
  <c r="G339" i="15"/>
  <c r="F339" i="15"/>
  <c r="E339" i="15"/>
  <c r="D339" i="15"/>
  <c r="C339" i="15"/>
  <c r="K338" i="15"/>
  <c r="J338" i="15"/>
  <c r="I338" i="15"/>
  <c r="H338" i="15"/>
  <c r="G338" i="15"/>
  <c r="F338" i="15"/>
  <c r="E338" i="15"/>
  <c r="D338" i="15"/>
  <c r="C338" i="15"/>
  <c r="K337" i="15"/>
  <c r="J337" i="15"/>
  <c r="I337" i="15"/>
  <c r="H337" i="15"/>
  <c r="G337" i="15"/>
  <c r="F337" i="15"/>
  <c r="E337" i="15"/>
  <c r="D337" i="15"/>
  <c r="L337" i="15" s="1"/>
  <c r="C337" i="15"/>
  <c r="K336" i="15"/>
  <c r="L336" i="15" s="1"/>
  <c r="J336" i="15"/>
  <c r="I336" i="15"/>
  <c r="H336" i="15"/>
  <c r="G336" i="15"/>
  <c r="F336" i="15"/>
  <c r="E336" i="15"/>
  <c r="D336" i="15"/>
  <c r="C336" i="15"/>
  <c r="K335" i="15"/>
  <c r="J335" i="15"/>
  <c r="I335" i="15"/>
  <c r="H335" i="15"/>
  <c r="G335" i="15"/>
  <c r="F335" i="15"/>
  <c r="E335" i="15"/>
  <c r="D335" i="15"/>
  <c r="L335" i="15" s="1"/>
  <c r="C335" i="15"/>
  <c r="K334" i="15"/>
  <c r="J334" i="15"/>
  <c r="I334" i="15"/>
  <c r="H334" i="15"/>
  <c r="G334" i="15"/>
  <c r="F334" i="15"/>
  <c r="E334" i="15"/>
  <c r="D334" i="15"/>
  <c r="C334" i="15"/>
  <c r="K333" i="15"/>
  <c r="J333" i="15"/>
  <c r="I333" i="15"/>
  <c r="H333" i="15"/>
  <c r="G333" i="15"/>
  <c r="F333" i="15"/>
  <c r="E333" i="15"/>
  <c r="D333" i="15"/>
  <c r="L333" i="15" s="1"/>
  <c r="C333" i="15"/>
  <c r="K332" i="15"/>
  <c r="J332" i="15"/>
  <c r="I332" i="15"/>
  <c r="H332" i="15"/>
  <c r="G332" i="15"/>
  <c r="F332" i="15"/>
  <c r="E332" i="15"/>
  <c r="D332" i="15"/>
  <c r="L332" i="15" s="1"/>
  <c r="C332" i="15"/>
  <c r="K331" i="15"/>
  <c r="J331" i="15"/>
  <c r="I331" i="15"/>
  <c r="H331" i="15"/>
  <c r="G331" i="15"/>
  <c r="F331" i="15"/>
  <c r="E331" i="15"/>
  <c r="D331" i="15"/>
  <c r="C331" i="15"/>
  <c r="K330" i="15"/>
  <c r="J330" i="15"/>
  <c r="I330" i="15"/>
  <c r="H330" i="15"/>
  <c r="G330" i="15"/>
  <c r="F330" i="15"/>
  <c r="E330" i="15"/>
  <c r="D330" i="15"/>
  <c r="C330" i="15"/>
  <c r="K329" i="15"/>
  <c r="J329" i="15"/>
  <c r="I329" i="15"/>
  <c r="H329" i="15"/>
  <c r="G329" i="15"/>
  <c r="F329" i="15"/>
  <c r="E329" i="15"/>
  <c r="D329" i="15"/>
  <c r="L329" i="15" s="1"/>
  <c r="C329" i="15"/>
  <c r="K328" i="15"/>
  <c r="J328" i="15"/>
  <c r="I328" i="15"/>
  <c r="H328" i="15"/>
  <c r="G328" i="15"/>
  <c r="F328" i="15"/>
  <c r="E328" i="15"/>
  <c r="D328" i="15"/>
  <c r="L328" i="15" s="1"/>
  <c r="C328" i="15"/>
  <c r="K327" i="15"/>
  <c r="J327" i="15"/>
  <c r="I327" i="15"/>
  <c r="H327" i="15"/>
  <c r="G327" i="15"/>
  <c r="F327" i="15"/>
  <c r="E327" i="15"/>
  <c r="D327" i="15"/>
  <c r="C327" i="15"/>
  <c r="K326" i="15"/>
  <c r="J326" i="15"/>
  <c r="I326" i="15"/>
  <c r="H326" i="15"/>
  <c r="G326" i="15"/>
  <c r="F326" i="15"/>
  <c r="E326" i="15"/>
  <c r="D326" i="15"/>
  <c r="C326" i="15"/>
  <c r="K325" i="15"/>
  <c r="L325" i="15" s="1"/>
  <c r="J325" i="15"/>
  <c r="I325" i="15"/>
  <c r="H325" i="15"/>
  <c r="G325" i="15"/>
  <c r="F325" i="15"/>
  <c r="E325" i="15"/>
  <c r="D325" i="15"/>
  <c r="C325" i="15"/>
  <c r="K324" i="15"/>
  <c r="J324" i="15"/>
  <c r="I324" i="15"/>
  <c r="H324" i="15"/>
  <c r="G324" i="15"/>
  <c r="F324" i="15"/>
  <c r="E324" i="15"/>
  <c r="D324" i="15"/>
  <c r="L324" i="15" s="1"/>
  <c r="C324" i="15"/>
  <c r="K323" i="15"/>
  <c r="J323" i="15"/>
  <c r="I323" i="15"/>
  <c r="H323" i="15"/>
  <c r="G323" i="15"/>
  <c r="F323" i="15"/>
  <c r="E323" i="15"/>
  <c r="D323" i="15"/>
  <c r="C323" i="15"/>
  <c r="K322" i="15"/>
  <c r="J322" i="15"/>
  <c r="I322" i="15"/>
  <c r="H322" i="15"/>
  <c r="G322" i="15"/>
  <c r="F322" i="15"/>
  <c r="E322" i="15"/>
  <c r="D322" i="15"/>
  <c r="C322" i="15"/>
  <c r="K321" i="15"/>
  <c r="J321" i="15"/>
  <c r="I321" i="15"/>
  <c r="H321" i="15"/>
  <c r="G321" i="15"/>
  <c r="F321" i="15"/>
  <c r="E321" i="15"/>
  <c r="D321" i="15"/>
  <c r="L321" i="15" s="1"/>
  <c r="C321" i="15"/>
  <c r="K320" i="15"/>
  <c r="L320" i="15" s="1"/>
  <c r="J320" i="15"/>
  <c r="I320" i="15"/>
  <c r="H320" i="15"/>
  <c r="G320" i="15"/>
  <c r="F320" i="15"/>
  <c r="E320" i="15"/>
  <c r="D320" i="15"/>
  <c r="C320" i="15"/>
  <c r="K319" i="15"/>
  <c r="J319" i="15"/>
  <c r="I319" i="15"/>
  <c r="H319" i="15"/>
  <c r="G319" i="15"/>
  <c r="F319" i="15"/>
  <c r="E319" i="15"/>
  <c r="D319" i="15"/>
  <c r="L319" i="15" s="1"/>
  <c r="C319" i="15"/>
  <c r="K318" i="15"/>
  <c r="J318" i="15"/>
  <c r="I318" i="15"/>
  <c r="H318" i="15"/>
  <c r="G318" i="15"/>
  <c r="F318" i="15"/>
  <c r="E318" i="15"/>
  <c r="D318" i="15"/>
  <c r="C318" i="15"/>
  <c r="K317" i="15"/>
  <c r="J317" i="15"/>
  <c r="I317" i="15"/>
  <c r="H317" i="15"/>
  <c r="G317" i="15"/>
  <c r="F317" i="15"/>
  <c r="E317" i="15"/>
  <c r="D317" i="15"/>
  <c r="L317" i="15" s="1"/>
  <c r="C317" i="15"/>
  <c r="K316" i="15"/>
  <c r="J316" i="15"/>
  <c r="I316" i="15"/>
  <c r="H316" i="15"/>
  <c r="G316" i="15"/>
  <c r="F316" i="15"/>
  <c r="E316" i="15"/>
  <c r="D316" i="15"/>
  <c r="L316" i="15" s="1"/>
  <c r="C316" i="15"/>
  <c r="K315" i="15"/>
  <c r="J315" i="15"/>
  <c r="I315" i="15"/>
  <c r="H315" i="15"/>
  <c r="G315" i="15"/>
  <c r="F315" i="15"/>
  <c r="E315" i="15"/>
  <c r="D315" i="15"/>
  <c r="C315" i="15"/>
  <c r="K314" i="15"/>
  <c r="L314" i="15" s="1"/>
  <c r="J314" i="15"/>
  <c r="I314" i="15"/>
  <c r="H314" i="15"/>
  <c r="G314" i="15"/>
  <c r="F314" i="15"/>
  <c r="E314" i="15"/>
  <c r="D314" i="15"/>
  <c r="C314" i="15"/>
  <c r="K313" i="15"/>
  <c r="J313" i="15"/>
  <c r="I313" i="15"/>
  <c r="H313" i="15"/>
  <c r="G313" i="15"/>
  <c r="F313" i="15"/>
  <c r="E313" i="15"/>
  <c r="D313" i="15"/>
  <c r="L313" i="15" s="1"/>
  <c r="C313" i="15"/>
  <c r="K312" i="15"/>
  <c r="J312" i="15"/>
  <c r="I312" i="15"/>
  <c r="H312" i="15"/>
  <c r="G312" i="15"/>
  <c r="F312" i="15"/>
  <c r="E312" i="15"/>
  <c r="D312" i="15"/>
  <c r="L312" i="15" s="1"/>
  <c r="C312" i="15"/>
  <c r="K311" i="15"/>
  <c r="J311" i="15"/>
  <c r="I311" i="15"/>
  <c r="H311" i="15"/>
  <c r="G311" i="15"/>
  <c r="F311" i="15"/>
  <c r="E311" i="15"/>
  <c r="D311" i="15"/>
  <c r="C311" i="15"/>
  <c r="K310" i="15"/>
  <c r="J310" i="15"/>
  <c r="I310" i="15"/>
  <c r="H310" i="15"/>
  <c r="G310" i="15"/>
  <c r="F310" i="15"/>
  <c r="E310" i="15"/>
  <c r="D310" i="15"/>
  <c r="C310" i="15"/>
  <c r="K309" i="15"/>
  <c r="L309" i="15" s="1"/>
  <c r="J309" i="15"/>
  <c r="I309" i="15"/>
  <c r="H309" i="15"/>
  <c r="G309" i="15"/>
  <c r="F309" i="15"/>
  <c r="E309" i="15"/>
  <c r="D309" i="15"/>
  <c r="C309" i="15"/>
  <c r="K308" i="15"/>
  <c r="J308" i="15"/>
  <c r="I308" i="15"/>
  <c r="H308" i="15"/>
  <c r="G308" i="15"/>
  <c r="F308" i="15"/>
  <c r="E308" i="15"/>
  <c r="D308" i="15"/>
  <c r="L308" i="15" s="1"/>
  <c r="C308" i="15"/>
  <c r="K307" i="15"/>
  <c r="J307" i="15"/>
  <c r="I307" i="15"/>
  <c r="H307" i="15"/>
  <c r="G307" i="15"/>
  <c r="F307" i="15"/>
  <c r="E307" i="15"/>
  <c r="D307" i="15"/>
  <c r="C307" i="15"/>
  <c r="K306" i="15"/>
  <c r="J306" i="15"/>
  <c r="I306" i="15"/>
  <c r="H306" i="15"/>
  <c r="G306" i="15"/>
  <c r="F306" i="15"/>
  <c r="E306" i="15"/>
  <c r="D306" i="15"/>
  <c r="C306" i="15"/>
  <c r="K305" i="15"/>
  <c r="J305" i="15"/>
  <c r="I305" i="15"/>
  <c r="H305" i="15"/>
  <c r="G305" i="15"/>
  <c r="F305" i="15"/>
  <c r="E305" i="15"/>
  <c r="D305" i="15"/>
  <c r="L305" i="15" s="1"/>
  <c r="C305" i="15"/>
  <c r="K304" i="15"/>
  <c r="L304" i="15" s="1"/>
  <c r="J304" i="15"/>
  <c r="I304" i="15"/>
  <c r="H304" i="15"/>
  <c r="G304" i="15"/>
  <c r="F304" i="15"/>
  <c r="E304" i="15"/>
  <c r="D304" i="15"/>
  <c r="C304" i="15"/>
  <c r="K303" i="15"/>
  <c r="J303" i="15"/>
  <c r="I303" i="15"/>
  <c r="H303" i="15"/>
  <c r="G303" i="15"/>
  <c r="F303" i="15"/>
  <c r="E303" i="15"/>
  <c r="D303" i="15"/>
  <c r="L303" i="15" s="1"/>
  <c r="C303" i="15"/>
  <c r="K302" i="15"/>
  <c r="J302" i="15"/>
  <c r="I302" i="15"/>
  <c r="H302" i="15"/>
  <c r="G302" i="15"/>
  <c r="F302" i="15"/>
  <c r="E302" i="15"/>
  <c r="D302" i="15"/>
  <c r="C302" i="15"/>
  <c r="K301" i="15"/>
  <c r="J301" i="15"/>
  <c r="I301" i="15"/>
  <c r="H301" i="15"/>
  <c r="G301" i="15"/>
  <c r="F301" i="15"/>
  <c r="E301" i="15"/>
  <c r="D301" i="15"/>
  <c r="L301" i="15" s="1"/>
  <c r="C301" i="15"/>
  <c r="K300" i="15"/>
  <c r="J300" i="15"/>
  <c r="I300" i="15"/>
  <c r="H300" i="15"/>
  <c r="G300" i="15"/>
  <c r="F300" i="15"/>
  <c r="E300" i="15"/>
  <c r="D300" i="15"/>
  <c r="L300" i="15" s="1"/>
  <c r="C300" i="15"/>
  <c r="K299" i="15"/>
  <c r="J299" i="15"/>
  <c r="I299" i="15"/>
  <c r="H299" i="15"/>
  <c r="G299" i="15"/>
  <c r="F299" i="15"/>
  <c r="E299" i="15"/>
  <c r="D299" i="15"/>
  <c r="C299" i="15"/>
  <c r="K298" i="15"/>
  <c r="L298" i="15" s="1"/>
  <c r="J298" i="15"/>
  <c r="I298" i="15"/>
  <c r="H298" i="15"/>
  <c r="G298" i="15"/>
  <c r="F298" i="15"/>
  <c r="E298" i="15"/>
  <c r="D298" i="15"/>
  <c r="C298" i="15"/>
  <c r="K297" i="15"/>
  <c r="J297" i="15"/>
  <c r="I297" i="15"/>
  <c r="H297" i="15"/>
  <c r="G297" i="15"/>
  <c r="F297" i="15"/>
  <c r="E297" i="15"/>
  <c r="D297" i="15"/>
  <c r="C297" i="15"/>
  <c r="L297" i="15" s="1"/>
  <c r="K296" i="15"/>
  <c r="J296" i="15"/>
  <c r="I296" i="15"/>
  <c r="H296" i="15"/>
  <c r="G296" i="15"/>
  <c r="F296" i="15"/>
  <c r="E296" i="15"/>
  <c r="D296" i="15"/>
  <c r="L296" i="15" s="1"/>
  <c r="C296" i="15"/>
  <c r="K295" i="15"/>
  <c r="J295" i="15"/>
  <c r="I295" i="15"/>
  <c r="H295" i="15"/>
  <c r="G295" i="15"/>
  <c r="F295" i="15"/>
  <c r="E295" i="15"/>
  <c r="D295" i="15"/>
  <c r="C295" i="15"/>
  <c r="K294" i="15"/>
  <c r="J294" i="15"/>
  <c r="I294" i="15"/>
  <c r="H294" i="15"/>
  <c r="G294" i="15"/>
  <c r="F294" i="15"/>
  <c r="E294" i="15"/>
  <c r="D294" i="15"/>
  <c r="C294" i="15"/>
  <c r="K293" i="15"/>
  <c r="L293" i="15" s="1"/>
  <c r="J293" i="15"/>
  <c r="I293" i="15"/>
  <c r="H293" i="15"/>
  <c r="G293" i="15"/>
  <c r="F293" i="15"/>
  <c r="E293" i="15"/>
  <c r="D293" i="15"/>
  <c r="C293" i="15"/>
  <c r="K292" i="15"/>
  <c r="L292" i="15" s="1"/>
  <c r="J292" i="15"/>
  <c r="I292" i="15"/>
  <c r="H292" i="15"/>
  <c r="G292" i="15"/>
  <c r="F292" i="15"/>
  <c r="E292" i="15"/>
  <c r="D292" i="15"/>
  <c r="C292" i="15"/>
  <c r="K291" i="15"/>
  <c r="J291" i="15"/>
  <c r="I291" i="15"/>
  <c r="H291" i="15"/>
  <c r="G291" i="15"/>
  <c r="F291" i="15"/>
  <c r="E291" i="15"/>
  <c r="D291" i="15"/>
  <c r="C291" i="15"/>
  <c r="K290" i="15"/>
  <c r="J290" i="15"/>
  <c r="I290" i="15"/>
  <c r="H290" i="15"/>
  <c r="G290" i="15"/>
  <c r="F290" i="15"/>
  <c r="E290" i="15"/>
  <c r="D290" i="15"/>
  <c r="C290" i="15"/>
  <c r="K289" i="15"/>
  <c r="J289" i="15"/>
  <c r="I289" i="15"/>
  <c r="H289" i="15"/>
  <c r="G289" i="15"/>
  <c r="F289" i="15"/>
  <c r="E289" i="15"/>
  <c r="D289" i="15"/>
  <c r="L289" i="15" s="1"/>
  <c r="C289" i="15"/>
  <c r="K288" i="15"/>
  <c r="L288" i="15" s="1"/>
  <c r="J288" i="15"/>
  <c r="I288" i="15"/>
  <c r="H288" i="15"/>
  <c r="G288" i="15"/>
  <c r="F288" i="15"/>
  <c r="E288" i="15"/>
  <c r="D288" i="15"/>
  <c r="C288" i="15"/>
  <c r="K287" i="15"/>
  <c r="J287" i="15"/>
  <c r="I287" i="15"/>
  <c r="H287" i="15"/>
  <c r="G287" i="15"/>
  <c r="F287" i="15"/>
  <c r="E287" i="15"/>
  <c r="D287" i="15"/>
  <c r="L287" i="15" s="1"/>
  <c r="C287" i="15"/>
  <c r="K286" i="15"/>
  <c r="J286" i="15"/>
  <c r="I286" i="15"/>
  <c r="H286" i="15"/>
  <c r="G286" i="15"/>
  <c r="F286" i="15"/>
  <c r="E286" i="15"/>
  <c r="D286" i="15"/>
  <c r="C286" i="15"/>
  <c r="K285" i="15"/>
  <c r="J285" i="15"/>
  <c r="I285" i="15"/>
  <c r="H285" i="15"/>
  <c r="G285" i="15"/>
  <c r="F285" i="15"/>
  <c r="E285" i="15"/>
  <c r="D285" i="15"/>
  <c r="L285" i="15" s="1"/>
  <c r="C285" i="15"/>
  <c r="K284" i="15"/>
  <c r="J284" i="15"/>
  <c r="I284" i="15"/>
  <c r="H284" i="15"/>
  <c r="G284" i="15"/>
  <c r="F284" i="15"/>
  <c r="E284" i="15"/>
  <c r="D284" i="15"/>
  <c r="L284" i="15" s="1"/>
  <c r="C284" i="15"/>
  <c r="K283" i="15"/>
  <c r="J283" i="15"/>
  <c r="I283" i="15"/>
  <c r="H283" i="15"/>
  <c r="G283" i="15"/>
  <c r="F283" i="15"/>
  <c r="E283" i="15"/>
  <c r="D283" i="15"/>
  <c r="C283" i="15"/>
  <c r="K282" i="15"/>
  <c r="L282" i="15" s="1"/>
  <c r="J282" i="15"/>
  <c r="I282" i="15"/>
  <c r="H282" i="15"/>
  <c r="G282" i="15"/>
  <c r="F282" i="15"/>
  <c r="E282" i="15"/>
  <c r="D282" i="15"/>
  <c r="C282" i="15"/>
  <c r="K281" i="15"/>
  <c r="L281" i="15" s="1"/>
  <c r="J281" i="15"/>
  <c r="I281" i="15"/>
  <c r="H281" i="15"/>
  <c r="G281" i="15"/>
  <c r="F281" i="15"/>
  <c r="E281" i="15"/>
  <c r="D281" i="15"/>
  <c r="C281" i="15"/>
  <c r="K280" i="15"/>
  <c r="J280" i="15"/>
  <c r="I280" i="15"/>
  <c r="H280" i="15"/>
  <c r="G280" i="15"/>
  <c r="F280" i="15"/>
  <c r="E280" i="15"/>
  <c r="D280" i="15"/>
  <c r="L280" i="15" s="1"/>
  <c r="C280" i="15"/>
  <c r="K279" i="15"/>
  <c r="J279" i="15"/>
  <c r="I279" i="15"/>
  <c r="H279" i="15"/>
  <c r="G279" i="15"/>
  <c r="F279" i="15"/>
  <c r="E279" i="15"/>
  <c r="D279" i="15"/>
  <c r="C279" i="15"/>
  <c r="K278" i="15"/>
  <c r="J278" i="15"/>
  <c r="I278" i="15"/>
  <c r="H278" i="15"/>
  <c r="G278" i="15"/>
  <c r="F278" i="15"/>
  <c r="E278" i="15"/>
  <c r="D278" i="15"/>
  <c r="C278" i="15"/>
  <c r="K277" i="15"/>
  <c r="L277" i="15" s="1"/>
  <c r="J277" i="15"/>
  <c r="I277" i="15"/>
  <c r="H277" i="15"/>
  <c r="G277" i="15"/>
  <c r="F277" i="15"/>
  <c r="E277" i="15"/>
  <c r="D277" i="15"/>
  <c r="C277" i="15"/>
  <c r="K276" i="15"/>
  <c r="L276" i="15" s="1"/>
  <c r="J276" i="15"/>
  <c r="I276" i="15"/>
  <c r="H276" i="15"/>
  <c r="G276" i="15"/>
  <c r="F276" i="15"/>
  <c r="E276" i="15"/>
  <c r="D276" i="15"/>
  <c r="C276" i="15"/>
  <c r="K275" i="15"/>
  <c r="J275" i="15"/>
  <c r="I275" i="15"/>
  <c r="H275" i="15"/>
  <c r="G275" i="15"/>
  <c r="F275" i="15"/>
  <c r="E275" i="15"/>
  <c r="D275" i="15"/>
  <c r="C275" i="15"/>
  <c r="K274" i="15"/>
  <c r="J274" i="15"/>
  <c r="I274" i="15"/>
  <c r="H274" i="15"/>
  <c r="G274" i="15"/>
  <c r="F274" i="15"/>
  <c r="E274" i="15"/>
  <c r="D274" i="15"/>
  <c r="C274" i="15"/>
  <c r="K273" i="15"/>
  <c r="J273" i="15"/>
  <c r="I273" i="15"/>
  <c r="H273" i="15"/>
  <c r="G273" i="15"/>
  <c r="F273" i="15"/>
  <c r="E273" i="15"/>
  <c r="D273" i="15"/>
  <c r="L273" i="15" s="1"/>
  <c r="C273" i="15"/>
  <c r="K272" i="15"/>
  <c r="L272" i="15" s="1"/>
  <c r="J272" i="15"/>
  <c r="I272" i="15"/>
  <c r="H272" i="15"/>
  <c r="G272" i="15"/>
  <c r="F272" i="15"/>
  <c r="E272" i="15"/>
  <c r="D272" i="15"/>
  <c r="C272" i="15"/>
  <c r="K271" i="15"/>
  <c r="J271" i="15"/>
  <c r="I271" i="15"/>
  <c r="H271" i="15"/>
  <c r="G271" i="15"/>
  <c r="F271" i="15"/>
  <c r="E271" i="15"/>
  <c r="D271" i="15"/>
  <c r="L271" i="15" s="1"/>
  <c r="C271" i="15"/>
  <c r="K270" i="15"/>
  <c r="J270" i="15"/>
  <c r="I270" i="15"/>
  <c r="H270" i="15"/>
  <c r="G270" i="15"/>
  <c r="F270" i="15"/>
  <c r="E270" i="15"/>
  <c r="D270" i="15"/>
  <c r="C270" i="15"/>
  <c r="K269" i="15"/>
  <c r="J269" i="15"/>
  <c r="I269" i="15"/>
  <c r="H269" i="15"/>
  <c r="G269" i="15"/>
  <c r="F269" i="15"/>
  <c r="E269" i="15"/>
  <c r="D269" i="15"/>
  <c r="L269" i="15" s="1"/>
  <c r="C269" i="15"/>
  <c r="K268" i="15"/>
  <c r="J268" i="15"/>
  <c r="I268" i="15"/>
  <c r="H268" i="15"/>
  <c r="G268" i="15"/>
  <c r="F268" i="15"/>
  <c r="E268" i="15"/>
  <c r="D268" i="15"/>
  <c r="L268" i="15" s="1"/>
  <c r="C268" i="15"/>
  <c r="K267" i="15"/>
  <c r="J267" i="15"/>
  <c r="I267" i="15"/>
  <c r="H267" i="15"/>
  <c r="G267" i="15"/>
  <c r="F267" i="15"/>
  <c r="E267" i="15"/>
  <c r="D267" i="15"/>
  <c r="C267" i="15"/>
  <c r="K266" i="15"/>
  <c r="L266" i="15" s="1"/>
  <c r="J266" i="15"/>
  <c r="I266" i="15"/>
  <c r="H266" i="15"/>
  <c r="G266" i="15"/>
  <c r="F266" i="15"/>
  <c r="E266" i="15"/>
  <c r="D266" i="15"/>
  <c r="C266" i="15"/>
  <c r="K265" i="15"/>
  <c r="L265" i="15" s="1"/>
  <c r="J265" i="15"/>
  <c r="I265" i="15"/>
  <c r="H265" i="15"/>
  <c r="G265" i="15"/>
  <c r="F265" i="15"/>
  <c r="E265" i="15"/>
  <c r="D265" i="15"/>
  <c r="C265" i="15"/>
  <c r="K264" i="15"/>
  <c r="J264" i="15"/>
  <c r="I264" i="15"/>
  <c r="H264" i="15"/>
  <c r="G264" i="15"/>
  <c r="F264" i="15"/>
  <c r="E264" i="15"/>
  <c r="D264" i="15"/>
  <c r="L264" i="15" s="1"/>
  <c r="C264" i="15"/>
  <c r="K263" i="15"/>
  <c r="J263" i="15"/>
  <c r="I263" i="15"/>
  <c r="H263" i="15"/>
  <c r="G263" i="15"/>
  <c r="F263" i="15"/>
  <c r="E263" i="15"/>
  <c r="D263" i="15"/>
  <c r="C263" i="15"/>
  <c r="K262" i="15"/>
  <c r="J262" i="15"/>
  <c r="I262" i="15"/>
  <c r="H262" i="15"/>
  <c r="G262" i="15"/>
  <c r="F262" i="15"/>
  <c r="E262" i="15"/>
  <c r="D262" i="15"/>
  <c r="C262" i="15"/>
  <c r="K261" i="15"/>
  <c r="L261" i="15" s="1"/>
  <c r="J261" i="15"/>
  <c r="I261" i="15"/>
  <c r="H261" i="15"/>
  <c r="G261" i="15"/>
  <c r="F261" i="15"/>
  <c r="E261" i="15"/>
  <c r="D261" i="15"/>
  <c r="C261" i="15"/>
  <c r="K260" i="15"/>
  <c r="L260" i="15" s="1"/>
  <c r="J260" i="15"/>
  <c r="I260" i="15"/>
  <c r="H260" i="15"/>
  <c r="G260" i="15"/>
  <c r="F260" i="15"/>
  <c r="E260" i="15"/>
  <c r="D260" i="15"/>
  <c r="C260" i="15"/>
  <c r="K259" i="15"/>
  <c r="J259" i="15"/>
  <c r="I259" i="15"/>
  <c r="H259" i="15"/>
  <c r="G259" i="15"/>
  <c r="F259" i="15"/>
  <c r="E259" i="15"/>
  <c r="D259" i="15"/>
  <c r="C259" i="15"/>
  <c r="K258" i="15"/>
  <c r="J258" i="15"/>
  <c r="I258" i="15"/>
  <c r="H258" i="15"/>
  <c r="G258" i="15"/>
  <c r="F258" i="15"/>
  <c r="E258" i="15"/>
  <c r="D258" i="15"/>
  <c r="C258" i="15"/>
  <c r="K257" i="15"/>
  <c r="L257" i="15" s="1"/>
  <c r="J257" i="15"/>
  <c r="I257" i="15"/>
  <c r="H257" i="15"/>
  <c r="G257" i="15"/>
  <c r="F257" i="15"/>
  <c r="E257" i="15"/>
  <c r="D257" i="15"/>
  <c r="C257" i="15"/>
  <c r="K256" i="15"/>
  <c r="L256" i="15" s="1"/>
  <c r="J256" i="15"/>
  <c r="I256" i="15"/>
  <c r="H256" i="15"/>
  <c r="G256" i="15"/>
  <c r="F256" i="15"/>
  <c r="E256" i="15"/>
  <c r="D256" i="15"/>
  <c r="C256" i="15"/>
  <c r="K255" i="15"/>
  <c r="J255" i="15"/>
  <c r="I255" i="15"/>
  <c r="H255" i="15"/>
  <c r="G255" i="15"/>
  <c r="F255" i="15"/>
  <c r="E255" i="15"/>
  <c r="D255" i="15"/>
  <c r="L255" i="15" s="1"/>
  <c r="C255" i="15"/>
  <c r="K254" i="15"/>
  <c r="J254" i="15"/>
  <c r="I254" i="15"/>
  <c r="H254" i="15"/>
  <c r="G254" i="15"/>
  <c r="F254" i="15"/>
  <c r="E254" i="15"/>
  <c r="D254" i="15"/>
  <c r="C254" i="15"/>
  <c r="K253" i="15"/>
  <c r="J253" i="15"/>
  <c r="I253" i="15"/>
  <c r="H253" i="15"/>
  <c r="G253" i="15"/>
  <c r="F253" i="15"/>
  <c r="E253" i="15"/>
  <c r="D253" i="15"/>
  <c r="L253" i="15" s="1"/>
  <c r="C253" i="15"/>
  <c r="K252" i="15"/>
  <c r="L252" i="15" s="1"/>
  <c r="J252" i="15"/>
  <c r="I252" i="15"/>
  <c r="H252" i="15"/>
  <c r="G252" i="15"/>
  <c r="F252" i="15"/>
  <c r="E252" i="15"/>
  <c r="D252" i="15"/>
  <c r="C252" i="15"/>
  <c r="K251" i="15"/>
  <c r="J251" i="15"/>
  <c r="I251" i="15"/>
  <c r="H251" i="15"/>
  <c r="G251" i="15"/>
  <c r="F251" i="15"/>
  <c r="E251" i="15"/>
  <c r="D251" i="15"/>
  <c r="C251" i="15"/>
  <c r="K250" i="15"/>
  <c r="L250" i="15" s="1"/>
  <c r="J250" i="15"/>
  <c r="I250" i="15"/>
  <c r="H250" i="15"/>
  <c r="G250" i="15"/>
  <c r="F250" i="15"/>
  <c r="E250" i="15"/>
  <c r="D250" i="15"/>
  <c r="C250" i="15"/>
  <c r="K249" i="15"/>
  <c r="L249" i="15" s="1"/>
  <c r="J249" i="15"/>
  <c r="I249" i="15"/>
  <c r="H249" i="15"/>
  <c r="G249" i="15"/>
  <c r="F249" i="15"/>
  <c r="E249" i="15"/>
  <c r="D249" i="15"/>
  <c r="C249" i="15"/>
  <c r="K248" i="15"/>
  <c r="J248" i="15"/>
  <c r="I248" i="15"/>
  <c r="H248" i="15"/>
  <c r="G248" i="15"/>
  <c r="F248" i="15"/>
  <c r="E248" i="15"/>
  <c r="D248" i="15"/>
  <c r="L248" i="15" s="1"/>
  <c r="C248" i="15"/>
  <c r="K247" i="15"/>
  <c r="J247" i="15"/>
  <c r="I247" i="15"/>
  <c r="H247" i="15"/>
  <c r="G247" i="15"/>
  <c r="F247" i="15"/>
  <c r="E247" i="15"/>
  <c r="D247" i="15"/>
  <c r="C247" i="15"/>
  <c r="K246" i="15"/>
  <c r="J246" i="15"/>
  <c r="I246" i="15"/>
  <c r="H246" i="15"/>
  <c r="G246" i="15"/>
  <c r="F246" i="15"/>
  <c r="E246" i="15"/>
  <c r="D246" i="15"/>
  <c r="C246" i="15"/>
  <c r="K245" i="15"/>
  <c r="L245" i="15" s="1"/>
  <c r="J245" i="15"/>
  <c r="I245" i="15"/>
  <c r="H245" i="15"/>
  <c r="G245" i="15"/>
  <c r="F245" i="15"/>
  <c r="E245" i="15"/>
  <c r="D245" i="15"/>
  <c r="C245" i="15"/>
  <c r="K244" i="15"/>
  <c r="L244" i="15" s="1"/>
  <c r="J244" i="15"/>
  <c r="I244" i="15"/>
  <c r="H244" i="15"/>
  <c r="G244" i="15"/>
  <c r="F244" i="15"/>
  <c r="E244" i="15"/>
  <c r="D244" i="15"/>
  <c r="C244" i="15"/>
  <c r="K243" i="15"/>
  <c r="J243" i="15"/>
  <c r="I243" i="15"/>
  <c r="H243" i="15"/>
  <c r="G243" i="15"/>
  <c r="F243" i="15"/>
  <c r="E243" i="15"/>
  <c r="D243" i="15"/>
  <c r="C243" i="15"/>
  <c r="K242" i="15"/>
  <c r="J242" i="15"/>
  <c r="I242" i="15"/>
  <c r="H242" i="15"/>
  <c r="G242" i="15"/>
  <c r="F242" i="15"/>
  <c r="E242" i="15"/>
  <c r="D242" i="15"/>
  <c r="C242" i="15"/>
  <c r="K241" i="15"/>
  <c r="L241" i="15" s="1"/>
  <c r="J241" i="15"/>
  <c r="I241" i="15"/>
  <c r="H241" i="15"/>
  <c r="G241" i="15"/>
  <c r="F241" i="15"/>
  <c r="E241" i="15"/>
  <c r="D241" i="15"/>
  <c r="C241" i="15"/>
  <c r="K240" i="15"/>
  <c r="L240" i="15" s="1"/>
  <c r="J240" i="15"/>
  <c r="I240" i="15"/>
  <c r="H240" i="15"/>
  <c r="G240" i="15"/>
  <c r="F240" i="15"/>
  <c r="E240" i="15"/>
  <c r="D240" i="15"/>
  <c r="C240" i="15"/>
  <c r="K239" i="15"/>
  <c r="J239" i="15"/>
  <c r="I239" i="15"/>
  <c r="H239" i="15"/>
  <c r="G239" i="15"/>
  <c r="F239" i="15"/>
  <c r="E239" i="15"/>
  <c r="D239" i="15"/>
  <c r="L239" i="15" s="1"/>
  <c r="C239" i="15"/>
  <c r="K238" i="15"/>
  <c r="L238" i="15" s="1"/>
  <c r="J238" i="15"/>
  <c r="I238" i="15"/>
  <c r="H238" i="15"/>
  <c r="G238" i="15"/>
  <c r="F238" i="15"/>
  <c r="E238" i="15"/>
  <c r="D238" i="15"/>
  <c r="C238" i="15"/>
  <c r="K237" i="15"/>
  <c r="J237" i="15"/>
  <c r="I237" i="15"/>
  <c r="H237" i="15"/>
  <c r="G237" i="15"/>
  <c r="F237" i="15"/>
  <c r="E237" i="15"/>
  <c r="D237" i="15"/>
  <c r="L237" i="15" s="1"/>
  <c r="C237" i="15"/>
  <c r="K236" i="15"/>
  <c r="L236" i="15" s="1"/>
  <c r="J236" i="15"/>
  <c r="I236" i="15"/>
  <c r="H236" i="15"/>
  <c r="G236" i="15"/>
  <c r="F236" i="15"/>
  <c r="E236" i="15"/>
  <c r="D236" i="15"/>
  <c r="C236" i="15"/>
  <c r="K235" i="15"/>
  <c r="J235" i="15"/>
  <c r="I235" i="15"/>
  <c r="H235" i="15"/>
  <c r="G235" i="15"/>
  <c r="F235" i="15"/>
  <c r="E235" i="15"/>
  <c r="D235" i="15"/>
  <c r="C235" i="15"/>
  <c r="K234" i="15"/>
  <c r="L234" i="15" s="1"/>
  <c r="J234" i="15"/>
  <c r="I234" i="15"/>
  <c r="H234" i="15"/>
  <c r="G234" i="15"/>
  <c r="F234" i="15"/>
  <c r="E234" i="15"/>
  <c r="D234" i="15"/>
  <c r="C234" i="15"/>
  <c r="K233" i="15"/>
  <c r="L233" i="15" s="1"/>
  <c r="J233" i="15"/>
  <c r="I233" i="15"/>
  <c r="H233" i="15"/>
  <c r="G233" i="15"/>
  <c r="F233" i="15"/>
  <c r="E233" i="15"/>
  <c r="D233" i="15"/>
  <c r="C233" i="15"/>
  <c r="K232" i="15"/>
  <c r="J232" i="15"/>
  <c r="I232" i="15"/>
  <c r="H232" i="15"/>
  <c r="G232" i="15"/>
  <c r="F232" i="15"/>
  <c r="E232" i="15"/>
  <c r="D232" i="15"/>
  <c r="L232" i="15" s="1"/>
  <c r="C232" i="15"/>
  <c r="K231" i="15"/>
  <c r="J231" i="15"/>
  <c r="I231" i="15"/>
  <c r="H231" i="15"/>
  <c r="G231" i="15"/>
  <c r="F231" i="15"/>
  <c r="E231" i="15"/>
  <c r="D231" i="15"/>
  <c r="C231" i="15"/>
  <c r="K230" i="15"/>
  <c r="J230" i="15"/>
  <c r="I230" i="15"/>
  <c r="H230" i="15"/>
  <c r="G230" i="15"/>
  <c r="F230" i="15"/>
  <c r="E230" i="15"/>
  <c r="D230" i="15"/>
  <c r="C230" i="15"/>
  <c r="K229" i="15"/>
  <c r="L229" i="15" s="1"/>
  <c r="J229" i="15"/>
  <c r="I229" i="15"/>
  <c r="H229" i="15"/>
  <c r="G229" i="15"/>
  <c r="F229" i="15"/>
  <c r="E229" i="15"/>
  <c r="D229" i="15"/>
  <c r="C229" i="15"/>
  <c r="K228" i="15"/>
  <c r="L228" i="15" s="1"/>
  <c r="J228" i="15"/>
  <c r="I228" i="15"/>
  <c r="H228" i="15"/>
  <c r="G228" i="15"/>
  <c r="F228" i="15"/>
  <c r="E228" i="15"/>
  <c r="D228" i="15"/>
  <c r="C228" i="15"/>
  <c r="K227" i="15"/>
  <c r="J227" i="15"/>
  <c r="I227" i="15"/>
  <c r="H227" i="15"/>
  <c r="G227" i="15"/>
  <c r="F227" i="15"/>
  <c r="E227" i="15"/>
  <c r="D227" i="15"/>
  <c r="C227" i="15"/>
  <c r="K226" i="15"/>
  <c r="J226" i="15"/>
  <c r="I226" i="15"/>
  <c r="H226" i="15"/>
  <c r="G226" i="15"/>
  <c r="F226" i="15"/>
  <c r="E226" i="15"/>
  <c r="D226" i="15"/>
  <c r="C226" i="15"/>
  <c r="K225" i="15"/>
  <c r="L225" i="15" s="1"/>
  <c r="J225" i="15"/>
  <c r="I225" i="15"/>
  <c r="H225" i="15"/>
  <c r="G225" i="15"/>
  <c r="F225" i="15"/>
  <c r="E225" i="15"/>
  <c r="D225" i="15"/>
  <c r="C225" i="15"/>
  <c r="K224" i="15"/>
  <c r="L224" i="15" s="1"/>
  <c r="J224" i="15"/>
  <c r="I224" i="15"/>
  <c r="H224" i="15"/>
  <c r="G224" i="15"/>
  <c r="F224" i="15"/>
  <c r="E224" i="15"/>
  <c r="D224" i="15"/>
  <c r="C224" i="15"/>
  <c r="K223" i="15"/>
  <c r="J223" i="15"/>
  <c r="I223" i="15"/>
  <c r="H223" i="15"/>
  <c r="G223" i="15"/>
  <c r="F223" i="15"/>
  <c r="E223" i="15"/>
  <c r="D223" i="15"/>
  <c r="L223" i="15" s="1"/>
  <c r="C223" i="15"/>
  <c r="K222" i="15"/>
  <c r="L222" i="15" s="1"/>
  <c r="J222" i="15"/>
  <c r="I222" i="15"/>
  <c r="H222" i="15"/>
  <c r="G222" i="15"/>
  <c r="F222" i="15"/>
  <c r="E222" i="15"/>
  <c r="D222" i="15"/>
  <c r="C222" i="15"/>
  <c r="K221" i="15"/>
  <c r="J221" i="15"/>
  <c r="I221" i="15"/>
  <c r="H221" i="15"/>
  <c r="G221" i="15"/>
  <c r="F221" i="15"/>
  <c r="E221" i="15"/>
  <c r="D221" i="15"/>
  <c r="L221" i="15" s="1"/>
  <c r="C221" i="15"/>
  <c r="K220" i="15"/>
  <c r="L220" i="15" s="1"/>
  <c r="J220" i="15"/>
  <c r="I220" i="15"/>
  <c r="H220" i="15"/>
  <c r="G220" i="15"/>
  <c r="F220" i="15"/>
  <c r="E220" i="15"/>
  <c r="D220" i="15"/>
  <c r="C220" i="15"/>
  <c r="K219" i="15"/>
  <c r="J219" i="15"/>
  <c r="I219" i="15"/>
  <c r="H219" i="15"/>
  <c r="G219" i="15"/>
  <c r="F219" i="15"/>
  <c r="E219" i="15"/>
  <c r="D219" i="15"/>
  <c r="C219" i="15"/>
  <c r="K218" i="15"/>
  <c r="L218" i="15" s="1"/>
  <c r="J218" i="15"/>
  <c r="I218" i="15"/>
  <c r="H218" i="15"/>
  <c r="G218" i="15"/>
  <c r="F218" i="15"/>
  <c r="E218" i="15"/>
  <c r="D218" i="15"/>
  <c r="C218" i="15"/>
  <c r="K217" i="15"/>
  <c r="L217" i="15" s="1"/>
  <c r="J217" i="15"/>
  <c r="I217" i="15"/>
  <c r="H217" i="15"/>
  <c r="G217" i="15"/>
  <c r="F217" i="15"/>
  <c r="E217" i="15"/>
  <c r="D217" i="15"/>
  <c r="C217" i="15"/>
  <c r="K216" i="15"/>
  <c r="J216" i="15"/>
  <c r="I216" i="15"/>
  <c r="H216" i="15"/>
  <c r="G216" i="15"/>
  <c r="F216" i="15"/>
  <c r="E216" i="15"/>
  <c r="D216" i="15"/>
  <c r="L216" i="15" s="1"/>
  <c r="C216" i="15"/>
  <c r="K215" i="15"/>
  <c r="J215" i="15"/>
  <c r="I215" i="15"/>
  <c r="H215" i="15"/>
  <c r="G215" i="15"/>
  <c r="F215" i="15"/>
  <c r="E215" i="15"/>
  <c r="D215" i="15"/>
  <c r="C215" i="15"/>
  <c r="K214" i="15"/>
  <c r="J214" i="15"/>
  <c r="I214" i="15"/>
  <c r="H214" i="15"/>
  <c r="G214" i="15"/>
  <c r="F214" i="15"/>
  <c r="E214" i="15"/>
  <c r="D214" i="15"/>
  <c r="C214" i="15"/>
  <c r="K213" i="15"/>
  <c r="L213" i="15" s="1"/>
  <c r="J213" i="15"/>
  <c r="I213" i="15"/>
  <c r="H213" i="15"/>
  <c r="G213" i="15"/>
  <c r="F213" i="15"/>
  <c r="E213" i="15"/>
  <c r="D213" i="15"/>
  <c r="C213" i="15"/>
  <c r="K212" i="15"/>
  <c r="L212" i="15" s="1"/>
  <c r="J212" i="15"/>
  <c r="I212" i="15"/>
  <c r="H212" i="15"/>
  <c r="G212" i="15"/>
  <c r="F212" i="15"/>
  <c r="E212" i="15"/>
  <c r="D212" i="15"/>
  <c r="C212" i="15"/>
  <c r="K211" i="15"/>
  <c r="J211" i="15"/>
  <c r="I211" i="15"/>
  <c r="H211" i="15"/>
  <c r="G211" i="15"/>
  <c r="F211" i="15"/>
  <c r="E211" i="15"/>
  <c r="D211" i="15"/>
  <c r="C211" i="15"/>
  <c r="K210" i="15"/>
  <c r="J210" i="15"/>
  <c r="I210" i="15"/>
  <c r="H210" i="15"/>
  <c r="G210" i="15"/>
  <c r="F210" i="15"/>
  <c r="E210" i="15"/>
  <c r="D210" i="15"/>
  <c r="C210" i="15"/>
  <c r="K209" i="15"/>
  <c r="L209" i="15" s="1"/>
  <c r="J209" i="15"/>
  <c r="I209" i="15"/>
  <c r="H209" i="15"/>
  <c r="G209" i="15"/>
  <c r="F209" i="15"/>
  <c r="E209" i="15"/>
  <c r="D209" i="15"/>
  <c r="C209" i="15"/>
  <c r="K208" i="15"/>
  <c r="L208" i="15" s="1"/>
  <c r="J208" i="15"/>
  <c r="I208" i="15"/>
  <c r="H208" i="15"/>
  <c r="G208" i="15"/>
  <c r="F208" i="15"/>
  <c r="E208" i="15"/>
  <c r="D208" i="15"/>
  <c r="C208" i="15"/>
  <c r="K207" i="15"/>
  <c r="J207" i="15"/>
  <c r="I207" i="15"/>
  <c r="H207" i="15"/>
  <c r="G207" i="15"/>
  <c r="F207" i="15"/>
  <c r="E207" i="15"/>
  <c r="D207" i="15"/>
  <c r="L207" i="15" s="1"/>
  <c r="C207" i="15"/>
  <c r="K206" i="15"/>
  <c r="L206" i="15" s="1"/>
  <c r="J206" i="15"/>
  <c r="I206" i="15"/>
  <c r="H206" i="15"/>
  <c r="G206" i="15"/>
  <c r="F206" i="15"/>
  <c r="E206" i="15"/>
  <c r="D206" i="15"/>
  <c r="C206" i="15"/>
  <c r="K205" i="15"/>
  <c r="J205" i="15"/>
  <c r="I205" i="15"/>
  <c r="H205" i="15"/>
  <c r="G205" i="15"/>
  <c r="F205" i="15"/>
  <c r="E205" i="15"/>
  <c r="D205" i="15"/>
  <c r="L205" i="15" s="1"/>
  <c r="C205" i="15"/>
  <c r="K204" i="15"/>
  <c r="L204" i="15" s="1"/>
  <c r="J204" i="15"/>
  <c r="I204" i="15"/>
  <c r="H204" i="15"/>
  <c r="G204" i="15"/>
  <c r="F204" i="15"/>
  <c r="E204" i="15"/>
  <c r="D204" i="15"/>
  <c r="C204" i="15"/>
  <c r="K203" i="15"/>
  <c r="J203" i="15"/>
  <c r="I203" i="15"/>
  <c r="H203" i="15"/>
  <c r="G203" i="15"/>
  <c r="F203" i="15"/>
  <c r="E203" i="15"/>
  <c r="D203" i="15"/>
  <c r="C203" i="15"/>
  <c r="K202" i="15"/>
  <c r="L202" i="15" s="1"/>
  <c r="J202" i="15"/>
  <c r="I202" i="15"/>
  <c r="H202" i="15"/>
  <c r="G202" i="15"/>
  <c r="F202" i="15"/>
  <c r="E202" i="15"/>
  <c r="D202" i="15"/>
  <c r="C202" i="15"/>
  <c r="K201" i="15"/>
  <c r="L201" i="15" s="1"/>
  <c r="J201" i="15"/>
  <c r="I201" i="15"/>
  <c r="H201" i="15"/>
  <c r="G201" i="15"/>
  <c r="F201" i="15"/>
  <c r="E201" i="15"/>
  <c r="D201" i="15"/>
  <c r="C201" i="15"/>
  <c r="K200" i="15"/>
  <c r="J200" i="15"/>
  <c r="I200" i="15"/>
  <c r="H200" i="15"/>
  <c r="G200" i="15"/>
  <c r="F200" i="15"/>
  <c r="E200" i="15"/>
  <c r="D200" i="15"/>
  <c r="L200" i="15" s="1"/>
  <c r="C200" i="15"/>
  <c r="K199" i="15"/>
  <c r="J199" i="15"/>
  <c r="I199" i="15"/>
  <c r="H199" i="15"/>
  <c r="G199" i="15"/>
  <c r="F199" i="15"/>
  <c r="E199" i="15"/>
  <c r="D199" i="15"/>
  <c r="C199" i="15"/>
  <c r="K198" i="15"/>
  <c r="J198" i="15"/>
  <c r="I198" i="15"/>
  <c r="H198" i="15"/>
  <c r="G198" i="15"/>
  <c r="F198" i="15"/>
  <c r="E198" i="15"/>
  <c r="D198" i="15"/>
  <c r="C198" i="15"/>
  <c r="K197" i="15"/>
  <c r="L197" i="15" s="1"/>
  <c r="J197" i="15"/>
  <c r="I197" i="15"/>
  <c r="H197" i="15"/>
  <c r="G197" i="15"/>
  <c r="F197" i="15"/>
  <c r="E197" i="15"/>
  <c r="D197" i="15"/>
  <c r="C197" i="15"/>
  <c r="K196" i="15"/>
  <c r="L196" i="15" s="1"/>
  <c r="J196" i="15"/>
  <c r="I196" i="15"/>
  <c r="H196" i="15"/>
  <c r="G196" i="15"/>
  <c r="F196" i="15"/>
  <c r="E196" i="15"/>
  <c r="D196" i="15"/>
  <c r="C196" i="15"/>
  <c r="K195" i="15"/>
  <c r="J195" i="15"/>
  <c r="I195" i="15"/>
  <c r="H195" i="15"/>
  <c r="G195" i="15"/>
  <c r="F195" i="15"/>
  <c r="E195" i="15"/>
  <c r="D195" i="15"/>
  <c r="C195" i="15"/>
  <c r="K194" i="15"/>
  <c r="J194" i="15"/>
  <c r="I194" i="15"/>
  <c r="H194" i="15"/>
  <c r="G194" i="15"/>
  <c r="F194" i="15"/>
  <c r="E194" i="15"/>
  <c r="D194" i="15"/>
  <c r="C194" i="15"/>
  <c r="K193" i="15"/>
  <c r="L193" i="15" s="1"/>
  <c r="J193" i="15"/>
  <c r="I193" i="15"/>
  <c r="H193" i="15"/>
  <c r="G193" i="15"/>
  <c r="F193" i="15"/>
  <c r="E193" i="15"/>
  <c r="D193" i="15"/>
  <c r="C193" i="15"/>
  <c r="K192" i="15"/>
  <c r="L192" i="15" s="1"/>
  <c r="J192" i="15"/>
  <c r="I192" i="15"/>
  <c r="H192" i="15"/>
  <c r="G192" i="15"/>
  <c r="F192" i="15"/>
  <c r="E192" i="15"/>
  <c r="D192" i="15"/>
  <c r="C192" i="15"/>
  <c r="K191" i="15"/>
  <c r="J191" i="15"/>
  <c r="I191" i="15"/>
  <c r="H191" i="15"/>
  <c r="G191" i="15"/>
  <c r="F191" i="15"/>
  <c r="E191" i="15"/>
  <c r="D191" i="15"/>
  <c r="L191" i="15" s="1"/>
  <c r="C191" i="15"/>
  <c r="K190" i="15"/>
  <c r="L190" i="15" s="1"/>
  <c r="J190" i="15"/>
  <c r="I190" i="15"/>
  <c r="H190" i="15"/>
  <c r="G190" i="15"/>
  <c r="F190" i="15"/>
  <c r="E190" i="15"/>
  <c r="D190" i="15"/>
  <c r="C190" i="15"/>
  <c r="K189" i="15"/>
  <c r="J189" i="15"/>
  <c r="I189" i="15"/>
  <c r="H189" i="15"/>
  <c r="G189" i="15"/>
  <c r="F189" i="15"/>
  <c r="E189" i="15"/>
  <c r="D189" i="15"/>
  <c r="L189" i="15" s="1"/>
  <c r="C189" i="15"/>
  <c r="K188" i="15"/>
  <c r="L188" i="15" s="1"/>
  <c r="J188" i="15"/>
  <c r="I188" i="15"/>
  <c r="H188" i="15"/>
  <c r="G188" i="15"/>
  <c r="F188" i="15"/>
  <c r="E188" i="15"/>
  <c r="D188" i="15"/>
  <c r="C188" i="15"/>
  <c r="K187" i="15"/>
  <c r="J187" i="15"/>
  <c r="I187" i="15"/>
  <c r="H187" i="15"/>
  <c r="G187" i="15"/>
  <c r="F187" i="15"/>
  <c r="E187" i="15"/>
  <c r="D187" i="15"/>
  <c r="C187" i="15"/>
  <c r="K186" i="15"/>
  <c r="L186" i="15" s="1"/>
  <c r="J186" i="15"/>
  <c r="I186" i="15"/>
  <c r="H186" i="15"/>
  <c r="G186" i="15"/>
  <c r="F186" i="15"/>
  <c r="E186" i="15"/>
  <c r="D186" i="15"/>
  <c r="C186" i="15"/>
  <c r="K185" i="15"/>
  <c r="L185" i="15" s="1"/>
  <c r="J185" i="15"/>
  <c r="I185" i="15"/>
  <c r="H185" i="15"/>
  <c r="G185" i="15"/>
  <c r="F185" i="15"/>
  <c r="E185" i="15"/>
  <c r="D185" i="15"/>
  <c r="C185" i="15"/>
  <c r="K184" i="15"/>
  <c r="J184" i="15"/>
  <c r="I184" i="15"/>
  <c r="H184" i="15"/>
  <c r="G184" i="15"/>
  <c r="F184" i="15"/>
  <c r="E184" i="15"/>
  <c r="D184" i="15"/>
  <c r="L184" i="15" s="1"/>
  <c r="C184" i="15"/>
  <c r="K183" i="15"/>
  <c r="J183" i="15"/>
  <c r="I183" i="15"/>
  <c r="H183" i="15"/>
  <c r="G183" i="15"/>
  <c r="F183" i="15"/>
  <c r="E183" i="15"/>
  <c r="D183" i="15"/>
  <c r="C183" i="15"/>
  <c r="K182" i="15"/>
  <c r="J182" i="15"/>
  <c r="I182" i="15"/>
  <c r="H182" i="15"/>
  <c r="G182" i="15"/>
  <c r="F182" i="15"/>
  <c r="E182" i="15"/>
  <c r="D182" i="15"/>
  <c r="C182" i="15"/>
  <c r="K181" i="15"/>
  <c r="L181" i="15" s="1"/>
  <c r="J181" i="15"/>
  <c r="I181" i="15"/>
  <c r="H181" i="15"/>
  <c r="G181" i="15"/>
  <c r="F181" i="15"/>
  <c r="E181" i="15"/>
  <c r="D181" i="15"/>
  <c r="C181" i="15"/>
  <c r="K180" i="15"/>
  <c r="L180" i="15" s="1"/>
  <c r="J180" i="15"/>
  <c r="I180" i="15"/>
  <c r="H180" i="15"/>
  <c r="G180" i="15"/>
  <c r="F180" i="15"/>
  <c r="E180" i="15"/>
  <c r="D180" i="15"/>
  <c r="C180" i="15"/>
  <c r="K179" i="15"/>
  <c r="J179" i="15"/>
  <c r="I179" i="15"/>
  <c r="H179" i="15"/>
  <c r="G179" i="15"/>
  <c r="F179" i="15"/>
  <c r="E179" i="15"/>
  <c r="D179" i="15"/>
  <c r="L179" i="15" s="1"/>
  <c r="C179" i="15"/>
  <c r="K178" i="15"/>
  <c r="J178" i="15"/>
  <c r="I178" i="15"/>
  <c r="H178" i="15"/>
  <c r="G178" i="15"/>
  <c r="F178" i="15"/>
  <c r="E178" i="15"/>
  <c r="D178" i="15"/>
  <c r="C178" i="15"/>
  <c r="K177" i="15"/>
  <c r="L177" i="15" s="1"/>
  <c r="J177" i="15"/>
  <c r="I177" i="15"/>
  <c r="H177" i="15"/>
  <c r="G177" i="15"/>
  <c r="F177" i="15"/>
  <c r="E177" i="15"/>
  <c r="D177" i="15"/>
  <c r="C177" i="15"/>
  <c r="K176" i="15"/>
  <c r="L176" i="15" s="1"/>
  <c r="J176" i="15"/>
  <c r="I176" i="15"/>
  <c r="H176" i="15"/>
  <c r="G176" i="15"/>
  <c r="F176" i="15"/>
  <c r="E176" i="15"/>
  <c r="D176" i="15"/>
  <c r="C176" i="15"/>
  <c r="K175" i="15"/>
  <c r="J175" i="15"/>
  <c r="I175" i="15"/>
  <c r="H175" i="15"/>
  <c r="G175" i="15"/>
  <c r="F175" i="15"/>
  <c r="E175" i="15"/>
  <c r="D175" i="15"/>
  <c r="L175" i="15" s="1"/>
  <c r="C175" i="15"/>
  <c r="K174" i="15"/>
  <c r="L174" i="15" s="1"/>
  <c r="J174" i="15"/>
  <c r="I174" i="15"/>
  <c r="H174" i="15"/>
  <c r="G174" i="15"/>
  <c r="F174" i="15"/>
  <c r="E174" i="15"/>
  <c r="D174" i="15"/>
  <c r="C174" i="15"/>
  <c r="K173" i="15"/>
  <c r="J173" i="15"/>
  <c r="I173" i="15"/>
  <c r="H173" i="15"/>
  <c r="G173" i="15"/>
  <c r="F173" i="15"/>
  <c r="E173" i="15"/>
  <c r="D173" i="15"/>
  <c r="L173" i="15" s="1"/>
  <c r="C173" i="15"/>
  <c r="K172" i="15"/>
  <c r="L172" i="15" s="1"/>
  <c r="J172" i="15"/>
  <c r="I172" i="15"/>
  <c r="H172" i="15"/>
  <c r="G172" i="15"/>
  <c r="F172" i="15"/>
  <c r="E172" i="15"/>
  <c r="D172" i="15"/>
  <c r="C172" i="15"/>
  <c r="K171" i="15"/>
  <c r="J171" i="15"/>
  <c r="I171" i="15"/>
  <c r="H171" i="15"/>
  <c r="G171" i="15"/>
  <c r="F171" i="15"/>
  <c r="E171" i="15"/>
  <c r="D171" i="15"/>
  <c r="L171" i="15" s="1"/>
  <c r="C171" i="15"/>
  <c r="K170" i="15"/>
  <c r="J170" i="15"/>
  <c r="I170" i="15"/>
  <c r="H170" i="15"/>
  <c r="G170" i="15"/>
  <c r="F170" i="15"/>
  <c r="E170" i="15"/>
  <c r="D170" i="15"/>
  <c r="C170" i="15"/>
  <c r="K169" i="15"/>
  <c r="J169" i="15"/>
  <c r="I169" i="15"/>
  <c r="H169" i="15"/>
  <c r="G169" i="15"/>
  <c r="F169" i="15"/>
  <c r="E169" i="15"/>
  <c r="D169" i="15"/>
  <c r="L169" i="15" s="1"/>
  <c r="C169" i="15"/>
  <c r="K168" i="15"/>
  <c r="J168" i="15"/>
  <c r="I168" i="15"/>
  <c r="H168" i="15"/>
  <c r="G168" i="15"/>
  <c r="F168" i="15"/>
  <c r="E168" i="15"/>
  <c r="D168" i="15"/>
  <c r="L168" i="15" s="1"/>
  <c r="C168" i="15"/>
  <c r="K167" i="15"/>
  <c r="J167" i="15"/>
  <c r="I167" i="15"/>
  <c r="H167" i="15"/>
  <c r="G167" i="15"/>
  <c r="F167" i="15"/>
  <c r="E167" i="15"/>
  <c r="D167" i="15"/>
  <c r="L167" i="15" s="1"/>
  <c r="C167" i="15"/>
  <c r="K166" i="15"/>
  <c r="J166" i="15"/>
  <c r="I166" i="15"/>
  <c r="H166" i="15"/>
  <c r="G166" i="15"/>
  <c r="F166" i="15"/>
  <c r="E166" i="15"/>
  <c r="D166" i="15"/>
  <c r="C166" i="15"/>
  <c r="K165" i="15"/>
  <c r="L165" i="15" s="1"/>
  <c r="J165" i="15"/>
  <c r="I165" i="15"/>
  <c r="H165" i="15"/>
  <c r="G165" i="15"/>
  <c r="F165" i="15"/>
  <c r="E165" i="15"/>
  <c r="D165" i="15"/>
  <c r="C165" i="15"/>
  <c r="K164" i="15"/>
  <c r="J164" i="15"/>
  <c r="I164" i="15"/>
  <c r="H164" i="15"/>
  <c r="G164" i="15"/>
  <c r="F164" i="15"/>
  <c r="E164" i="15"/>
  <c r="D164" i="15"/>
  <c r="L164" i="15" s="1"/>
  <c r="C164" i="15"/>
  <c r="K163" i="15"/>
  <c r="J163" i="15"/>
  <c r="I163" i="15"/>
  <c r="H163" i="15"/>
  <c r="G163" i="15"/>
  <c r="F163" i="15"/>
  <c r="E163" i="15"/>
  <c r="D163" i="15"/>
  <c r="L163" i="15" s="1"/>
  <c r="C163" i="15"/>
  <c r="K162" i="15"/>
  <c r="J162" i="15"/>
  <c r="I162" i="15"/>
  <c r="H162" i="15"/>
  <c r="G162" i="15"/>
  <c r="F162" i="15"/>
  <c r="E162" i="15"/>
  <c r="D162" i="15"/>
  <c r="C162" i="15"/>
  <c r="K161" i="15"/>
  <c r="J161" i="15"/>
  <c r="I161" i="15"/>
  <c r="H161" i="15"/>
  <c r="G161" i="15"/>
  <c r="F161" i="15"/>
  <c r="E161" i="15"/>
  <c r="D161" i="15"/>
  <c r="L161" i="15" s="1"/>
  <c r="C161" i="15"/>
  <c r="K160" i="15"/>
  <c r="J160" i="15"/>
  <c r="I160" i="15"/>
  <c r="H160" i="15"/>
  <c r="G160" i="15"/>
  <c r="F160" i="15"/>
  <c r="E160" i="15"/>
  <c r="D160" i="15"/>
  <c r="L160" i="15" s="1"/>
  <c r="C160" i="15"/>
  <c r="K159" i="15"/>
  <c r="J159" i="15"/>
  <c r="I159" i="15"/>
  <c r="H159" i="15"/>
  <c r="G159" i="15"/>
  <c r="F159" i="15"/>
  <c r="E159" i="15"/>
  <c r="D159" i="15"/>
  <c r="L159" i="15" s="1"/>
  <c r="C159" i="15"/>
  <c r="K158" i="15"/>
  <c r="J158" i="15"/>
  <c r="I158" i="15"/>
  <c r="H158" i="15"/>
  <c r="G158" i="15"/>
  <c r="F158" i="15"/>
  <c r="E158" i="15"/>
  <c r="D158" i="15"/>
  <c r="C158" i="15"/>
  <c r="K157" i="15"/>
  <c r="L157" i="15" s="1"/>
  <c r="J157" i="15"/>
  <c r="I157" i="15"/>
  <c r="H157" i="15"/>
  <c r="G157" i="15"/>
  <c r="F157" i="15"/>
  <c r="E157" i="15"/>
  <c r="D157" i="15"/>
  <c r="C157" i="15"/>
  <c r="K156" i="15"/>
  <c r="L156" i="15" s="1"/>
  <c r="J156" i="15"/>
  <c r="I156" i="15"/>
  <c r="H156" i="15"/>
  <c r="G156" i="15"/>
  <c r="F156" i="15"/>
  <c r="E156" i="15"/>
  <c r="D156" i="15"/>
  <c r="C156" i="15"/>
  <c r="K155" i="15"/>
  <c r="J155" i="15"/>
  <c r="I155" i="15"/>
  <c r="H155" i="15"/>
  <c r="G155" i="15"/>
  <c r="F155" i="15"/>
  <c r="E155" i="15"/>
  <c r="D155" i="15"/>
  <c r="L155" i="15" s="1"/>
  <c r="C155" i="15"/>
  <c r="K154" i="15"/>
  <c r="J154" i="15"/>
  <c r="I154" i="15"/>
  <c r="H154" i="15"/>
  <c r="G154" i="15"/>
  <c r="F154" i="15"/>
  <c r="E154" i="15"/>
  <c r="D154" i="15"/>
  <c r="C154" i="15"/>
  <c r="K153" i="15"/>
  <c r="L153" i="15" s="1"/>
  <c r="J153" i="15"/>
  <c r="I153" i="15"/>
  <c r="H153" i="15"/>
  <c r="G153" i="15"/>
  <c r="F153" i="15"/>
  <c r="E153" i="15"/>
  <c r="D153" i="15"/>
  <c r="C153" i="15"/>
  <c r="K152" i="15"/>
  <c r="J152" i="15"/>
  <c r="I152" i="15"/>
  <c r="H152" i="15"/>
  <c r="G152" i="15"/>
  <c r="F152" i="15"/>
  <c r="E152" i="15"/>
  <c r="D152" i="15"/>
  <c r="L152" i="15" s="1"/>
  <c r="C152" i="15"/>
  <c r="K151" i="15"/>
  <c r="J151" i="15"/>
  <c r="I151" i="15"/>
  <c r="H151" i="15"/>
  <c r="G151" i="15"/>
  <c r="F151" i="15"/>
  <c r="E151" i="15"/>
  <c r="D151" i="15"/>
  <c r="L151" i="15" s="1"/>
  <c r="C151" i="15"/>
  <c r="K150" i="15"/>
  <c r="J150" i="15"/>
  <c r="I150" i="15"/>
  <c r="H150" i="15"/>
  <c r="G150" i="15"/>
  <c r="F150" i="15"/>
  <c r="E150" i="15"/>
  <c r="D150" i="15"/>
  <c r="C150" i="15"/>
  <c r="K149" i="15"/>
  <c r="L149" i="15" s="1"/>
  <c r="J149" i="15"/>
  <c r="I149" i="15"/>
  <c r="H149" i="15"/>
  <c r="G149" i="15"/>
  <c r="F149" i="15"/>
  <c r="E149" i="15"/>
  <c r="D149" i="15"/>
  <c r="C149" i="15"/>
  <c r="K148" i="15"/>
  <c r="L148" i="15" s="1"/>
  <c r="J148" i="15"/>
  <c r="I148" i="15"/>
  <c r="H148" i="15"/>
  <c r="G148" i="15"/>
  <c r="F148" i="15"/>
  <c r="E148" i="15"/>
  <c r="D148" i="15"/>
  <c r="C148" i="15"/>
  <c r="K147" i="15"/>
  <c r="J147" i="15"/>
  <c r="I147" i="15"/>
  <c r="H147" i="15"/>
  <c r="G147" i="15"/>
  <c r="F147" i="15"/>
  <c r="E147" i="15"/>
  <c r="D147" i="15"/>
  <c r="L147" i="15" s="1"/>
  <c r="C147" i="15"/>
  <c r="K146" i="15"/>
  <c r="J146" i="15"/>
  <c r="I146" i="15"/>
  <c r="H146" i="15"/>
  <c r="G146" i="15"/>
  <c r="F146" i="15"/>
  <c r="E146" i="15"/>
  <c r="D146" i="15"/>
  <c r="C146" i="15"/>
  <c r="K145" i="15"/>
  <c r="J145" i="15"/>
  <c r="I145" i="15"/>
  <c r="H145" i="15"/>
  <c r="G145" i="15"/>
  <c r="F145" i="15"/>
  <c r="E145" i="15"/>
  <c r="D145" i="15"/>
  <c r="L145" i="15" s="1"/>
  <c r="C145" i="15"/>
  <c r="K144" i="15"/>
  <c r="L144" i="15" s="1"/>
  <c r="J144" i="15"/>
  <c r="I144" i="15"/>
  <c r="H144" i="15"/>
  <c r="G144" i="15"/>
  <c r="F144" i="15"/>
  <c r="E144" i="15"/>
  <c r="D144" i="15"/>
  <c r="C144" i="15"/>
  <c r="K143" i="15"/>
  <c r="J143" i="15"/>
  <c r="I143" i="15"/>
  <c r="H143" i="15"/>
  <c r="G143" i="15"/>
  <c r="F143" i="15"/>
  <c r="E143" i="15"/>
  <c r="D143" i="15"/>
  <c r="L143" i="15" s="1"/>
  <c r="C143" i="15"/>
  <c r="K142" i="15"/>
  <c r="J142" i="15"/>
  <c r="I142" i="15"/>
  <c r="H142" i="15"/>
  <c r="G142" i="15"/>
  <c r="F142" i="15"/>
  <c r="E142" i="15"/>
  <c r="D142" i="15"/>
  <c r="C142" i="15"/>
  <c r="K141" i="15"/>
  <c r="J141" i="15"/>
  <c r="I141" i="15"/>
  <c r="H141" i="15"/>
  <c r="G141" i="15"/>
  <c r="F141" i="15"/>
  <c r="E141" i="15"/>
  <c r="D141" i="15"/>
  <c r="L141" i="15" s="1"/>
  <c r="C141" i="15"/>
  <c r="K140" i="15"/>
  <c r="L140" i="15" s="1"/>
  <c r="J140" i="15"/>
  <c r="I140" i="15"/>
  <c r="H140" i="15"/>
  <c r="G140" i="15"/>
  <c r="F140" i="15"/>
  <c r="E140" i="15"/>
  <c r="D140" i="15"/>
  <c r="C140" i="15"/>
  <c r="K139" i="15"/>
  <c r="J139" i="15"/>
  <c r="I139" i="15"/>
  <c r="H139" i="15"/>
  <c r="G139" i="15"/>
  <c r="F139" i="15"/>
  <c r="E139" i="15"/>
  <c r="D139" i="15"/>
  <c r="L139" i="15" s="1"/>
  <c r="C139" i="15"/>
  <c r="K138" i="15"/>
  <c r="J138" i="15"/>
  <c r="I138" i="15"/>
  <c r="H138" i="15"/>
  <c r="G138" i="15"/>
  <c r="F138" i="15"/>
  <c r="E138" i="15"/>
  <c r="D138" i="15"/>
  <c r="C138" i="15"/>
  <c r="K137" i="15"/>
  <c r="J137" i="15"/>
  <c r="I137" i="15"/>
  <c r="H137" i="15"/>
  <c r="G137" i="15"/>
  <c r="F137" i="15"/>
  <c r="E137" i="15"/>
  <c r="D137" i="15"/>
  <c r="L137" i="15" s="1"/>
  <c r="C137" i="15"/>
  <c r="K136" i="15"/>
  <c r="J136" i="15"/>
  <c r="I136" i="15"/>
  <c r="H136" i="15"/>
  <c r="G136" i="15"/>
  <c r="F136" i="15"/>
  <c r="E136" i="15"/>
  <c r="D136" i="15"/>
  <c r="L136" i="15" s="1"/>
  <c r="C136" i="15"/>
  <c r="K135" i="15"/>
  <c r="J135" i="15"/>
  <c r="I135" i="15"/>
  <c r="H135" i="15"/>
  <c r="G135" i="15"/>
  <c r="F135" i="15"/>
  <c r="E135" i="15"/>
  <c r="D135" i="15"/>
  <c r="L135" i="15" s="1"/>
  <c r="C135" i="15"/>
  <c r="K134" i="15"/>
  <c r="J134" i="15"/>
  <c r="I134" i="15"/>
  <c r="H134" i="15"/>
  <c r="G134" i="15"/>
  <c r="F134" i="15"/>
  <c r="E134" i="15"/>
  <c r="D134" i="15"/>
  <c r="C134" i="15"/>
  <c r="K133" i="15"/>
  <c r="L133" i="15" s="1"/>
  <c r="J133" i="15"/>
  <c r="I133" i="15"/>
  <c r="H133" i="15"/>
  <c r="G133" i="15"/>
  <c r="F133" i="15"/>
  <c r="E133" i="15"/>
  <c r="D133" i="15"/>
  <c r="C133" i="15"/>
  <c r="K132" i="15"/>
  <c r="J132" i="15"/>
  <c r="I132" i="15"/>
  <c r="H132" i="15"/>
  <c r="G132" i="15"/>
  <c r="F132" i="15"/>
  <c r="E132" i="15"/>
  <c r="D132" i="15"/>
  <c r="L132" i="15" s="1"/>
  <c r="C132" i="15"/>
  <c r="K131" i="15"/>
  <c r="J131" i="15"/>
  <c r="I131" i="15"/>
  <c r="H131" i="15"/>
  <c r="G131" i="15"/>
  <c r="F131" i="15"/>
  <c r="E131" i="15"/>
  <c r="D131" i="15"/>
  <c r="L131" i="15" s="1"/>
  <c r="C131" i="15"/>
  <c r="K130" i="15"/>
  <c r="J130" i="15"/>
  <c r="I130" i="15"/>
  <c r="H130" i="15"/>
  <c r="G130" i="15"/>
  <c r="F130" i="15"/>
  <c r="E130" i="15"/>
  <c r="D130" i="15"/>
  <c r="C130" i="15"/>
  <c r="K129" i="15"/>
  <c r="L129" i="15" s="1"/>
  <c r="J129" i="15"/>
  <c r="I129" i="15"/>
  <c r="H129" i="15"/>
  <c r="G129" i="15"/>
  <c r="F129" i="15"/>
  <c r="E129" i="15"/>
  <c r="D129" i="15"/>
  <c r="C129" i="15"/>
  <c r="K128" i="15"/>
  <c r="J128" i="15"/>
  <c r="I128" i="15"/>
  <c r="H128" i="15"/>
  <c r="G128" i="15"/>
  <c r="F128" i="15"/>
  <c r="E128" i="15"/>
  <c r="D128" i="15"/>
  <c r="L128" i="15" s="1"/>
  <c r="C128" i="15"/>
  <c r="K127" i="15"/>
  <c r="J127" i="15"/>
  <c r="I127" i="15"/>
  <c r="H127" i="15"/>
  <c r="G127" i="15"/>
  <c r="F127" i="15"/>
  <c r="E127" i="15"/>
  <c r="D127" i="15"/>
  <c r="L127" i="15" s="1"/>
  <c r="C127" i="15"/>
  <c r="K126" i="15"/>
  <c r="J126" i="15"/>
  <c r="I126" i="15"/>
  <c r="H126" i="15"/>
  <c r="G126" i="15"/>
  <c r="F126" i="15"/>
  <c r="E126" i="15"/>
  <c r="D126" i="15"/>
  <c r="C126" i="15"/>
  <c r="K125" i="15"/>
  <c r="L125" i="15" s="1"/>
  <c r="J125" i="15"/>
  <c r="I125" i="15"/>
  <c r="H125" i="15"/>
  <c r="G125" i="15"/>
  <c r="F125" i="15"/>
  <c r="E125" i="15"/>
  <c r="D125" i="15"/>
  <c r="C125" i="15"/>
  <c r="K124" i="15"/>
  <c r="L124" i="15" s="1"/>
  <c r="J124" i="15"/>
  <c r="I124" i="15"/>
  <c r="H124" i="15"/>
  <c r="G124" i="15"/>
  <c r="F124" i="15"/>
  <c r="E124" i="15"/>
  <c r="D124" i="15"/>
  <c r="C124" i="15"/>
  <c r="K123" i="15"/>
  <c r="J123" i="15"/>
  <c r="I123" i="15"/>
  <c r="H123" i="15"/>
  <c r="G123" i="15"/>
  <c r="F123" i="15"/>
  <c r="E123" i="15"/>
  <c r="D123" i="15"/>
  <c r="L123" i="15" s="1"/>
  <c r="C123" i="15"/>
  <c r="K122" i="15"/>
  <c r="J122" i="15"/>
  <c r="I122" i="15"/>
  <c r="H122" i="15"/>
  <c r="G122" i="15"/>
  <c r="F122" i="15"/>
  <c r="E122" i="15"/>
  <c r="D122" i="15"/>
  <c r="C122" i="15"/>
  <c r="K121" i="15"/>
  <c r="L121" i="15" s="1"/>
  <c r="J121" i="15"/>
  <c r="I121" i="15"/>
  <c r="H121" i="15"/>
  <c r="G121" i="15"/>
  <c r="F121" i="15"/>
  <c r="E121" i="15"/>
  <c r="D121" i="15"/>
  <c r="C121" i="15"/>
  <c r="K120" i="15"/>
  <c r="L120" i="15" s="1"/>
  <c r="J120" i="15"/>
  <c r="I120" i="15"/>
  <c r="H120" i="15"/>
  <c r="G120" i="15"/>
  <c r="F120" i="15"/>
  <c r="E120" i="15"/>
  <c r="D120" i="15"/>
  <c r="C120" i="15"/>
  <c r="K119" i="15"/>
  <c r="J119" i="15"/>
  <c r="I119" i="15"/>
  <c r="H119" i="15"/>
  <c r="G119" i="15"/>
  <c r="F119" i="15"/>
  <c r="E119" i="15"/>
  <c r="D119" i="15"/>
  <c r="L119" i="15" s="1"/>
  <c r="C119" i="15"/>
  <c r="K118" i="15"/>
  <c r="J118" i="15"/>
  <c r="I118" i="15"/>
  <c r="H118" i="15"/>
  <c r="G118" i="15"/>
  <c r="F118" i="15"/>
  <c r="E118" i="15"/>
  <c r="D118" i="15"/>
  <c r="C118" i="15"/>
  <c r="K117" i="15"/>
  <c r="L117" i="15" s="1"/>
  <c r="J117" i="15"/>
  <c r="I117" i="15"/>
  <c r="H117" i="15"/>
  <c r="G117" i="15"/>
  <c r="F117" i="15"/>
  <c r="E117" i="15"/>
  <c r="D117" i="15"/>
  <c r="C117" i="15"/>
  <c r="K116" i="15"/>
  <c r="L116" i="15" s="1"/>
  <c r="J116" i="15"/>
  <c r="I116" i="15"/>
  <c r="H116" i="15"/>
  <c r="G116" i="15"/>
  <c r="F116" i="15"/>
  <c r="E116" i="15"/>
  <c r="D116" i="15"/>
  <c r="C116" i="15"/>
  <c r="K115" i="15"/>
  <c r="L115" i="15" s="1"/>
  <c r="J115" i="15"/>
  <c r="I115" i="15"/>
  <c r="H115" i="15"/>
  <c r="G115" i="15"/>
  <c r="F115" i="15"/>
  <c r="E115" i="15"/>
  <c r="D115" i="15"/>
  <c r="C115" i="15"/>
  <c r="K114" i="15"/>
  <c r="J114" i="15"/>
  <c r="I114" i="15"/>
  <c r="H114" i="15"/>
  <c r="G114" i="15"/>
  <c r="F114" i="15"/>
  <c r="E114" i="15"/>
  <c r="D114" i="15"/>
  <c r="C114" i="15"/>
  <c r="K113" i="15"/>
  <c r="J113" i="15"/>
  <c r="I113" i="15"/>
  <c r="H113" i="15"/>
  <c r="G113" i="15"/>
  <c r="F113" i="15"/>
  <c r="E113" i="15"/>
  <c r="D113" i="15"/>
  <c r="L113" i="15" s="1"/>
  <c r="C113" i="15"/>
  <c r="K112" i="15"/>
  <c r="L112" i="15" s="1"/>
  <c r="J112" i="15"/>
  <c r="I112" i="15"/>
  <c r="H112" i="15"/>
  <c r="G112" i="15"/>
  <c r="F112" i="15"/>
  <c r="E112" i="15"/>
  <c r="D112" i="15"/>
  <c r="C112" i="15"/>
  <c r="K111" i="15"/>
  <c r="L111" i="15" s="1"/>
  <c r="J111" i="15"/>
  <c r="I111" i="15"/>
  <c r="H111" i="15"/>
  <c r="G111" i="15"/>
  <c r="F111" i="15"/>
  <c r="E111" i="15"/>
  <c r="D111" i="15"/>
  <c r="C111" i="15"/>
  <c r="K110" i="15"/>
  <c r="J110" i="15"/>
  <c r="I110" i="15"/>
  <c r="H110" i="15"/>
  <c r="G110" i="15"/>
  <c r="F110" i="15"/>
  <c r="E110" i="15"/>
  <c r="D110" i="15"/>
  <c r="C110" i="15"/>
  <c r="K109" i="15"/>
  <c r="J109" i="15"/>
  <c r="I109" i="15"/>
  <c r="H109" i="15"/>
  <c r="G109" i="15"/>
  <c r="F109" i="15"/>
  <c r="E109" i="15"/>
  <c r="D109" i="15"/>
  <c r="L109" i="15" s="1"/>
  <c r="C109" i="15"/>
  <c r="K108" i="15"/>
  <c r="L108" i="15" s="1"/>
  <c r="J108" i="15"/>
  <c r="I108" i="15"/>
  <c r="H108" i="15"/>
  <c r="G108" i="15"/>
  <c r="F108" i="15"/>
  <c r="E108" i="15"/>
  <c r="D108" i="15"/>
  <c r="C108" i="15"/>
  <c r="K107" i="15"/>
  <c r="L107" i="15" s="1"/>
  <c r="J107" i="15"/>
  <c r="I107" i="15"/>
  <c r="H107" i="15"/>
  <c r="G107" i="15"/>
  <c r="F107" i="15"/>
  <c r="E107" i="15"/>
  <c r="D107" i="15"/>
  <c r="C107" i="15"/>
  <c r="K106" i="15"/>
  <c r="J106" i="15"/>
  <c r="I106" i="15"/>
  <c r="H106" i="15"/>
  <c r="G106" i="15"/>
  <c r="F106" i="15"/>
  <c r="E106" i="15"/>
  <c r="D106" i="15"/>
  <c r="C106" i="15"/>
  <c r="K105" i="15"/>
  <c r="J105" i="15"/>
  <c r="I105" i="15"/>
  <c r="H105" i="15"/>
  <c r="G105" i="15"/>
  <c r="F105" i="15"/>
  <c r="E105" i="15"/>
  <c r="D105" i="15"/>
  <c r="L105" i="15" s="1"/>
  <c r="C105" i="15"/>
  <c r="K104" i="15"/>
  <c r="J104" i="15"/>
  <c r="I104" i="15"/>
  <c r="H104" i="15"/>
  <c r="G104" i="15"/>
  <c r="F104" i="15"/>
  <c r="E104" i="15"/>
  <c r="D104" i="15"/>
  <c r="L104" i="15" s="1"/>
  <c r="C104" i="15"/>
  <c r="K103" i="15"/>
  <c r="L103" i="15" s="1"/>
  <c r="J103" i="15"/>
  <c r="I103" i="15"/>
  <c r="H103" i="15"/>
  <c r="G103" i="15"/>
  <c r="F103" i="15"/>
  <c r="E103" i="15"/>
  <c r="D103" i="15"/>
  <c r="C103" i="15"/>
  <c r="K102" i="15"/>
  <c r="J102" i="15"/>
  <c r="I102" i="15"/>
  <c r="H102" i="15"/>
  <c r="G102" i="15"/>
  <c r="F102" i="15"/>
  <c r="E102" i="15"/>
  <c r="D102" i="15"/>
  <c r="C102" i="15"/>
  <c r="K101" i="15"/>
  <c r="L101" i="15" s="1"/>
  <c r="J101" i="15"/>
  <c r="I101" i="15"/>
  <c r="H101" i="15"/>
  <c r="G101" i="15"/>
  <c r="F101" i="15"/>
  <c r="E101" i="15"/>
  <c r="D101" i="15"/>
  <c r="C101" i="15"/>
  <c r="K100" i="15"/>
  <c r="J100" i="15"/>
  <c r="I100" i="15"/>
  <c r="H100" i="15"/>
  <c r="G100" i="15"/>
  <c r="F100" i="15"/>
  <c r="E100" i="15"/>
  <c r="D100" i="15"/>
  <c r="L100" i="15" s="1"/>
  <c r="C100" i="15"/>
  <c r="K99" i="15"/>
  <c r="L99" i="15" s="1"/>
  <c r="J99" i="15"/>
  <c r="I99" i="15"/>
  <c r="H99" i="15"/>
  <c r="G99" i="15"/>
  <c r="F99" i="15"/>
  <c r="E99" i="15"/>
  <c r="D99" i="15"/>
  <c r="C99" i="15"/>
  <c r="K98" i="15"/>
  <c r="J98" i="15"/>
  <c r="I98" i="15"/>
  <c r="H98" i="15"/>
  <c r="G98" i="15"/>
  <c r="F98" i="15"/>
  <c r="E98" i="15"/>
  <c r="D98" i="15"/>
  <c r="C98" i="15"/>
  <c r="K97" i="15"/>
  <c r="L97" i="15" s="1"/>
  <c r="J97" i="15"/>
  <c r="I97" i="15"/>
  <c r="H97" i="15"/>
  <c r="G97" i="15"/>
  <c r="F97" i="15"/>
  <c r="E97" i="15"/>
  <c r="D97" i="15"/>
  <c r="C97" i="15"/>
  <c r="K96" i="15"/>
  <c r="L96" i="15" s="1"/>
  <c r="J96" i="15"/>
  <c r="I96" i="15"/>
  <c r="H96" i="15"/>
  <c r="G96" i="15"/>
  <c r="F96" i="15"/>
  <c r="E96" i="15"/>
  <c r="D96" i="15"/>
  <c r="C96" i="15"/>
  <c r="K95" i="15"/>
  <c r="J95" i="15"/>
  <c r="I95" i="15"/>
  <c r="H95" i="15"/>
  <c r="G95" i="15"/>
  <c r="F95" i="15"/>
  <c r="E95" i="15"/>
  <c r="D95" i="15"/>
  <c r="L95" i="15" s="1"/>
  <c r="C95" i="15"/>
  <c r="K94" i="15"/>
  <c r="J94" i="15"/>
  <c r="I94" i="15"/>
  <c r="H94" i="15"/>
  <c r="G94" i="15"/>
  <c r="F94" i="15"/>
  <c r="E94" i="15"/>
  <c r="D94" i="15"/>
  <c r="C94" i="15"/>
  <c r="K93" i="15"/>
  <c r="L93" i="15" s="1"/>
  <c r="J93" i="15"/>
  <c r="I93" i="15"/>
  <c r="H93" i="15"/>
  <c r="G93" i="15"/>
  <c r="F93" i="15"/>
  <c r="E93" i="15"/>
  <c r="D93" i="15"/>
  <c r="C93" i="15"/>
  <c r="K92" i="15"/>
  <c r="L92" i="15" s="1"/>
  <c r="J92" i="15"/>
  <c r="I92" i="15"/>
  <c r="H92" i="15"/>
  <c r="G92" i="15"/>
  <c r="F92" i="15"/>
  <c r="E92" i="15"/>
  <c r="D92" i="15"/>
  <c r="C92" i="15"/>
  <c r="K91" i="15"/>
  <c r="J91" i="15"/>
  <c r="I91" i="15"/>
  <c r="H91" i="15"/>
  <c r="G91" i="15"/>
  <c r="F91" i="15"/>
  <c r="E91" i="15"/>
  <c r="D91" i="15"/>
  <c r="L91" i="15" s="1"/>
  <c r="C91" i="15"/>
  <c r="K90" i="15"/>
  <c r="J90" i="15"/>
  <c r="I90" i="15"/>
  <c r="H90" i="15"/>
  <c r="G90" i="15"/>
  <c r="F90" i="15"/>
  <c r="E90" i="15"/>
  <c r="D90" i="15"/>
  <c r="C90" i="15"/>
  <c r="K89" i="15"/>
  <c r="L89" i="15" s="1"/>
  <c r="J89" i="15"/>
  <c r="I89" i="15"/>
  <c r="H89" i="15"/>
  <c r="G89" i="15"/>
  <c r="F89" i="15"/>
  <c r="E89" i="15"/>
  <c r="D89" i="15"/>
  <c r="C89" i="15"/>
  <c r="K88" i="15"/>
  <c r="L88" i="15" s="1"/>
  <c r="J88" i="15"/>
  <c r="I88" i="15"/>
  <c r="H88" i="15"/>
  <c r="G88" i="15"/>
  <c r="F88" i="15"/>
  <c r="E88" i="15"/>
  <c r="D88" i="15"/>
  <c r="C88" i="15"/>
  <c r="K87" i="15"/>
  <c r="L87" i="15" s="1"/>
  <c r="J87" i="15"/>
  <c r="I87" i="15"/>
  <c r="H87" i="15"/>
  <c r="G87" i="15"/>
  <c r="F87" i="15"/>
  <c r="E87" i="15"/>
  <c r="D87" i="15"/>
  <c r="C87" i="15"/>
  <c r="K86" i="15"/>
  <c r="J86" i="15"/>
  <c r="I86" i="15"/>
  <c r="H86" i="15"/>
  <c r="G86" i="15"/>
  <c r="F86" i="15"/>
  <c r="E86" i="15"/>
  <c r="D86" i="15"/>
  <c r="C86" i="15"/>
  <c r="K85" i="15"/>
  <c r="L85" i="15" s="1"/>
  <c r="J85" i="15"/>
  <c r="I85" i="15"/>
  <c r="H85" i="15"/>
  <c r="G85" i="15"/>
  <c r="F85" i="15"/>
  <c r="E85" i="15"/>
  <c r="D85" i="15"/>
  <c r="C85" i="15"/>
  <c r="K84" i="15"/>
  <c r="L84" i="15" s="1"/>
  <c r="J84" i="15"/>
  <c r="I84" i="15"/>
  <c r="H84" i="15"/>
  <c r="G84" i="15"/>
  <c r="F84" i="15"/>
  <c r="E84" i="15"/>
  <c r="D84" i="15"/>
  <c r="C84" i="15"/>
  <c r="K83" i="15"/>
  <c r="L83" i="15" s="1"/>
  <c r="J83" i="15"/>
  <c r="I83" i="15"/>
  <c r="H83" i="15"/>
  <c r="G83" i="15"/>
  <c r="F83" i="15"/>
  <c r="E83" i="15"/>
  <c r="D83" i="15"/>
  <c r="C83" i="15"/>
  <c r="K82" i="15"/>
  <c r="J82" i="15"/>
  <c r="I82" i="15"/>
  <c r="H82" i="15"/>
  <c r="G82" i="15"/>
  <c r="F82" i="15"/>
  <c r="E82" i="15"/>
  <c r="D82" i="15"/>
  <c r="C82" i="15"/>
  <c r="K81" i="15"/>
  <c r="J81" i="15"/>
  <c r="I81" i="15"/>
  <c r="H81" i="15"/>
  <c r="G81" i="15"/>
  <c r="F81" i="15"/>
  <c r="E81" i="15"/>
  <c r="D81" i="15"/>
  <c r="L81" i="15" s="1"/>
  <c r="C81" i="15"/>
  <c r="K80" i="15"/>
  <c r="L80" i="15" s="1"/>
  <c r="J80" i="15"/>
  <c r="I80" i="15"/>
  <c r="H80" i="15"/>
  <c r="G80" i="15"/>
  <c r="F80" i="15"/>
  <c r="E80" i="15"/>
  <c r="D80" i="15"/>
  <c r="C80" i="15"/>
  <c r="K79" i="15"/>
  <c r="L79" i="15" s="1"/>
  <c r="J79" i="15"/>
  <c r="I79" i="15"/>
  <c r="H79" i="15"/>
  <c r="G79" i="15"/>
  <c r="F79" i="15"/>
  <c r="E79" i="15"/>
  <c r="D79" i="15"/>
  <c r="C79" i="15"/>
  <c r="K78" i="15"/>
  <c r="J78" i="15"/>
  <c r="I78" i="15"/>
  <c r="H78" i="15"/>
  <c r="G78" i="15"/>
  <c r="F78" i="15"/>
  <c r="E78" i="15"/>
  <c r="D78" i="15"/>
  <c r="C78" i="15"/>
  <c r="K77" i="15"/>
  <c r="J77" i="15"/>
  <c r="I77" i="15"/>
  <c r="H77" i="15"/>
  <c r="G77" i="15"/>
  <c r="F77" i="15"/>
  <c r="E77" i="15"/>
  <c r="D77" i="15"/>
  <c r="L77" i="15" s="1"/>
  <c r="C77" i="15"/>
  <c r="K76" i="15"/>
  <c r="L76" i="15" s="1"/>
  <c r="J76" i="15"/>
  <c r="I76" i="15"/>
  <c r="H76" i="15"/>
  <c r="G76" i="15"/>
  <c r="F76" i="15"/>
  <c r="E76" i="15"/>
  <c r="D76" i="15"/>
  <c r="C76" i="15"/>
  <c r="K75" i="15"/>
  <c r="L75" i="15" s="1"/>
  <c r="J75" i="15"/>
  <c r="I75" i="15"/>
  <c r="H75" i="15"/>
  <c r="G75" i="15"/>
  <c r="F75" i="15"/>
  <c r="E75" i="15"/>
  <c r="D75" i="15"/>
  <c r="C75" i="15"/>
  <c r="K74" i="15"/>
  <c r="L74" i="15" s="1"/>
  <c r="J74" i="15"/>
  <c r="I74" i="15"/>
  <c r="H74" i="15"/>
  <c r="G74" i="15"/>
  <c r="F74" i="15"/>
  <c r="E74" i="15"/>
  <c r="D74" i="15"/>
  <c r="C74" i="15"/>
  <c r="K73" i="15"/>
  <c r="J73" i="15"/>
  <c r="I73" i="15"/>
  <c r="H73" i="15"/>
  <c r="G73" i="15"/>
  <c r="F73" i="15"/>
  <c r="E73" i="15"/>
  <c r="D73" i="15"/>
  <c r="L73" i="15" s="1"/>
  <c r="C73" i="15"/>
  <c r="K72" i="15"/>
  <c r="L72" i="15" s="1"/>
  <c r="J72" i="15"/>
  <c r="I72" i="15"/>
  <c r="H72" i="15"/>
  <c r="G72" i="15"/>
  <c r="F72" i="15"/>
  <c r="E72" i="15"/>
  <c r="D72" i="15"/>
  <c r="C72" i="15"/>
  <c r="K71" i="15"/>
  <c r="L71" i="15" s="1"/>
  <c r="J71" i="15"/>
  <c r="I71" i="15"/>
  <c r="H71" i="15"/>
  <c r="G71" i="15"/>
  <c r="F71" i="15"/>
  <c r="E71" i="15"/>
  <c r="D71" i="15"/>
  <c r="C71" i="15"/>
  <c r="K70" i="15"/>
  <c r="L70" i="15" s="1"/>
  <c r="J70" i="15"/>
  <c r="I70" i="15"/>
  <c r="H70" i="15"/>
  <c r="G70" i="15"/>
  <c r="F70" i="15"/>
  <c r="E70" i="15"/>
  <c r="D70" i="15"/>
  <c r="C70" i="15"/>
  <c r="K69" i="15"/>
  <c r="J69" i="15"/>
  <c r="I69" i="15"/>
  <c r="H69" i="15"/>
  <c r="G69" i="15"/>
  <c r="F69" i="15"/>
  <c r="E69" i="15"/>
  <c r="D69" i="15"/>
  <c r="L69" i="15" s="1"/>
  <c r="C69" i="15"/>
  <c r="K68" i="15"/>
  <c r="L68" i="15" s="1"/>
  <c r="J68" i="15"/>
  <c r="I68" i="15"/>
  <c r="H68" i="15"/>
  <c r="G68" i="15"/>
  <c r="F68" i="15"/>
  <c r="E68" i="15"/>
  <c r="D68" i="15"/>
  <c r="C68" i="15"/>
  <c r="K67" i="15"/>
  <c r="L67" i="15" s="1"/>
  <c r="J67" i="15"/>
  <c r="I67" i="15"/>
  <c r="H67" i="15"/>
  <c r="G67" i="15"/>
  <c r="F67" i="15"/>
  <c r="E67" i="15"/>
  <c r="D67" i="15"/>
  <c r="C67" i="15"/>
  <c r="K66" i="15"/>
  <c r="L66" i="15" s="1"/>
  <c r="J66" i="15"/>
  <c r="I66" i="15"/>
  <c r="H66" i="15"/>
  <c r="G66" i="15"/>
  <c r="F66" i="15"/>
  <c r="E66" i="15"/>
  <c r="D66" i="15"/>
  <c r="C66" i="15"/>
  <c r="K65" i="15"/>
  <c r="J65" i="15"/>
  <c r="I65" i="15"/>
  <c r="H65" i="15"/>
  <c r="G65" i="15"/>
  <c r="F65" i="15"/>
  <c r="E65" i="15"/>
  <c r="D65" i="15"/>
  <c r="L65" i="15" s="1"/>
  <c r="C65" i="15"/>
  <c r="K64" i="15"/>
  <c r="L64" i="15" s="1"/>
  <c r="J64" i="15"/>
  <c r="I64" i="15"/>
  <c r="H64" i="15"/>
  <c r="G64" i="15"/>
  <c r="F64" i="15"/>
  <c r="E64" i="15"/>
  <c r="D64" i="15"/>
  <c r="C64" i="15"/>
  <c r="K63" i="15"/>
  <c r="L63" i="15" s="1"/>
  <c r="J63" i="15"/>
  <c r="I63" i="15"/>
  <c r="H63" i="15"/>
  <c r="G63" i="15"/>
  <c r="F63" i="15"/>
  <c r="E63" i="15"/>
  <c r="D63" i="15"/>
  <c r="C63" i="15"/>
  <c r="K62" i="15"/>
  <c r="L62" i="15" s="1"/>
  <c r="J62" i="15"/>
  <c r="I62" i="15"/>
  <c r="H62" i="15"/>
  <c r="G62" i="15"/>
  <c r="F62" i="15"/>
  <c r="E62" i="15"/>
  <c r="D62" i="15"/>
  <c r="C62" i="15"/>
  <c r="K61" i="15"/>
  <c r="J61" i="15"/>
  <c r="I61" i="15"/>
  <c r="H61" i="15"/>
  <c r="G61" i="15"/>
  <c r="F61" i="15"/>
  <c r="E61" i="15"/>
  <c r="D61" i="15"/>
  <c r="L61" i="15" s="1"/>
  <c r="C61" i="15"/>
  <c r="K60" i="15"/>
  <c r="L60" i="15" s="1"/>
  <c r="J60" i="15"/>
  <c r="I60" i="15"/>
  <c r="H60" i="15"/>
  <c r="G60" i="15"/>
  <c r="F60" i="15"/>
  <c r="E60" i="15"/>
  <c r="D60" i="15"/>
  <c r="C60" i="15"/>
  <c r="K59" i="15"/>
  <c r="L59" i="15" s="1"/>
  <c r="J59" i="15"/>
  <c r="I59" i="15"/>
  <c r="H59" i="15"/>
  <c r="G59" i="15"/>
  <c r="F59" i="15"/>
  <c r="E59" i="15"/>
  <c r="D59" i="15"/>
  <c r="C59" i="15"/>
  <c r="K58" i="15"/>
  <c r="L58" i="15" s="1"/>
  <c r="J58" i="15"/>
  <c r="I58" i="15"/>
  <c r="H58" i="15"/>
  <c r="G58" i="15"/>
  <c r="F58" i="15"/>
  <c r="E58" i="15"/>
  <c r="D58" i="15"/>
  <c r="C58" i="15"/>
  <c r="K57" i="15"/>
  <c r="J57" i="15"/>
  <c r="I57" i="15"/>
  <c r="H57" i="15"/>
  <c r="G57" i="15"/>
  <c r="F57" i="15"/>
  <c r="E57" i="15"/>
  <c r="D57" i="15"/>
  <c r="L57" i="15" s="1"/>
  <c r="C57" i="15"/>
  <c r="K56" i="15"/>
  <c r="L56" i="15" s="1"/>
  <c r="J56" i="15"/>
  <c r="I56" i="15"/>
  <c r="H56" i="15"/>
  <c r="G56" i="15"/>
  <c r="F56" i="15"/>
  <c r="E56" i="15"/>
  <c r="D56" i="15"/>
  <c r="C56" i="15"/>
  <c r="K55" i="15"/>
  <c r="L55" i="15" s="1"/>
  <c r="J55" i="15"/>
  <c r="I55" i="15"/>
  <c r="H55" i="15"/>
  <c r="G55" i="15"/>
  <c r="F55" i="15"/>
  <c r="E55" i="15"/>
  <c r="D55" i="15"/>
  <c r="C55" i="15"/>
  <c r="K54" i="15"/>
  <c r="L54" i="15" s="1"/>
  <c r="J54" i="15"/>
  <c r="I54" i="15"/>
  <c r="H54" i="15"/>
  <c r="G54" i="15"/>
  <c r="F54" i="15"/>
  <c r="E54" i="15"/>
  <c r="D54" i="15"/>
  <c r="C54" i="15"/>
  <c r="K53" i="15"/>
  <c r="J53" i="15"/>
  <c r="I53" i="15"/>
  <c r="H53" i="15"/>
  <c r="G53" i="15"/>
  <c r="F53" i="15"/>
  <c r="E53" i="15"/>
  <c r="D53" i="15"/>
  <c r="L53" i="15" s="1"/>
  <c r="C53" i="15"/>
  <c r="K52" i="15"/>
  <c r="L52" i="15" s="1"/>
  <c r="J52" i="15"/>
  <c r="I52" i="15"/>
  <c r="H52" i="15"/>
  <c r="G52" i="15"/>
  <c r="F52" i="15"/>
  <c r="E52" i="15"/>
  <c r="D52" i="15"/>
  <c r="C52" i="15"/>
  <c r="K51" i="15"/>
  <c r="L51" i="15" s="1"/>
  <c r="J51" i="15"/>
  <c r="I51" i="15"/>
  <c r="H51" i="15"/>
  <c r="G51" i="15"/>
  <c r="F51" i="15"/>
  <c r="E51" i="15"/>
  <c r="D51" i="15"/>
  <c r="C51" i="15"/>
  <c r="K50" i="15"/>
  <c r="L50" i="15" s="1"/>
  <c r="J50" i="15"/>
  <c r="I50" i="15"/>
  <c r="H50" i="15"/>
  <c r="G50" i="15"/>
  <c r="F50" i="15"/>
  <c r="E50" i="15"/>
  <c r="D50" i="15"/>
  <c r="C50" i="15"/>
  <c r="K49" i="15"/>
  <c r="J49" i="15"/>
  <c r="I49" i="15"/>
  <c r="H49" i="15"/>
  <c r="G49" i="15"/>
  <c r="F49" i="15"/>
  <c r="E49" i="15"/>
  <c r="D49" i="15"/>
  <c r="L49" i="15" s="1"/>
  <c r="C49" i="15"/>
  <c r="K48" i="15"/>
  <c r="L48" i="15" s="1"/>
  <c r="J48" i="15"/>
  <c r="I48" i="15"/>
  <c r="H48" i="15"/>
  <c r="G48" i="15"/>
  <c r="F48" i="15"/>
  <c r="E48" i="15"/>
  <c r="D48" i="15"/>
  <c r="C48" i="15"/>
  <c r="K47" i="15"/>
  <c r="L47" i="15" s="1"/>
  <c r="J47" i="15"/>
  <c r="I47" i="15"/>
  <c r="H47" i="15"/>
  <c r="G47" i="15"/>
  <c r="F47" i="15"/>
  <c r="E47" i="15"/>
  <c r="D47" i="15"/>
  <c r="C47" i="15"/>
  <c r="K46" i="15"/>
  <c r="L46" i="15" s="1"/>
  <c r="J46" i="15"/>
  <c r="I46" i="15"/>
  <c r="H46" i="15"/>
  <c r="G46" i="15"/>
  <c r="F46" i="15"/>
  <c r="E46" i="15"/>
  <c r="D46" i="15"/>
  <c r="C46" i="15"/>
  <c r="K45" i="15"/>
  <c r="J45" i="15"/>
  <c r="I45" i="15"/>
  <c r="H45" i="15"/>
  <c r="G45" i="15"/>
  <c r="F45" i="15"/>
  <c r="E45" i="15"/>
  <c r="D45" i="15"/>
  <c r="L45" i="15" s="1"/>
  <c r="C45" i="15"/>
  <c r="K44" i="15"/>
  <c r="L44" i="15" s="1"/>
  <c r="J44" i="15"/>
  <c r="I44" i="15"/>
  <c r="H44" i="15"/>
  <c r="G44" i="15"/>
  <c r="F44" i="15"/>
  <c r="E44" i="15"/>
  <c r="D44" i="15"/>
  <c r="C44" i="15"/>
  <c r="K43" i="15"/>
  <c r="L43" i="15" s="1"/>
  <c r="J43" i="15"/>
  <c r="I43" i="15"/>
  <c r="H43" i="15"/>
  <c r="G43" i="15"/>
  <c r="F43" i="15"/>
  <c r="E43" i="15"/>
  <c r="D43" i="15"/>
  <c r="C43" i="15"/>
  <c r="K42" i="15"/>
  <c r="L42" i="15" s="1"/>
  <c r="J42" i="15"/>
  <c r="I42" i="15"/>
  <c r="H42" i="15"/>
  <c r="G42" i="15"/>
  <c r="F42" i="15"/>
  <c r="E42" i="15"/>
  <c r="D42" i="15"/>
  <c r="C42" i="15"/>
  <c r="K41" i="15"/>
  <c r="J41" i="15"/>
  <c r="I41" i="15"/>
  <c r="H41" i="15"/>
  <c r="G41" i="15"/>
  <c r="F41" i="15"/>
  <c r="E41" i="15"/>
  <c r="D41" i="15"/>
  <c r="L41" i="15" s="1"/>
  <c r="C41" i="15"/>
  <c r="K40" i="15"/>
  <c r="L40" i="15" s="1"/>
  <c r="J40" i="15"/>
  <c r="I40" i="15"/>
  <c r="H40" i="15"/>
  <c r="G40" i="15"/>
  <c r="F40" i="15"/>
  <c r="E40" i="15"/>
  <c r="D40" i="15"/>
  <c r="C40" i="15"/>
  <c r="K39" i="15"/>
  <c r="L39" i="15" s="1"/>
  <c r="J39" i="15"/>
  <c r="I39" i="15"/>
  <c r="H39" i="15"/>
  <c r="G39" i="15"/>
  <c r="F39" i="15"/>
  <c r="E39" i="15"/>
  <c r="D39" i="15"/>
  <c r="C39" i="15"/>
  <c r="K38" i="15"/>
  <c r="L38" i="15" s="1"/>
  <c r="J38" i="15"/>
  <c r="I38" i="15"/>
  <c r="H38" i="15"/>
  <c r="G38" i="15"/>
  <c r="F38" i="15"/>
  <c r="E38" i="15"/>
  <c r="D38" i="15"/>
  <c r="C38" i="15"/>
  <c r="K37" i="15"/>
  <c r="J37" i="15"/>
  <c r="I37" i="15"/>
  <c r="H37" i="15"/>
  <c r="G37" i="15"/>
  <c r="F37" i="15"/>
  <c r="E37" i="15"/>
  <c r="D37" i="15"/>
  <c r="L37" i="15" s="1"/>
  <c r="C37" i="15"/>
  <c r="K36" i="15"/>
  <c r="L36" i="15" s="1"/>
  <c r="J36" i="15"/>
  <c r="I36" i="15"/>
  <c r="H36" i="15"/>
  <c r="G36" i="15"/>
  <c r="F36" i="15"/>
  <c r="E36" i="15"/>
  <c r="D36" i="15"/>
  <c r="C36" i="15"/>
  <c r="K35" i="15"/>
  <c r="L35" i="15" s="1"/>
  <c r="J35" i="15"/>
  <c r="I35" i="15"/>
  <c r="H35" i="15"/>
  <c r="G35" i="15"/>
  <c r="F35" i="15"/>
  <c r="E35" i="15"/>
  <c r="D35" i="15"/>
  <c r="C35" i="15"/>
  <c r="K34" i="15"/>
  <c r="L34" i="15" s="1"/>
  <c r="J34" i="15"/>
  <c r="I34" i="15"/>
  <c r="H34" i="15"/>
  <c r="G34" i="15"/>
  <c r="F34" i="15"/>
  <c r="E34" i="15"/>
  <c r="D34" i="15"/>
  <c r="C34" i="15"/>
  <c r="K33" i="15"/>
  <c r="J33" i="15"/>
  <c r="I33" i="15"/>
  <c r="H33" i="15"/>
  <c r="G33" i="15"/>
  <c r="F33" i="15"/>
  <c r="E33" i="15"/>
  <c r="D33" i="15"/>
  <c r="L33" i="15" s="1"/>
  <c r="C33" i="15"/>
  <c r="K32" i="15"/>
  <c r="L32" i="15" s="1"/>
  <c r="J32" i="15"/>
  <c r="I32" i="15"/>
  <c r="H32" i="15"/>
  <c r="G32" i="15"/>
  <c r="F32" i="15"/>
  <c r="E32" i="15"/>
  <c r="D32" i="15"/>
  <c r="C32" i="15"/>
  <c r="K31" i="15"/>
  <c r="L31" i="15" s="1"/>
  <c r="J31" i="15"/>
  <c r="I31" i="15"/>
  <c r="H31" i="15"/>
  <c r="G31" i="15"/>
  <c r="F31" i="15"/>
  <c r="E31" i="15"/>
  <c r="D31" i="15"/>
  <c r="C31" i="15"/>
  <c r="K30" i="15"/>
  <c r="L30" i="15" s="1"/>
  <c r="J30" i="15"/>
  <c r="I30" i="15"/>
  <c r="H30" i="15"/>
  <c r="G30" i="15"/>
  <c r="F30" i="15"/>
  <c r="E30" i="15"/>
  <c r="D30" i="15"/>
  <c r="C30" i="15"/>
  <c r="K29" i="15"/>
  <c r="J29" i="15"/>
  <c r="I29" i="15"/>
  <c r="H29" i="15"/>
  <c r="G29" i="15"/>
  <c r="F29" i="15"/>
  <c r="E29" i="15"/>
  <c r="D29" i="15"/>
  <c r="L29" i="15" s="1"/>
  <c r="C29" i="15"/>
  <c r="K28" i="15"/>
  <c r="L28" i="15" s="1"/>
  <c r="J28" i="15"/>
  <c r="I28" i="15"/>
  <c r="H28" i="15"/>
  <c r="G28" i="15"/>
  <c r="F28" i="15"/>
  <c r="E28" i="15"/>
  <c r="D28" i="15"/>
  <c r="C28" i="15"/>
  <c r="K27" i="15"/>
  <c r="L27" i="15" s="1"/>
  <c r="J27" i="15"/>
  <c r="I27" i="15"/>
  <c r="H27" i="15"/>
  <c r="G27" i="15"/>
  <c r="F27" i="15"/>
  <c r="E27" i="15"/>
  <c r="D27" i="15"/>
  <c r="C27" i="15"/>
  <c r="K26" i="15"/>
  <c r="L26" i="15" s="1"/>
  <c r="J26" i="15"/>
  <c r="I26" i="15"/>
  <c r="H26" i="15"/>
  <c r="G26" i="15"/>
  <c r="F26" i="15"/>
  <c r="E26" i="15"/>
  <c r="D26" i="15"/>
  <c r="C26" i="15"/>
  <c r="K25" i="15"/>
  <c r="J25" i="15"/>
  <c r="I25" i="15"/>
  <c r="H25" i="15"/>
  <c r="G25" i="15"/>
  <c r="F25" i="15"/>
  <c r="E25" i="15"/>
  <c r="D25" i="15"/>
  <c r="L25" i="15" s="1"/>
  <c r="C25" i="15"/>
  <c r="K24" i="15"/>
  <c r="L24" i="15" s="1"/>
  <c r="J24" i="15"/>
  <c r="I24" i="15"/>
  <c r="H24" i="15"/>
  <c r="G24" i="15"/>
  <c r="F24" i="15"/>
  <c r="E24" i="15"/>
  <c r="D24" i="15"/>
  <c r="C24" i="15"/>
  <c r="K23" i="15"/>
  <c r="L23" i="15" s="1"/>
  <c r="J23" i="15"/>
  <c r="I23" i="15"/>
  <c r="H23" i="15"/>
  <c r="G23" i="15"/>
  <c r="F23" i="15"/>
  <c r="E23" i="15"/>
  <c r="D23" i="15"/>
  <c r="C23" i="15"/>
  <c r="K22" i="15"/>
  <c r="L22" i="15" s="1"/>
  <c r="J22" i="15"/>
  <c r="I22" i="15"/>
  <c r="H22" i="15"/>
  <c r="G22" i="15"/>
  <c r="F22" i="15"/>
  <c r="E22" i="15"/>
  <c r="D22" i="15"/>
  <c r="C22" i="15"/>
  <c r="K21" i="15"/>
  <c r="J21" i="15"/>
  <c r="I21" i="15"/>
  <c r="H21" i="15"/>
  <c r="G21" i="15"/>
  <c r="F21" i="15"/>
  <c r="E21" i="15"/>
  <c r="D21" i="15"/>
  <c r="L21" i="15" s="1"/>
  <c r="C21" i="15"/>
  <c r="K20" i="15"/>
  <c r="L20" i="15" s="1"/>
  <c r="J20" i="15"/>
  <c r="I20" i="15"/>
  <c r="H20" i="15"/>
  <c r="G20" i="15"/>
  <c r="F20" i="15"/>
  <c r="E20" i="15"/>
  <c r="D20" i="15"/>
  <c r="C20" i="15"/>
  <c r="K19" i="15"/>
  <c r="L19" i="15" s="1"/>
  <c r="J19" i="15"/>
  <c r="I19" i="15"/>
  <c r="H19" i="15"/>
  <c r="G19" i="15"/>
  <c r="F19" i="15"/>
  <c r="E19" i="15"/>
  <c r="D19" i="15"/>
  <c r="C19" i="15"/>
  <c r="K18" i="15"/>
  <c r="L18" i="15" s="1"/>
  <c r="J18" i="15"/>
  <c r="I18" i="15"/>
  <c r="H18" i="15"/>
  <c r="G18" i="15"/>
  <c r="F18" i="15"/>
  <c r="E18" i="15"/>
  <c r="D18" i="15"/>
  <c r="C18" i="15"/>
  <c r="K17" i="15"/>
  <c r="J17" i="15"/>
  <c r="I17" i="15"/>
  <c r="H17" i="15"/>
  <c r="G17" i="15"/>
  <c r="F17" i="15"/>
  <c r="E17" i="15"/>
  <c r="D17" i="15"/>
  <c r="L17" i="15" s="1"/>
  <c r="C17" i="15"/>
  <c r="K16" i="15"/>
  <c r="L16" i="15" s="1"/>
  <c r="J16" i="15"/>
  <c r="I16" i="15"/>
  <c r="H16" i="15"/>
  <c r="G16" i="15"/>
  <c r="F16" i="15"/>
  <c r="E16" i="15"/>
  <c r="D16" i="15"/>
  <c r="C16" i="15"/>
  <c r="K15" i="15"/>
  <c r="L15" i="15" s="1"/>
  <c r="J15" i="15"/>
  <c r="I15" i="15"/>
  <c r="H15" i="15"/>
  <c r="G15" i="15"/>
  <c r="F15" i="15"/>
  <c r="E15" i="15"/>
  <c r="D15" i="15"/>
  <c r="C15" i="15"/>
  <c r="K14" i="15"/>
  <c r="L14" i="15" s="1"/>
  <c r="J14" i="15"/>
  <c r="I14" i="15"/>
  <c r="H14" i="15"/>
  <c r="G14" i="15"/>
  <c r="F14" i="15"/>
  <c r="E14" i="15"/>
  <c r="D14" i="15"/>
  <c r="C14" i="15"/>
  <c r="K13" i="15"/>
  <c r="J13" i="15"/>
  <c r="I13" i="15"/>
  <c r="H13" i="15"/>
  <c r="G13" i="15"/>
  <c r="F13" i="15"/>
  <c r="E13" i="15"/>
  <c r="D13" i="15"/>
  <c r="L13" i="15" s="1"/>
  <c r="C13" i="15"/>
  <c r="K12" i="15"/>
  <c r="L12" i="15" s="1"/>
  <c r="J12" i="15"/>
  <c r="I12" i="15"/>
  <c r="H12" i="15"/>
  <c r="G12" i="15"/>
  <c r="F12" i="15"/>
  <c r="E12" i="15"/>
  <c r="D12" i="15"/>
  <c r="C12" i="15"/>
  <c r="K11" i="15"/>
  <c r="L11" i="15" s="1"/>
  <c r="J11" i="15"/>
  <c r="I11" i="15"/>
  <c r="H11" i="15"/>
  <c r="G11" i="15"/>
  <c r="F11" i="15"/>
  <c r="E11" i="15"/>
  <c r="D11" i="15"/>
  <c r="C11" i="15"/>
  <c r="K10" i="15"/>
  <c r="L10" i="15" s="1"/>
  <c r="J10" i="15"/>
  <c r="I10" i="15"/>
  <c r="H10" i="15"/>
  <c r="G10" i="15"/>
  <c r="F10" i="15"/>
  <c r="E10" i="15"/>
  <c r="D10" i="15"/>
  <c r="C10" i="15"/>
  <c r="K9" i="15"/>
  <c r="J9" i="15"/>
  <c r="I9" i="15"/>
  <c r="H9" i="15"/>
  <c r="G9" i="15"/>
  <c r="F9" i="15"/>
  <c r="E9" i="15"/>
  <c r="D9" i="15"/>
  <c r="L9" i="15" s="1"/>
  <c r="C9" i="15"/>
  <c r="K8" i="15"/>
  <c r="L8" i="15" s="1"/>
  <c r="J8" i="15"/>
  <c r="I8" i="15"/>
  <c r="H8" i="15"/>
  <c r="G8" i="15"/>
  <c r="F8" i="15"/>
  <c r="E8" i="15"/>
  <c r="D8" i="15"/>
  <c r="C8" i="15"/>
  <c r="K7" i="15"/>
  <c r="L7" i="15" s="1"/>
  <c r="J7" i="15"/>
  <c r="I7" i="15"/>
  <c r="H7" i="15"/>
  <c r="G7" i="15"/>
  <c r="F7" i="15"/>
  <c r="E7" i="15"/>
  <c r="D7" i="15"/>
  <c r="C7" i="15"/>
  <c r="K6" i="15"/>
  <c r="L6" i="15" s="1"/>
  <c r="J6" i="15"/>
  <c r="I6" i="15"/>
  <c r="H6" i="15"/>
  <c r="G6" i="15"/>
  <c r="F6" i="15"/>
  <c r="E6" i="15"/>
  <c r="D6" i="15"/>
  <c r="C6" i="15"/>
  <c r="K5" i="15"/>
  <c r="J5" i="15"/>
  <c r="I5" i="15"/>
  <c r="H5" i="15"/>
  <c r="G5" i="15"/>
  <c r="F5" i="15"/>
  <c r="E5" i="15"/>
  <c r="D5" i="15"/>
  <c r="L5" i="15" s="1"/>
  <c r="C5" i="15"/>
  <c r="K4" i="15"/>
  <c r="L4" i="15" s="1"/>
  <c r="J4" i="15"/>
  <c r="I4" i="15"/>
  <c r="H4" i="15"/>
  <c r="G4" i="15"/>
  <c r="F4" i="15"/>
  <c r="E4" i="15"/>
  <c r="D4" i="15"/>
  <c r="C4" i="15"/>
  <c r="K3" i="15"/>
  <c r="L3" i="15" s="1"/>
  <c r="J3" i="15"/>
  <c r="I3" i="15"/>
  <c r="H3" i="15"/>
  <c r="G3" i="15"/>
  <c r="F3" i="15"/>
  <c r="E3" i="15"/>
  <c r="D3" i="15"/>
  <c r="C3" i="15"/>
  <c r="G18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F18" i="13"/>
  <c r="F17" i="13"/>
  <c r="F16" i="13"/>
  <c r="F15" i="13"/>
  <c r="F14" i="13"/>
  <c r="F12" i="13"/>
  <c r="F13" i="13"/>
  <c r="F11" i="13"/>
  <c r="F10" i="13"/>
  <c r="F9" i="13"/>
  <c r="F8" i="13"/>
  <c r="F7" i="13"/>
  <c r="F6" i="13"/>
  <c r="F5" i="13"/>
  <c r="F4" i="13"/>
  <c r="F3" i="13"/>
  <c r="H3" i="13"/>
  <c r="L86" i="15" l="1"/>
  <c r="L118" i="15"/>
  <c r="L150" i="15"/>
  <c r="L178" i="15"/>
  <c r="L183" i="15"/>
  <c r="L194" i="15"/>
  <c r="L199" i="15"/>
  <c r="L210" i="15"/>
  <c r="L215" i="15"/>
  <c r="L226" i="15"/>
  <c r="L231" i="15"/>
  <c r="L242" i="15"/>
  <c r="L247" i="15"/>
  <c r="L258" i="15"/>
  <c r="L263" i="15"/>
  <c r="L274" i="15"/>
  <c r="L279" i="15"/>
  <c r="L290" i="15"/>
  <c r="L295" i="15"/>
  <c r="L306" i="15"/>
  <c r="L311" i="15"/>
  <c r="L322" i="15"/>
  <c r="L327" i="15"/>
  <c r="L338" i="15"/>
  <c r="L343" i="15"/>
  <c r="L354" i="15"/>
  <c r="L359" i="15"/>
  <c r="L376" i="15"/>
  <c r="L395" i="15"/>
  <c r="L82" i="15"/>
  <c r="L114" i="15"/>
  <c r="L146" i="15"/>
  <c r="L397" i="15"/>
  <c r="L110" i="15"/>
  <c r="L142" i="15"/>
  <c r="L195" i="15"/>
  <c r="L211" i="15"/>
  <c r="L227" i="15"/>
  <c r="L243" i="15"/>
  <c r="L254" i="15"/>
  <c r="L259" i="15"/>
  <c r="L270" i="15"/>
  <c r="L275" i="15"/>
  <c r="L286" i="15"/>
  <c r="L291" i="15"/>
  <c r="L302" i="15"/>
  <c r="L307" i="15"/>
  <c r="L318" i="15"/>
  <c r="L323" i="15"/>
  <c r="L334" i="15"/>
  <c r="L339" i="15"/>
  <c r="L350" i="15"/>
  <c r="L355" i="15"/>
  <c r="L366" i="15"/>
  <c r="L378" i="15"/>
  <c r="L384" i="15"/>
  <c r="L398" i="15"/>
  <c r="L78" i="15"/>
  <c r="L106" i="15"/>
  <c r="L138" i="15"/>
  <c r="L170" i="15"/>
  <c r="L399" i="15"/>
  <c r="L330" i="15"/>
  <c r="L346" i="15"/>
  <c r="L362" i="15"/>
  <c r="L407" i="15"/>
  <c r="L98" i="15"/>
  <c r="L130" i="15"/>
  <c r="L162" i="15"/>
  <c r="L374" i="15"/>
  <c r="L102" i="15"/>
  <c r="L134" i="15"/>
  <c r="L94" i="15"/>
  <c r="L126" i="15"/>
  <c r="L158" i="15"/>
  <c r="L182" i="15"/>
  <c r="L187" i="15"/>
  <c r="L198" i="15"/>
  <c r="L203" i="15"/>
  <c r="L214" i="15"/>
  <c r="L219" i="15"/>
  <c r="L230" i="15"/>
  <c r="L235" i="15"/>
  <c r="L246" i="15"/>
  <c r="L251" i="15"/>
  <c r="L262" i="15"/>
  <c r="L267" i="15"/>
  <c r="L278" i="15"/>
  <c r="L283" i="15"/>
  <c r="L294" i="15"/>
  <c r="L299" i="15"/>
  <c r="L310" i="15"/>
  <c r="L315" i="15"/>
  <c r="L326" i="15"/>
  <c r="L331" i="15"/>
  <c r="L342" i="15"/>
  <c r="L347" i="15"/>
  <c r="L358" i="15"/>
  <c r="L363" i="15"/>
  <c r="L387" i="15"/>
  <c r="L394" i="15"/>
  <c r="L401" i="15"/>
  <c r="L166" i="15"/>
  <c r="L90" i="15"/>
  <c r="L122" i="15"/>
  <c r="L154" i="15"/>
  <c r="L375" i="15"/>
  <c r="L388" i="15"/>
  <c r="L400" i="15"/>
  <c r="L432" i="15"/>
  <c r="L464" i="15"/>
  <c r="L469" i="15"/>
  <c r="L480" i="15"/>
  <c r="L485" i="15"/>
  <c r="L496" i="15"/>
  <c r="L501" i="15"/>
  <c r="L512" i="15"/>
  <c r="L517" i="15"/>
  <c r="L528" i="15"/>
  <c r="L533" i="15"/>
  <c r="L544" i="15"/>
  <c r="L549" i="15"/>
  <c r="L560" i="15"/>
  <c r="L565" i="15"/>
  <c r="L576" i="15"/>
  <c r="L581" i="15"/>
  <c r="L592" i="15"/>
  <c r="L597" i="15"/>
  <c r="L608" i="15"/>
  <c r="L621" i="15"/>
  <c r="L396" i="15"/>
  <c r="L428" i="15"/>
  <c r="L460" i="15"/>
  <c r="L424" i="15"/>
  <c r="L456" i="15"/>
  <c r="L465" i="15"/>
  <c r="L481" i="15"/>
  <c r="L497" i="15"/>
  <c r="L513" i="15"/>
  <c r="L529" i="15"/>
  <c r="L545" i="15"/>
  <c r="L561" i="15"/>
  <c r="L577" i="15"/>
  <c r="L593" i="15"/>
  <c r="L604" i="15"/>
  <c r="L609" i="15"/>
  <c r="L610" i="15"/>
  <c r="L420" i="15"/>
  <c r="L452" i="15"/>
  <c r="L611" i="15"/>
  <c r="L617" i="15"/>
  <c r="L416" i="15"/>
  <c r="L448" i="15"/>
  <c r="L612" i="15"/>
  <c r="L412" i="15"/>
  <c r="L444" i="15"/>
  <c r="L613" i="15"/>
  <c r="L408" i="15"/>
  <c r="L440" i="15"/>
  <c r="L468" i="15"/>
  <c r="L473" i="15"/>
  <c r="L484" i="15"/>
  <c r="L489" i="15"/>
  <c r="L500" i="15"/>
  <c r="L505" i="15"/>
  <c r="L516" i="15"/>
  <c r="L521" i="15"/>
  <c r="L532" i="15"/>
  <c r="L537" i="15"/>
  <c r="L548" i="15"/>
  <c r="L553" i="15"/>
  <c r="L564" i="15"/>
  <c r="L569" i="15"/>
  <c r="L580" i="15"/>
  <c r="L585" i="15"/>
  <c r="L596" i="15"/>
  <c r="L601" i="15"/>
  <c r="L404" i="15"/>
  <c r="L436" i="15"/>
  <c r="L620" i="15"/>
  <c r="L627" i="15"/>
  <c r="L614" i="15"/>
  <c r="L628" i="15"/>
  <c r="L641" i="15"/>
  <c r="L654" i="15"/>
  <c r="L660" i="15"/>
  <c r="L673" i="15"/>
  <c r="L686" i="15"/>
  <c r="L692" i="15"/>
  <c r="L705" i="15"/>
  <c r="L718" i="15"/>
  <c r="L724" i="15"/>
  <c r="L737" i="15"/>
  <c r="L750" i="15"/>
  <c r="L756" i="15"/>
  <c r="L769" i="15"/>
  <c r="L782" i="15"/>
  <c r="L788" i="15"/>
  <c r="L801" i="15"/>
  <c r="L814" i="15"/>
  <c r="L820" i="15"/>
  <c r="L827" i="15"/>
  <c r="L835" i="15"/>
  <c r="L843" i="15"/>
  <c r="L851" i="15"/>
  <c r="L859" i="15"/>
  <c r="L629" i="15"/>
  <c r="L642" i="15"/>
  <c r="L648" i="15"/>
  <c r="L661" i="15"/>
  <c r="L674" i="15"/>
  <c r="L680" i="15"/>
  <c r="L693" i="15"/>
  <c r="L706" i="15"/>
  <c r="L712" i="15"/>
  <c r="L725" i="15"/>
  <c r="L738" i="15"/>
  <c r="L744" i="15"/>
  <c r="L757" i="15"/>
  <c r="L770" i="15"/>
  <c r="L776" i="15"/>
  <c r="L789" i="15"/>
  <c r="L802" i="15"/>
  <c r="L808" i="15"/>
  <c r="L821" i="15"/>
  <c r="L828" i="15"/>
  <c r="L836" i="15"/>
  <c r="L844" i="15"/>
  <c r="L852" i="15"/>
  <c r="L630" i="15"/>
  <c r="L636" i="15"/>
  <c r="L649" i="15"/>
  <c r="L662" i="15"/>
  <c r="L668" i="15"/>
  <c r="L681" i="15"/>
  <c r="L694" i="15"/>
  <c r="L700" i="15"/>
  <c r="L713" i="15"/>
  <c r="L726" i="15"/>
  <c r="L732" i="15"/>
  <c r="L745" i="15"/>
  <c r="L758" i="15"/>
  <c r="L764" i="15"/>
  <c r="L777" i="15"/>
  <c r="L790" i="15"/>
  <c r="L796" i="15"/>
  <c r="L809" i="15"/>
  <c r="L829" i="15"/>
  <c r="L837" i="15"/>
  <c r="L845" i="15"/>
  <c r="L853" i="15"/>
  <c r="L637" i="15"/>
  <c r="L650" i="15"/>
  <c r="L656" i="15"/>
  <c r="L669" i="15"/>
  <c r="L682" i="15"/>
  <c r="L688" i="15"/>
  <c r="L701" i="15"/>
  <c r="L714" i="15"/>
  <c r="L720" i="15"/>
  <c r="L733" i="15"/>
  <c r="L746" i="15"/>
  <c r="L752" i="15"/>
  <c r="L765" i="15"/>
  <c r="L778" i="15"/>
  <c r="L784" i="15"/>
  <c r="L797" i="15"/>
  <c r="L810" i="15"/>
  <c r="L816" i="15"/>
  <c r="L830" i="15"/>
  <c r="L838" i="15"/>
  <c r="L846" i="15"/>
  <c r="L854" i="15"/>
  <c r="L644" i="15"/>
  <c r="L657" i="15"/>
  <c r="L676" i="15"/>
  <c r="L689" i="15"/>
  <c r="L708" i="15"/>
  <c r="L721" i="15"/>
  <c r="L740" i="15"/>
  <c r="L753" i="15"/>
  <c r="L772" i="15"/>
  <c r="L785" i="15"/>
  <c r="L798" i="15"/>
  <c r="L804" i="15"/>
  <c r="L817" i="15"/>
  <c r="L831" i="15"/>
  <c r="L839" i="15"/>
  <c r="L626" i="15"/>
  <c r="L632" i="15"/>
  <c r="L645" i="15"/>
  <c r="L658" i="15"/>
  <c r="L664" i="15"/>
  <c r="L677" i="15"/>
  <c r="L690" i="15"/>
  <c r="L696" i="15"/>
  <c r="L709" i="15"/>
  <c r="L722" i="15"/>
  <c r="L728" i="15"/>
  <c r="L741" i="15"/>
  <c r="L754" i="15"/>
  <c r="L760" i="15"/>
  <c r="L773" i="15"/>
  <c r="L786" i="15"/>
  <c r="L792" i="15"/>
  <c r="L805" i="15"/>
  <c r="L818" i="15"/>
  <c r="L824" i="15"/>
  <c r="L832" i="15"/>
  <c r="L840" i="15"/>
  <c r="L848" i="15"/>
  <c r="L856" i="15"/>
  <c r="L622" i="15"/>
  <c r="L633" i="15"/>
  <c r="L646" i="15"/>
  <c r="L652" i="15"/>
  <c r="L665" i="15"/>
  <c r="L678" i="15"/>
  <c r="L684" i="15"/>
  <c r="L697" i="15"/>
  <c r="L710" i="15"/>
  <c r="L716" i="15"/>
  <c r="L729" i="15"/>
  <c r="L742" i="15"/>
  <c r="L748" i="15"/>
  <c r="L761" i="15"/>
  <c r="L774" i="15"/>
  <c r="L780" i="15"/>
  <c r="L793" i="15"/>
  <c r="L806" i="15"/>
  <c r="L812" i="15"/>
  <c r="L825" i="15"/>
  <c r="L833" i="15"/>
  <c r="L841" i="15"/>
  <c r="L849" i="15"/>
  <c r="L857" i="15"/>
  <c r="L618" i="15"/>
  <c r="L634" i="15"/>
  <c r="L640" i="15"/>
  <c r="L653" i="15"/>
  <c r="L666" i="15"/>
  <c r="L672" i="15"/>
  <c r="L685" i="15"/>
  <c r="L698" i="15"/>
  <c r="L704" i="15"/>
  <c r="L717" i="15"/>
  <c r="L730" i="15"/>
  <c r="L736" i="15"/>
  <c r="L749" i="15"/>
  <c r="L762" i="15"/>
  <c r="L768" i="15"/>
  <c r="L781" i="15"/>
  <c r="L794" i="15"/>
  <c r="L800" i="15"/>
  <c r="L813" i="15"/>
  <c r="L826" i="15"/>
  <c r="L834" i="15"/>
  <c r="L842" i="15"/>
  <c r="L850" i="15"/>
  <c r="L858" i="15"/>
  <c r="AB51" i="1" l="1"/>
  <c r="AB84" i="1"/>
  <c r="L65" i="13"/>
  <c r="L74" i="13"/>
  <c r="L75" i="13"/>
  <c r="L82" i="13"/>
  <c r="L83" i="13"/>
  <c r="L97" i="13"/>
  <c r="L98" i="13"/>
  <c r="L105" i="13"/>
  <c r="L106" i="13"/>
  <c r="L115" i="13"/>
  <c r="L121" i="13"/>
  <c r="L129" i="13"/>
  <c r="L139" i="13"/>
  <c r="L147" i="13"/>
  <c r="L162" i="13"/>
  <c r="L170" i="13"/>
  <c r="L193" i="13"/>
  <c r="L211" i="13"/>
  <c r="L234" i="13"/>
  <c r="L243" i="13"/>
  <c r="L249" i="13"/>
  <c r="L251" i="13"/>
  <c r="L257" i="13"/>
  <c r="L266" i="13"/>
  <c r="L267" i="13"/>
  <c r="L274" i="13"/>
  <c r="L275" i="13"/>
  <c r="L289" i="13"/>
  <c r="L290" i="13"/>
  <c r="L297" i="13"/>
  <c r="L298" i="13"/>
  <c r="L321" i="13"/>
  <c r="L339" i="13"/>
  <c r="L536" i="13"/>
  <c r="L537" i="13"/>
  <c r="L545" i="13"/>
  <c r="L546" i="13"/>
  <c r="L552" i="13"/>
  <c r="L553" i="13"/>
  <c r="L561" i="13"/>
  <c r="L562" i="13"/>
  <c r="L568" i="13"/>
  <c r="L569" i="13"/>
  <c r="L577" i="13"/>
  <c r="L578" i="13"/>
  <c r="L584" i="13"/>
  <c r="L585" i="13"/>
  <c r="L594" i="13"/>
  <c r="L600" i="13"/>
  <c r="L601" i="13"/>
  <c r="L610" i="13"/>
  <c r="L616" i="13"/>
  <c r="L617" i="13"/>
  <c r="L626" i="13"/>
  <c r="L632" i="13"/>
  <c r="L633" i="13"/>
  <c r="L642" i="13"/>
  <c r="L648" i="13"/>
  <c r="L649" i="13"/>
  <c r="L665" i="13"/>
  <c r="L681" i="13"/>
  <c r="L697" i="13"/>
  <c r="L712" i="13"/>
  <c r="L713" i="13"/>
  <c r="L721" i="13"/>
  <c r="L722" i="13"/>
  <c r="L728" i="13"/>
  <c r="L729" i="13"/>
  <c r="L737" i="13"/>
  <c r="L738" i="13"/>
  <c r="L744" i="13"/>
  <c r="L745" i="13"/>
  <c r="L753" i="13"/>
  <c r="L754" i="13"/>
  <c r="L760" i="13"/>
  <c r="L761" i="13"/>
  <c r="L769" i="13"/>
  <c r="L778" i="13"/>
  <c r="L801" i="13"/>
  <c r="L819" i="13"/>
  <c r="L907" i="13"/>
  <c r="L914" i="13"/>
  <c r="L923" i="13"/>
  <c r="L931" i="13"/>
  <c r="E4" i="13"/>
  <c r="L69" i="13" s="1"/>
  <c r="E5" i="13"/>
  <c r="L125" i="13" s="1"/>
  <c r="E6" i="13"/>
  <c r="L181" i="13" s="1"/>
  <c r="E7" i="13"/>
  <c r="L245" i="13" s="1"/>
  <c r="E8" i="13"/>
  <c r="L301" i="13" s="1"/>
  <c r="E9" i="13"/>
  <c r="L357" i="13" s="1"/>
  <c r="E10" i="13"/>
  <c r="L421" i="13" s="1"/>
  <c r="E11" i="13"/>
  <c r="L477" i="13" s="1"/>
  <c r="E12" i="13"/>
  <c r="L541" i="13" s="1"/>
  <c r="E13" i="13"/>
  <c r="L597" i="13" s="1"/>
  <c r="E14" i="13"/>
  <c r="L653" i="13" s="1"/>
  <c r="E15" i="13"/>
  <c r="L717" i="13" s="1"/>
  <c r="E16" i="13"/>
  <c r="L773" i="13" s="1"/>
  <c r="E17" i="13"/>
  <c r="L829" i="13" s="1"/>
  <c r="E18" i="13"/>
  <c r="L893" i="13" s="1"/>
  <c r="E3" i="13"/>
  <c r="L5" i="13" s="1"/>
  <c r="K651" i="13"/>
  <c r="L651" i="13" s="1"/>
  <c r="M6" i="1"/>
  <c r="N5" i="1"/>
  <c r="AB85" i="1"/>
  <c r="M9" i="1"/>
  <c r="H5" i="1"/>
  <c r="L875" i="13" l="1"/>
  <c r="L843" i="13"/>
  <c r="L818" i="13"/>
  <c r="L795" i="13"/>
  <c r="L777" i="13"/>
  <c r="L696" i="13"/>
  <c r="L680" i="13"/>
  <c r="L664" i="13"/>
  <c r="L338" i="13"/>
  <c r="L315" i="13"/>
  <c r="L233" i="13"/>
  <c r="L210" i="13"/>
  <c r="L187" i="13"/>
  <c r="L169" i="13"/>
  <c r="L146" i="13"/>
  <c r="L123" i="13"/>
  <c r="L915" i="13"/>
  <c r="L874" i="13"/>
  <c r="L842" i="13"/>
  <c r="L817" i="13"/>
  <c r="L794" i="13"/>
  <c r="L771" i="13"/>
  <c r="L755" i="13"/>
  <c r="L739" i="13"/>
  <c r="L723" i="13"/>
  <c r="L707" i="13"/>
  <c r="L691" i="13"/>
  <c r="L675" i="13"/>
  <c r="L659" i="13"/>
  <c r="L643" i="13"/>
  <c r="L627" i="13"/>
  <c r="L611" i="13"/>
  <c r="L595" i="13"/>
  <c r="L579" i="13"/>
  <c r="L563" i="13"/>
  <c r="L547" i="13"/>
  <c r="L355" i="13"/>
  <c r="L337" i="13"/>
  <c r="L314" i="13"/>
  <c r="L291" i="13"/>
  <c r="L273" i="13"/>
  <c r="L250" i="13"/>
  <c r="L227" i="13"/>
  <c r="L209" i="13"/>
  <c r="L186" i="13"/>
  <c r="L163" i="13"/>
  <c r="L145" i="13"/>
  <c r="L122" i="13"/>
  <c r="L99" i="13"/>
  <c r="L81" i="13"/>
  <c r="L867" i="13"/>
  <c r="L770" i="13"/>
  <c r="L658" i="13"/>
  <c r="L313" i="13"/>
  <c r="L226" i="13"/>
  <c r="L834" i="13"/>
  <c r="L705" i="13"/>
  <c r="L657" i="13"/>
  <c r="L609" i="13"/>
  <c r="L307" i="13"/>
  <c r="L179" i="13"/>
  <c r="L899" i="13"/>
  <c r="L859" i="13"/>
  <c r="L827" i="13"/>
  <c r="L809" i="13"/>
  <c r="L786" i="13"/>
  <c r="L768" i="13"/>
  <c r="L752" i="13"/>
  <c r="L736" i="13"/>
  <c r="L720" i="13"/>
  <c r="L704" i="13"/>
  <c r="L688" i="13"/>
  <c r="L672" i="13"/>
  <c r="L656" i="13"/>
  <c r="L640" i="13"/>
  <c r="L624" i="13"/>
  <c r="L608" i="13"/>
  <c r="L592" i="13"/>
  <c r="L576" i="13"/>
  <c r="L560" i="13"/>
  <c r="L544" i="13"/>
  <c r="L347" i="13"/>
  <c r="L329" i="13"/>
  <c r="L306" i="13"/>
  <c r="L283" i="13"/>
  <c r="L265" i="13"/>
  <c r="L242" i="13"/>
  <c r="L219" i="13"/>
  <c r="L201" i="13"/>
  <c r="L178" i="13"/>
  <c r="L155" i="13"/>
  <c r="L137" i="13"/>
  <c r="L114" i="13"/>
  <c r="L91" i="13"/>
  <c r="L73" i="13"/>
  <c r="L850" i="13"/>
  <c r="L835" i="13"/>
  <c r="L793" i="13"/>
  <c r="L674" i="13"/>
  <c r="L331" i="13"/>
  <c r="L810" i="13"/>
  <c r="L689" i="13"/>
  <c r="L625" i="13"/>
  <c r="L353" i="13"/>
  <c r="L225" i="13"/>
  <c r="L939" i="13"/>
  <c r="L891" i="13"/>
  <c r="L858" i="13"/>
  <c r="L826" i="13"/>
  <c r="L803" i="13"/>
  <c r="L785" i="13"/>
  <c r="L763" i="13"/>
  <c r="L747" i="13"/>
  <c r="L731" i="13"/>
  <c r="L715" i="13"/>
  <c r="L699" i="13"/>
  <c r="L683" i="13"/>
  <c r="L667" i="13"/>
  <c r="L635" i="13"/>
  <c r="L619" i="13"/>
  <c r="L603" i="13"/>
  <c r="L587" i="13"/>
  <c r="L571" i="13"/>
  <c r="L555" i="13"/>
  <c r="L539" i="13"/>
  <c r="L346" i="13"/>
  <c r="L323" i="13"/>
  <c r="L305" i="13"/>
  <c r="L282" i="13"/>
  <c r="L259" i="13"/>
  <c r="L241" i="13"/>
  <c r="L218" i="13"/>
  <c r="L195" i="13"/>
  <c r="L177" i="13"/>
  <c r="L154" i="13"/>
  <c r="L131" i="13"/>
  <c r="L113" i="13"/>
  <c r="L90" i="13"/>
  <c r="L67" i="13"/>
  <c r="L882" i="13"/>
  <c r="L811" i="13"/>
  <c r="L706" i="13"/>
  <c r="L690" i="13"/>
  <c r="L354" i="13"/>
  <c r="L203" i="13"/>
  <c r="L185" i="13"/>
  <c r="L866" i="13"/>
  <c r="L787" i="13"/>
  <c r="L673" i="13"/>
  <c r="L641" i="13"/>
  <c r="L593" i="13"/>
  <c r="L330" i="13"/>
  <c r="L202" i="13"/>
  <c r="L161" i="13"/>
  <c r="L138" i="13"/>
  <c r="L938" i="13"/>
  <c r="L883" i="13"/>
  <c r="L851" i="13"/>
  <c r="L825" i="13"/>
  <c r="L802" i="13"/>
  <c r="L779" i="13"/>
  <c r="L762" i="13"/>
  <c r="L746" i="13"/>
  <c r="L730" i="13"/>
  <c r="L714" i="13"/>
  <c r="L698" i="13"/>
  <c r="L682" i="13"/>
  <c r="L666" i="13"/>
  <c r="L650" i="13"/>
  <c r="L634" i="13"/>
  <c r="L618" i="13"/>
  <c r="L602" i="13"/>
  <c r="L586" i="13"/>
  <c r="L570" i="13"/>
  <c r="L554" i="13"/>
  <c r="L538" i="13"/>
  <c r="L345" i="13"/>
  <c r="L322" i="13"/>
  <c r="L299" i="13"/>
  <c r="L281" i="13"/>
  <c r="L258" i="13"/>
  <c r="L235" i="13"/>
  <c r="L217" i="13"/>
  <c r="L194" i="13"/>
  <c r="L171" i="13"/>
  <c r="L153" i="13"/>
  <c r="L130" i="13"/>
  <c r="L107" i="13"/>
  <c r="L89" i="13"/>
  <c r="L66" i="13"/>
  <c r="L522" i="13"/>
  <c r="L905" i="13"/>
  <c r="L849" i="13"/>
  <c r="L377" i="13"/>
  <c r="L936" i="13"/>
  <c r="L896" i="13"/>
  <c r="L856" i="13"/>
  <c r="L824" i="13"/>
  <c r="L784" i="13"/>
  <c r="L528" i="13"/>
  <c r="L504" i="13"/>
  <c r="L488" i="13"/>
  <c r="L940" i="13"/>
  <c r="L932" i="13"/>
  <c r="L924" i="13"/>
  <c r="L916" i="13"/>
  <c r="L908" i="13"/>
  <c r="L900" i="13"/>
  <c r="L892" i="13"/>
  <c r="L884" i="13"/>
  <c r="L876" i="13"/>
  <c r="L868" i="13"/>
  <c r="L860" i="13"/>
  <c r="L852" i="13"/>
  <c r="L844" i="13"/>
  <c r="L836" i="13"/>
  <c r="L828" i="13"/>
  <c r="L820" i="13"/>
  <c r="L812" i="13"/>
  <c r="L804" i="13"/>
  <c r="L796" i="13"/>
  <c r="L788" i="13"/>
  <c r="L780" i="13"/>
  <c r="L772" i="13"/>
  <c r="L764" i="13"/>
  <c r="L756" i="13"/>
  <c r="L748" i="13"/>
  <c r="L740" i="13"/>
  <c r="L732" i="13"/>
  <c r="L724" i="13"/>
  <c r="L716" i="13"/>
  <c r="L708" i="13"/>
  <c r="L700" i="13"/>
  <c r="L692" i="13"/>
  <c r="L684" i="13"/>
  <c r="L676" i="13"/>
  <c r="L668" i="13"/>
  <c r="L660" i="13"/>
  <c r="L652" i="13"/>
  <c r="L644" i="13"/>
  <c r="L636" i="13"/>
  <c r="L628" i="13"/>
  <c r="L620" i="13"/>
  <c r="L612" i="13"/>
  <c r="L604" i="13"/>
  <c r="L596" i="13"/>
  <c r="L588" i="13"/>
  <c r="L580" i="13"/>
  <c r="L572" i="13"/>
  <c r="L564" i="13"/>
  <c r="L556" i="13"/>
  <c r="L548" i="13"/>
  <c r="L540" i="13"/>
  <c r="L532" i="13"/>
  <c r="L524" i="13"/>
  <c r="L516" i="13"/>
  <c r="L508" i="13"/>
  <c r="L500" i="13"/>
  <c r="L492" i="13"/>
  <c r="L484" i="13"/>
  <c r="L476" i="13"/>
  <c r="L468" i="13"/>
  <c r="L460" i="13"/>
  <c r="L452" i="13"/>
  <c r="L444" i="13"/>
  <c r="L436" i="13"/>
  <c r="L428" i="13"/>
  <c r="L420" i="13"/>
  <c r="L412" i="13"/>
  <c r="L404" i="13"/>
  <c r="L396" i="13"/>
  <c r="L388" i="13"/>
  <c r="L380" i="13"/>
  <c r="L372" i="13"/>
  <c r="L364" i="13"/>
  <c r="L356" i="13"/>
  <c r="L348" i="13"/>
  <c r="L340" i="13"/>
  <c r="L332" i="13"/>
  <c r="L324" i="13"/>
  <c r="L316" i="13"/>
  <c r="L308" i="13"/>
  <c r="L300" i="13"/>
  <c r="L292" i="13"/>
  <c r="L284" i="13"/>
  <c r="L276" i="13"/>
  <c r="L268" i="13"/>
  <c r="L260" i="13"/>
  <c r="L252" i="13"/>
  <c r="L244" i="13"/>
  <c r="L236" i="13"/>
  <c r="L228" i="13"/>
  <c r="L220" i="13"/>
  <c r="L212" i="13"/>
  <c r="L204" i="13"/>
  <c r="L196" i="13"/>
  <c r="L188" i="13"/>
  <c r="L180" i="13"/>
  <c r="L172" i="13"/>
  <c r="L164" i="13"/>
  <c r="L156" i="13"/>
  <c r="L148" i="13"/>
  <c r="L140" i="13"/>
  <c r="L132" i="13"/>
  <c r="L124" i="13"/>
  <c r="L116" i="13"/>
  <c r="L108" i="13"/>
  <c r="L100" i="13"/>
  <c r="L92" i="13"/>
  <c r="L84" i="13"/>
  <c r="L76" i="13"/>
  <c r="L68" i="13"/>
  <c r="L60" i="13"/>
  <c r="L52" i="13"/>
  <c r="L44" i="13"/>
  <c r="L36" i="13"/>
  <c r="L28" i="13"/>
  <c r="L20" i="13"/>
  <c r="L12" i="13"/>
  <c r="L4" i="13"/>
  <c r="L531" i="13"/>
  <c r="L523" i="13"/>
  <c r="L515" i="13"/>
  <c r="L507" i="13"/>
  <c r="L499" i="13"/>
  <c r="L491" i="13"/>
  <c r="L483" i="13"/>
  <c r="L475" i="13"/>
  <c r="L467" i="13"/>
  <c r="L459" i="13"/>
  <c r="L451" i="13"/>
  <c r="L443" i="13"/>
  <c r="L435" i="13"/>
  <c r="L427" i="13"/>
  <c r="L419" i="13"/>
  <c r="L411" i="13"/>
  <c r="L403" i="13"/>
  <c r="L395" i="13"/>
  <c r="L387" i="13"/>
  <c r="L379" i="13"/>
  <c r="L371" i="13"/>
  <c r="L363" i="13"/>
  <c r="L59" i="13"/>
  <c r="L51" i="13"/>
  <c r="L43" i="13"/>
  <c r="L35" i="13"/>
  <c r="L27" i="13"/>
  <c r="L19" i="13"/>
  <c r="L11" i="13"/>
  <c r="L922" i="13"/>
  <c r="L898" i="13"/>
  <c r="L514" i="13"/>
  <c r="L506" i="13"/>
  <c r="L498" i="13"/>
  <c r="L490" i="13"/>
  <c r="L482" i="13"/>
  <c r="L474" i="13"/>
  <c r="L466" i="13"/>
  <c r="L458" i="13"/>
  <c r="L450" i="13"/>
  <c r="L442" i="13"/>
  <c r="L434" i="13"/>
  <c r="L426" i="13"/>
  <c r="L418" i="13"/>
  <c r="L410" i="13"/>
  <c r="L402" i="13"/>
  <c r="L394" i="13"/>
  <c r="L386" i="13"/>
  <c r="L378" i="13"/>
  <c r="L370" i="13"/>
  <c r="L362" i="13"/>
  <c r="L58" i="13"/>
  <c r="L50" i="13"/>
  <c r="L42" i="13"/>
  <c r="L34" i="13"/>
  <c r="L26" i="13"/>
  <c r="L18" i="13"/>
  <c r="L10" i="13"/>
  <c r="L930" i="13"/>
  <c r="L890" i="13"/>
  <c r="L929" i="13"/>
  <c r="L873" i="13"/>
  <c r="L529" i="13"/>
  <c r="L473" i="13"/>
  <c r="L457" i="13"/>
  <c r="L441" i="13"/>
  <c r="L425" i="13"/>
  <c r="L409" i="13"/>
  <c r="L385" i="13"/>
  <c r="L361" i="13"/>
  <c r="L57" i="13"/>
  <c r="L9" i="13"/>
  <c r="L946" i="13"/>
  <c r="L906" i="13"/>
  <c r="L921" i="13"/>
  <c r="L881" i="13"/>
  <c r="L521" i="13"/>
  <c r="L481" i="13"/>
  <c r="L465" i="13"/>
  <c r="L449" i="13"/>
  <c r="L433" i="13"/>
  <c r="L417" i="13"/>
  <c r="L393" i="13"/>
  <c r="L369" i="13"/>
  <c r="L49" i="13"/>
  <c r="L41" i="13"/>
  <c r="L33" i="13"/>
  <c r="L25" i="13"/>
  <c r="L17" i="13"/>
  <c r="L904" i="13"/>
  <c r="L872" i="13"/>
  <c r="L832" i="13"/>
  <c r="L792" i="13"/>
  <c r="L512" i="13"/>
  <c r="L496" i="13"/>
  <c r="L480" i="13"/>
  <c r="L472" i="13"/>
  <c r="L448" i="13"/>
  <c r="L440" i="13"/>
  <c r="L432" i="13"/>
  <c r="L424" i="13"/>
  <c r="L416" i="13"/>
  <c r="L408" i="13"/>
  <c r="L400" i="13"/>
  <c r="L392" i="13"/>
  <c r="L384" i="13"/>
  <c r="L376" i="13"/>
  <c r="L368" i="13"/>
  <c r="L360" i="13"/>
  <c r="L352" i="13"/>
  <c r="L344" i="13"/>
  <c r="L336" i="13"/>
  <c r="L328" i="13"/>
  <c r="L320" i="13"/>
  <c r="L312" i="13"/>
  <c r="L304" i="13"/>
  <c r="L296" i="13"/>
  <c r="L288" i="13"/>
  <c r="L280" i="13"/>
  <c r="L272" i="13"/>
  <c r="L264" i="13"/>
  <c r="L256" i="13"/>
  <c r="L248" i="13"/>
  <c r="L240" i="13"/>
  <c r="L232" i="13"/>
  <c r="L224" i="13"/>
  <c r="L216" i="13"/>
  <c r="L208" i="13"/>
  <c r="L200" i="13"/>
  <c r="L192" i="13"/>
  <c r="L184" i="13"/>
  <c r="L176" i="13"/>
  <c r="L168" i="13"/>
  <c r="L160" i="13"/>
  <c r="L152" i="13"/>
  <c r="L144" i="13"/>
  <c r="L136" i="13"/>
  <c r="L128" i="13"/>
  <c r="L120" i="13"/>
  <c r="L112" i="13"/>
  <c r="L104" i="13"/>
  <c r="L96" i="13"/>
  <c r="L88" i="13"/>
  <c r="L80" i="13"/>
  <c r="L72" i="13"/>
  <c r="L64" i="13"/>
  <c r="L56" i="13"/>
  <c r="L48" i="13"/>
  <c r="L40" i="13"/>
  <c r="L32" i="13"/>
  <c r="L24" i="13"/>
  <c r="L16" i="13"/>
  <c r="L8" i="13"/>
  <c r="L530" i="13"/>
  <c r="L937" i="13"/>
  <c r="L889" i="13"/>
  <c r="L841" i="13"/>
  <c r="L513" i="13"/>
  <c r="L505" i="13"/>
  <c r="L401" i="13"/>
  <c r="L920" i="13"/>
  <c r="L880" i="13"/>
  <c r="L840" i="13"/>
  <c r="L800" i="13"/>
  <c r="L520" i="13"/>
  <c r="L943" i="13"/>
  <c r="L935" i="13"/>
  <c r="L927" i="13"/>
  <c r="L919" i="13"/>
  <c r="L911" i="13"/>
  <c r="L903" i="13"/>
  <c r="L895" i="13"/>
  <c r="L887" i="13"/>
  <c r="L879" i="13"/>
  <c r="L871" i="13"/>
  <c r="L863" i="13"/>
  <c r="L855" i="13"/>
  <c r="L847" i="13"/>
  <c r="L839" i="13"/>
  <c r="L831" i="13"/>
  <c r="L823" i="13"/>
  <c r="L815" i="13"/>
  <c r="L807" i="13"/>
  <c r="L799" i="13"/>
  <c r="L791" i="13"/>
  <c r="L783" i="13"/>
  <c r="L775" i="13"/>
  <c r="L767" i="13"/>
  <c r="L759" i="13"/>
  <c r="L751" i="13"/>
  <c r="L743" i="13"/>
  <c r="L735" i="13"/>
  <c r="L727" i="13"/>
  <c r="L719" i="13"/>
  <c r="L711" i="13"/>
  <c r="L703" i="13"/>
  <c r="L695" i="13"/>
  <c r="L687" i="13"/>
  <c r="L679" i="13"/>
  <c r="L671" i="13"/>
  <c r="L663" i="13"/>
  <c r="L655" i="13"/>
  <c r="L647" i="13"/>
  <c r="L639" i="13"/>
  <c r="L631" i="13"/>
  <c r="L623" i="13"/>
  <c r="L615" i="13"/>
  <c r="L607" i="13"/>
  <c r="L599" i="13"/>
  <c r="L591" i="13"/>
  <c r="L583" i="13"/>
  <c r="L575" i="13"/>
  <c r="L567" i="13"/>
  <c r="L559" i="13"/>
  <c r="L551" i="13"/>
  <c r="L543" i="13"/>
  <c r="L535" i="13"/>
  <c r="L527" i="13"/>
  <c r="L519" i="13"/>
  <c r="L511" i="13"/>
  <c r="L503" i="13"/>
  <c r="L495" i="13"/>
  <c r="L487" i="13"/>
  <c r="L479" i="13"/>
  <c r="L471" i="13"/>
  <c r="L463" i="13"/>
  <c r="L455" i="13"/>
  <c r="L447" i="13"/>
  <c r="L439" i="13"/>
  <c r="L431" i="13"/>
  <c r="L423" i="13"/>
  <c r="L415" i="13"/>
  <c r="L407" i="13"/>
  <c r="L399" i="13"/>
  <c r="L391" i="13"/>
  <c r="L383" i="13"/>
  <c r="L375" i="13"/>
  <c r="L367" i="13"/>
  <c r="L359" i="13"/>
  <c r="L351" i="13"/>
  <c r="L343" i="13"/>
  <c r="L335" i="13"/>
  <c r="L327" i="13"/>
  <c r="L319" i="13"/>
  <c r="L311" i="13"/>
  <c r="L303" i="13"/>
  <c r="L295" i="13"/>
  <c r="L287" i="13"/>
  <c r="L279" i="13"/>
  <c r="L271" i="13"/>
  <c r="L263" i="13"/>
  <c r="L255" i="13"/>
  <c r="L247" i="13"/>
  <c r="L239" i="13"/>
  <c r="L231" i="13"/>
  <c r="L223" i="13"/>
  <c r="L215" i="13"/>
  <c r="L207" i="13"/>
  <c r="L199" i="13"/>
  <c r="L191" i="13"/>
  <c r="L183" i="13"/>
  <c r="L175" i="13"/>
  <c r="L167" i="13"/>
  <c r="L159" i="13"/>
  <c r="L151" i="13"/>
  <c r="L143" i="13"/>
  <c r="L135" i="13"/>
  <c r="L127" i="13"/>
  <c r="L119" i="13"/>
  <c r="L111" i="13"/>
  <c r="L103" i="13"/>
  <c r="L95" i="13"/>
  <c r="L87" i="13"/>
  <c r="L79" i="13"/>
  <c r="L71" i="13"/>
  <c r="L63" i="13"/>
  <c r="L55" i="13"/>
  <c r="L47" i="13"/>
  <c r="L39" i="13"/>
  <c r="L31" i="13"/>
  <c r="L23" i="13"/>
  <c r="L15" i="13"/>
  <c r="L7" i="13"/>
  <c r="L945" i="13"/>
  <c r="L897" i="13"/>
  <c r="L865" i="13"/>
  <c r="L833" i="13"/>
  <c r="L489" i="13"/>
  <c r="L928" i="13"/>
  <c r="L888" i="13"/>
  <c r="L848" i="13"/>
  <c r="L808" i="13"/>
  <c r="L464" i="13"/>
  <c r="L942" i="13"/>
  <c r="L934" i="13"/>
  <c r="L926" i="13"/>
  <c r="L918" i="13"/>
  <c r="L910" i="13"/>
  <c r="L902" i="13"/>
  <c r="L894" i="13"/>
  <c r="L886" i="13"/>
  <c r="L878" i="13"/>
  <c r="L870" i="13"/>
  <c r="L862" i="13"/>
  <c r="L854" i="13"/>
  <c r="L846" i="13"/>
  <c r="L838" i="13"/>
  <c r="L830" i="13"/>
  <c r="L822" i="13"/>
  <c r="L814" i="13"/>
  <c r="L806" i="13"/>
  <c r="L798" i="13"/>
  <c r="L790" i="13"/>
  <c r="L782" i="13"/>
  <c r="L774" i="13"/>
  <c r="L766" i="13"/>
  <c r="L758" i="13"/>
  <c r="L750" i="13"/>
  <c r="L742" i="13"/>
  <c r="L734" i="13"/>
  <c r="L726" i="13"/>
  <c r="L718" i="13"/>
  <c r="L710" i="13"/>
  <c r="L702" i="13"/>
  <c r="L694" i="13"/>
  <c r="L686" i="13"/>
  <c r="L678" i="13"/>
  <c r="L670" i="13"/>
  <c r="L662" i="13"/>
  <c r="L654" i="13"/>
  <c r="L646" i="13"/>
  <c r="L638" i="13"/>
  <c r="L630" i="13"/>
  <c r="L622" i="13"/>
  <c r="L614" i="13"/>
  <c r="L606" i="13"/>
  <c r="L598" i="13"/>
  <c r="L590" i="13"/>
  <c r="L582" i="13"/>
  <c r="L574" i="13"/>
  <c r="L566" i="13"/>
  <c r="L558" i="13"/>
  <c r="L550" i="13"/>
  <c r="L542" i="13"/>
  <c r="L534" i="13"/>
  <c r="L526" i="13"/>
  <c r="L518" i="13"/>
  <c r="L510" i="13"/>
  <c r="L502" i="13"/>
  <c r="L494" i="13"/>
  <c r="L486" i="13"/>
  <c r="L478" i="13"/>
  <c r="L470" i="13"/>
  <c r="L462" i="13"/>
  <c r="L454" i="13"/>
  <c r="L446" i="13"/>
  <c r="L438" i="13"/>
  <c r="L430" i="13"/>
  <c r="L422" i="13"/>
  <c r="L414" i="13"/>
  <c r="L406" i="13"/>
  <c r="L398" i="13"/>
  <c r="L390" i="13"/>
  <c r="L382" i="13"/>
  <c r="L374" i="13"/>
  <c r="L366" i="13"/>
  <c r="L358" i="13"/>
  <c r="L350" i="13"/>
  <c r="L342" i="13"/>
  <c r="L334" i="13"/>
  <c r="L326" i="13"/>
  <c r="L318" i="13"/>
  <c r="L310" i="13"/>
  <c r="L302" i="13"/>
  <c r="L294" i="13"/>
  <c r="L286" i="13"/>
  <c r="L278" i="13"/>
  <c r="L270" i="13"/>
  <c r="L262" i="13"/>
  <c r="L254" i="13"/>
  <c r="L246" i="13"/>
  <c r="L238" i="13"/>
  <c r="L230" i="13"/>
  <c r="L222" i="13"/>
  <c r="L214" i="13"/>
  <c r="L206" i="13"/>
  <c r="L198" i="13"/>
  <c r="L190" i="13"/>
  <c r="L182" i="13"/>
  <c r="L174" i="13"/>
  <c r="L166" i="13"/>
  <c r="L158" i="13"/>
  <c r="L150" i="13"/>
  <c r="L142" i="13"/>
  <c r="L134" i="13"/>
  <c r="L126" i="13"/>
  <c r="L118" i="13"/>
  <c r="L110" i="13"/>
  <c r="L102" i="13"/>
  <c r="L94" i="13"/>
  <c r="L86" i="13"/>
  <c r="L78" i="13"/>
  <c r="L70" i="13"/>
  <c r="L62" i="13"/>
  <c r="L54" i="13"/>
  <c r="L46" i="13"/>
  <c r="L38" i="13"/>
  <c r="L30" i="13"/>
  <c r="L22" i="13"/>
  <c r="L14" i="13"/>
  <c r="L6" i="13"/>
  <c r="L3" i="13"/>
  <c r="L913" i="13"/>
  <c r="L857" i="13"/>
  <c r="L497" i="13"/>
  <c r="L944" i="13"/>
  <c r="L912" i="13"/>
  <c r="L864" i="13"/>
  <c r="L816" i="13"/>
  <c r="L776" i="13"/>
  <c r="L456" i="13"/>
  <c r="L941" i="13"/>
  <c r="L933" i="13"/>
  <c r="L925" i="13"/>
  <c r="L917" i="13"/>
  <c r="L909" i="13"/>
  <c r="L901" i="13"/>
  <c r="L885" i="13"/>
  <c r="L877" i="13"/>
  <c r="L869" i="13"/>
  <c r="L861" i="13"/>
  <c r="L853" i="13"/>
  <c r="L845" i="13"/>
  <c r="L837" i="13"/>
  <c r="L821" i="13"/>
  <c r="L813" i="13"/>
  <c r="L805" i="13"/>
  <c r="L797" i="13"/>
  <c r="L789" i="13"/>
  <c r="L781" i="13"/>
  <c r="L765" i="13"/>
  <c r="L757" i="13"/>
  <c r="L749" i="13"/>
  <c r="L741" i="13"/>
  <c r="L733" i="13"/>
  <c r="L725" i="13"/>
  <c r="L709" i="13"/>
  <c r="L701" i="13"/>
  <c r="L693" i="13"/>
  <c r="L685" i="13"/>
  <c r="L677" i="13"/>
  <c r="L669" i="13"/>
  <c r="L661" i="13"/>
  <c r="L645" i="13"/>
  <c r="L637" i="13"/>
  <c r="L629" i="13"/>
  <c r="L621" i="13"/>
  <c r="L613" i="13"/>
  <c r="L605" i="13"/>
  <c r="L589" i="13"/>
  <c r="L581" i="13"/>
  <c r="L573" i="13"/>
  <c r="L565" i="13"/>
  <c r="L557" i="13"/>
  <c r="L549" i="13"/>
  <c r="L533" i="13"/>
  <c r="L525" i="13"/>
  <c r="L517" i="13"/>
  <c r="L509" i="13"/>
  <c r="L501" i="13"/>
  <c r="L493" i="13"/>
  <c r="L485" i="13"/>
  <c r="L469" i="13"/>
  <c r="L461" i="13"/>
  <c r="L453" i="13"/>
  <c r="L445" i="13"/>
  <c r="L437" i="13"/>
  <c r="L429" i="13"/>
  <c r="L413" i="13"/>
  <c r="L405" i="13"/>
  <c r="L397" i="13"/>
  <c r="L389" i="13"/>
  <c r="L381" i="13"/>
  <c r="L373" i="13"/>
  <c r="L365" i="13"/>
  <c r="L349" i="13"/>
  <c r="L341" i="13"/>
  <c r="L333" i="13"/>
  <c r="L325" i="13"/>
  <c r="L317" i="13"/>
  <c r="L309" i="13"/>
  <c r="L293" i="13"/>
  <c r="L285" i="13"/>
  <c r="L277" i="13"/>
  <c r="L269" i="13"/>
  <c r="L261" i="13"/>
  <c r="L253" i="13"/>
  <c r="L237" i="13"/>
  <c r="L229" i="13"/>
  <c r="L221" i="13"/>
  <c r="L213" i="13"/>
  <c r="L205" i="13"/>
  <c r="L197" i="13"/>
  <c r="L189" i="13"/>
  <c r="L173" i="13"/>
  <c r="L165" i="13"/>
  <c r="L157" i="13"/>
  <c r="L149" i="13"/>
  <c r="L141" i="13"/>
  <c r="L133" i="13"/>
  <c r="L117" i="13"/>
  <c r="L109" i="13"/>
  <c r="L101" i="13"/>
  <c r="L93" i="13"/>
  <c r="L85" i="13"/>
  <c r="L77" i="13"/>
  <c r="L61" i="13"/>
  <c r="L53" i="13"/>
  <c r="L45" i="13"/>
  <c r="L37" i="13"/>
  <c r="L29" i="13"/>
  <c r="L21" i="13"/>
  <c r="L13" i="13"/>
  <c r="L5" i="12"/>
  <c r="C4" i="12"/>
  <c r="D4" i="12"/>
  <c r="E4" i="12"/>
  <c r="F4" i="12"/>
  <c r="G4" i="12"/>
  <c r="H4" i="12"/>
  <c r="I4" i="12"/>
  <c r="B4" i="12"/>
  <c r="Q9" i="7"/>
  <c r="M33" i="11"/>
  <c r="M34" i="11"/>
  <c r="M32" i="11"/>
  <c r="L7" i="12" l="1"/>
  <c r="L6" i="12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" i="11"/>
  <c r="F10" i="9" l="1"/>
  <c r="E10" i="9"/>
  <c r="F9" i="9"/>
  <c r="E9" i="9"/>
  <c r="I54" i="9" s="1"/>
  <c r="F8" i="9"/>
  <c r="E8" i="9"/>
  <c r="G26" i="9" s="1"/>
  <c r="F7" i="9"/>
  <c r="E7" i="9"/>
  <c r="F39" i="9" s="1"/>
  <c r="F6" i="9"/>
  <c r="E6" i="9"/>
  <c r="F5" i="9"/>
  <c r="E5" i="9"/>
  <c r="D91" i="9" s="1"/>
  <c r="F4" i="9"/>
  <c r="E4" i="9"/>
  <c r="C93" i="9" s="1"/>
  <c r="F3" i="9"/>
  <c r="E3" i="9"/>
  <c r="B95" i="9" s="1"/>
  <c r="Q24" i="7"/>
  <c r="Q31" i="7"/>
  <c r="Q33" i="7"/>
  <c r="Q34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6" i="7"/>
  <c r="I59" i="7"/>
  <c r="J59" i="7" s="1"/>
  <c r="E60" i="7"/>
  <c r="E59" i="7"/>
  <c r="B59" i="7"/>
  <c r="E58" i="7"/>
  <c r="I58" i="7"/>
  <c r="J58" i="7" s="1"/>
  <c r="E57" i="7"/>
  <c r="E56" i="7"/>
  <c r="E55" i="7"/>
  <c r="F55" i="7" s="1"/>
  <c r="E54" i="7"/>
  <c r="F54" i="7" s="1"/>
  <c r="B54" i="7"/>
  <c r="B55" i="7" s="1"/>
  <c r="E53" i="7"/>
  <c r="F53" i="7" s="1"/>
  <c r="E52" i="7"/>
  <c r="F52" i="7" s="1"/>
  <c r="E51" i="7"/>
  <c r="F51" i="7" s="1"/>
  <c r="E50" i="7"/>
  <c r="F50" i="7" s="1"/>
  <c r="E49" i="7"/>
  <c r="F49" i="7" s="1"/>
  <c r="B49" i="7"/>
  <c r="E48" i="7"/>
  <c r="F48" i="7" s="1"/>
  <c r="E47" i="7"/>
  <c r="F47" i="7" s="1"/>
  <c r="E46" i="7"/>
  <c r="F46" i="7" s="1"/>
  <c r="B46" i="7"/>
  <c r="F45" i="7"/>
  <c r="E45" i="7"/>
  <c r="E44" i="7"/>
  <c r="F44" i="7" s="1"/>
  <c r="E43" i="7"/>
  <c r="F43" i="7" s="1"/>
  <c r="E42" i="7"/>
  <c r="F42" i="7" s="1"/>
  <c r="E41" i="7"/>
  <c r="F41" i="7" s="1"/>
  <c r="B41" i="7"/>
  <c r="B42" i="7" s="1"/>
  <c r="E40" i="7"/>
  <c r="F40" i="7" s="1"/>
  <c r="Q40" i="7" s="1"/>
  <c r="E39" i="7"/>
  <c r="F39" i="7" s="1"/>
  <c r="E38" i="7"/>
  <c r="F38" i="7" s="1"/>
  <c r="F37" i="7"/>
  <c r="Q37" i="7" s="1"/>
  <c r="F36" i="7"/>
  <c r="Q36" i="7" s="1"/>
  <c r="B36" i="7"/>
  <c r="B37" i="7" s="1"/>
  <c r="B38" i="7" s="1"/>
  <c r="F35" i="7"/>
  <c r="Q35" i="7" s="1"/>
  <c r="F34" i="7"/>
  <c r="F33" i="7"/>
  <c r="B33" i="7"/>
  <c r="B34" i="7" s="1"/>
  <c r="F32" i="7"/>
  <c r="Q32" i="7" s="1"/>
  <c r="F31" i="7"/>
  <c r="B31" i="7"/>
  <c r="F30" i="7"/>
  <c r="Q30" i="7" s="1"/>
  <c r="F29" i="7"/>
  <c r="Q29" i="7" s="1"/>
  <c r="F28" i="7"/>
  <c r="Q28" i="7" s="1"/>
  <c r="F27" i="7"/>
  <c r="Q27" i="7" s="1"/>
  <c r="F26" i="7"/>
  <c r="Q26" i="7" s="1"/>
  <c r="B26" i="7"/>
  <c r="F25" i="7"/>
  <c r="Q25" i="7" s="1"/>
  <c r="F24" i="7"/>
  <c r="B24" i="7"/>
  <c r="F23" i="7"/>
  <c r="Q23" i="7" s="1"/>
  <c r="F22" i="7"/>
  <c r="Q22" i="7" s="1"/>
  <c r="F21" i="7"/>
  <c r="Q21" i="7" s="1"/>
  <c r="F20" i="7"/>
  <c r="Q20" i="7" s="1"/>
  <c r="F19" i="7"/>
  <c r="Q19" i="7" s="1"/>
  <c r="F18" i="7"/>
  <c r="Q18" i="7" s="1"/>
  <c r="F17" i="7"/>
  <c r="Q17" i="7" s="1"/>
  <c r="F16" i="7"/>
  <c r="Q16" i="7" s="1"/>
  <c r="F15" i="7"/>
  <c r="Q15" i="7" s="1"/>
  <c r="I15" i="7"/>
  <c r="J15" i="7" s="1"/>
  <c r="H15" i="7" s="1"/>
  <c r="F14" i="7"/>
  <c r="Q14" i="7" s="1"/>
  <c r="F13" i="7"/>
  <c r="Q13" i="7" s="1"/>
  <c r="F12" i="7"/>
  <c r="Q12" i="7" s="1"/>
  <c r="F11" i="7"/>
  <c r="Q11" i="7" s="1"/>
  <c r="I11" i="7"/>
  <c r="J11" i="7" s="1"/>
  <c r="F10" i="7"/>
  <c r="Q10" i="7" s="1"/>
  <c r="F9" i="7"/>
  <c r="F8" i="7"/>
  <c r="Q8" i="7" s="1"/>
  <c r="F7" i="7"/>
  <c r="Q7" i="7" s="1"/>
  <c r="I7" i="7"/>
  <c r="J7" i="7" s="1"/>
  <c r="H7" i="7" s="1"/>
  <c r="F6" i="7"/>
  <c r="Q6" i="7" s="1"/>
  <c r="I23" i="7"/>
  <c r="J23" i="7" s="1"/>
  <c r="K92" i="5"/>
  <c r="J92" i="5"/>
  <c r="I92" i="5"/>
  <c r="H92" i="5"/>
  <c r="G92" i="5"/>
  <c r="F92" i="5"/>
  <c r="E92" i="5"/>
  <c r="D92" i="5"/>
  <c r="C92" i="5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Q61" i="8" s="1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Q60" i="8" s="1"/>
  <c r="P59" i="8"/>
  <c r="O59" i="8"/>
  <c r="N59" i="8"/>
  <c r="M59" i="8"/>
  <c r="L59" i="8"/>
  <c r="K59" i="8"/>
  <c r="J59" i="8"/>
  <c r="I59" i="8"/>
  <c r="H59" i="8"/>
  <c r="G59" i="8"/>
  <c r="Q59" i="8" s="1"/>
  <c r="F59" i="8"/>
  <c r="E59" i="8"/>
  <c r="D59" i="8"/>
  <c r="C59" i="8"/>
  <c r="P58" i="8"/>
  <c r="O58" i="8"/>
  <c r="N58" i="8"/>
  <c r="M58" i="8"/>
  <c r="L58" i="8"/>
  <c r="K58" i="8"/>
  <c r="J58" i="8"/>
  <c r="I58" i="8"/>
  <c r="H58" i="8"/>
  <c r="H62" i="8" s="1"/>
  <c r="G58" i="8"/>
  <c r="F58" i="8"/>
  <c r="E58" i="8"/>
  <c r="D58" i="8"/>
  <c r="C58" i="8"/>
  <c r="Q58" i="8" s="1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Q57" i="8" s="1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D62" i="8" s="1"/>
  <c r="C56" i="8"/>
  <c r="Q56" i="8" s="1"/>
  <c r="P55" i="8"/>
  <c r="P62" i="8" s="1"/>
  <c r="O55" i="8"/>
  <c r="O62" i="8" s="1"/>
  <c r="N55" i="8"/>
  <c r="N62" i="8" s="1"/>
  <c r="M55" i="8"/>
  <c r="M62" i="8" s="1"/>
  <c r="L55" i="8"/>
  <c r="L62" i="8" s="1"/>
  <c r="K55" i="8"/>
  <c r="K62" i="8" s="1"/>
  <c r="J55" i="8"/>
  <c r="J62" i="8" s="1"/>
  <c r="I55" i="8"/>
  <c r="I62" i="8" s="1"/>
  <c r="H55" i="8"/>
  <c r="G55" i="8"/>
  <c r="G62" i="8" s="1"/>
  <c r="F55" i="8"/>
  <c r="F62" i="8" s="1"/>
  <c r="E55" i="8"/>
  <c r="E62" i="8" s="1"/>
  <c r="D55" i="8"/>
  <c r="C55" i="8"/>
  <c r="Q55" i="8" s="1"/>
  <c r="P51" i="8"/>
  <c r="K37" i="8" s="1"/>
  <c r="O51" i="8"/>
  <c r="I37" i="8" s="1"/>
  <c r="N51" i="8"/>
  <c r="M51" i="8"/>
  <c r="L51" i="8"/>
  <c r="K51" i="8"/>
  <c r="J37" i="8" s="1"/>
  <c r="J51" i="8"/>
  <c r="I51" i="8"/>
  <c r="H37" i="8" s="1"/>
  <c r="H35" i="8" s="1"/>
  <c r="H23" i="8" s="1"/>
  <c r="H12" i="8" s="1"/>
  <c r="H51" i="8"/>
  <c r="G51" i="8"/>
  <c r="F51" i="8"/>
  <c r="F37" i="8" s="1"/>
  <c r="E51" i="8"/>
  <c r="D51" i="8"/>
  <c r="C51" i="8"/>
  <c r="C37" i="8" s="1"/>
  <c r="P50" i="8"/>
  <c r="O50" i="8"/>
  <c r="I34" i="8" s="1"/>
  <c r="N50" i="8"/>
  <c r="M50" i="8"/>
  <c r="L50" i="8"/>
  <c r="K50" i="8"/>
  <c r="J50" i="8"/>
  <c r="I50" i="8"/>
  <c r="H50" i="8"/>
  <c r="G34" i="8" s="1"/>
  <c r="G50" i="8"/>
  <c r="F50" i="8"/>
  <c r="F34" i="8" s="1"/>
  <c r="E50" i="8"/>
  <c r="D50" i="8"/>
  <c r="D34" i="8" s="1"/>
  <c r="C50" i="8"/>
  <c r="Q50" i="8" s="1"/>
  <c r="P49" i="8"/>
  <c r="O49" i="8"/>
  <c r="I32" i="8" s="1"/>
  <c r="I21" i="8" s="1"/>
  <c r="I11" i="8" s="1"/>
  <c r="N49" i="8"/>
  <c r="M49" i="8"/>
  <c r="L49" i="8"/>
  <c r="J32" i="8" s="1"/>
  <c r="J21" i="8" s="1"/>
  <c r="J11" i="8" s="1"/>
  <c r="K49" i="8"/>
  <c r="J49" i="8"/>
  <c r="I49" i="8"/>
  <c r="I52" i="8" s="1"/>
  <c r="H49" i="8"/>
  <c r="G49" i="8"/>
  <c r="Q49" i="8" s="1"/>
  <c r="F49" i="8"/>
  <c r="E49" i="8"/>
  <c r="D49" i="8"/>
  <c r="C49" i="8"/>
  <c r="P48" i="8"/>
  <c r="P52" i="8" s="1"/>
  <c r="O48" i="8"/>
  <c r="N48" i="8"/>
  <c r="M48" i="8"/>
  <c r="L48" i="8"/>
  <c r="K48" i="8"/>
  <c r="J48" i="8"/>
  <c r="I48" i="8"/>
  <c r="H48" i="8"/>
  <c r="H52" i="8" s="1"/>
  <c r="G48" i="8"/>
  <c r="F48" i="8"/>
  <c r="F31" i="8" s="1"/>
  <c r="F20" i="8" s="1"/>
  <c r="F9" i="8" s="1"/>
  <c r="E48" i="8"/>
  <c r="E31" i="8" s="1"/>
  <c r="E20" i="8" s="1"/>
  <c r="E9" i="8" s="1"/>
  <c r="D48" i="8"/>
  <c r="D31" i="8" s="1"/>
  <c r="D20" i="8" s="1"/>
  <c r="D9" i="8" s="1"/>
  <c r="C48" i="8"/>
  <c r="Q48" i="8" s="1"/>
  <c r="P47" i="8"/>
  <c r="K30" i="8" s="1"/>
  <c r="K19" i="8" s="1"/>
  <c r="K6" i="8" s="1"/>
  <c r="O47" i="8"/>
  <c r="O52" i="8" s="1"/>
  <c r="N47" i="8"/>
  <c r="M47" i="8"/>
  <c r="L47" i="8"/>
  <c r="K47" i="8"/>
  <c r="J47" i="8"/>
  <c r="I47" i="8"/>
  <c r="H47" i="8"/>
  <c r="G47" i="8"/>
  <c r="G52" i="8" s="1"/>
  <c r="F47" i="8"/>
  <c r="E47" i="8"/>
  <c r="E30" i="8" s="1"/>
  <c r="E19" i="8" s="1"/>
  <c r="E6" i="8" s="1"/>
  <c r="D47" i="8"/>
  <c r="C47" i="8"/>
  <c r="Q47" i="8" s="1"/>
  <c r="P46" i="8"/>
  <c r="O46" i="8"/>
  <c r="N46" i="8"/>
  <c r="M46" i="8"/>
  <c r="L46" i="8"/>
  <c r="L52" i="8" s="1"/>
  <c r="K46" i="8"/>
  <c r="J29" i="8" s="1"/>
  <c r="J18" i="8" s="1"/>
  <c r="J8" i="8" s="1"/>
  <c r="J46" i="8"/>
  <c r="I46" i="8"/>
  <c r="H29" i="8" s="1"/>
  <c r="H18" i="8" s="1"/>
  <c r="H46" i="8"/>
  <c r="G46" i="8"/>
  <c r="F46" i="8"/>
  <c r="E46" i="8"/>
  <c r="D46" i="8"/>
  <c r="D52" i="8" s="1"/>
  <c r="C46" i="8"/>
  <c r="Q46" i="8" s="1"/>
  <c r="P45" i="8"/>
  <c r="O45" i="8"/>
  <c r="N45" i="8"/>
  <c r="N52" i="8" s="1"/>
  <c r="M45" i="8"/>
  <c r="M52" i="8" s="1"/>
  <c r="L45" i="8"/>
  <c r="K45" i="8"/>
  <c r="K52" i="8" s="1"/>
  <c r="J45" i="8"/>
  <c r="J28" i="8" s="1"/>
  <c r="I45" i="8"/>
  <c r="H45" i="8"/>
  <c r="G28" i="8" s="1"/>
  <c r="G45" i="8"/>
  <c r="F45" i="8"/>
  <c r="F52" i="8" s="1"/>
  <c r="E45" i="8"/>
  <c r="E52" i="8" s="1"/>
  <c r="D45" i="8"/>
  <c r="C45" i="8"/>
  <c r="J34" i="8" s="1"/>
  <c r="G37" i="8"/>
  <c r="E37" i="8"/>
  <c r="D37" i="8"/>
  <c r="K34" i="8"/>
  <c r="E34" i="8"/>
  <c r="C34" i="8"/>
  <c r="D33" i="8"/>
  <c r="H32" i="8"/>
  <c r="F32" i="8"/>
  <c r="E32" i="8"/>
  <c r="J31" i="8"/>
  <c r="H31" i="8"/>
  <c r="G31" i="8"/>
  <c r="J30" i="8"/>
  <c r="I30" i="8"/>
  <c r="D30" i="8"/>
  <c r="K29" i="8"/>
  <c r="F29" i="8"/>
  <c r="D29" i="8"/>
  <c r="C29" i="8"/>
  <c r="H28" i="8"/>
  <c r="F28" i="8"/>
  <c r="E28" i="8"/>
  <c r="H21" i="8"/>
  <c r="H11" i="8" s="1"/>
  <c r="F21" i="8"/>
  <c r="F11" i="8" s="1"/>
  <c r="E21" i="8"/>
  <c r="E11" i="8" s="1"/>
  <c r="J20" i="8"/>
  <c r="H20" i="8"/>
  <c r="G20" i="8"/>
  <c r="J19" i="8"/>
  <c r="J6" i="8" s="1"/>
  <c r="I19" i="8"/>
  <c r="I6" i="8" s="1"/>
  <c r="D19" i="8"/>
  <c r="D6" i="8" s="1"/>
  <c r="K18" i="8"/>
  <c r="K8" i="8" s="1"/>
  <c r="F18" i="8"/>
  <c r="F8" i="8" s="1"/>
  <c r="C18" i="8"/>
  <c r="C8" i="8" s="1"/>
  <c r="H17" i="8"/>
  <c r="H7" i="8" s="1"/>
  <c r="F17" i="8"/>
  <c r="E17" i="8"/>
  <c r="J9" i="8"/>
  <c r="H9" i="8"/>
  <c r="G9" i="8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0" i="2"/>
  <c r="E18" i="2"/>
  <c r="E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D35" i="8" l="1"/>
  <c r="D23" i="8" s="1"/>
  <c r="D12" i="8" s="1"/>
  <c r="E71" i="9"/>
  <c r="M71" i="9" s="1"/>
  <c r="E68" i="9"/>
  <c r="M68" i="9" s="1"/>
  <c r="E66" i="9"/>
  <c r="E63" i="9"/>
  <c r="E59" i="9"/>
  <c r="E70" i="9"/>
  <c r="E97" i="9"/>
  <c r="M97" i="9" s="1"/>
  <c r="E89" i="9"/>
  <c r="E81" i="9"/>
  <c r="M81" i="9" s="1"/>
  <c r="E72" i="9"/>
  <c r="M72" i="9" s="1"/>
  <c r="E52" i="9"/>
  <c r="E48" i="9"/>
  <c r="E44" i="9"/>
  <c r="E40" i="9"/>
  <c r="E92" i="9"/>
  <c r="E84" i="9"/>
  <c r="E76" i="9"/>
  <c r="M76" i="9" s="1"/>
  <c r="E73" i="9"/>
  <c r="M73" i="9" s="1"/>
  <c r="E65" i="9"/>
  <c r="E64" i="9"/>
  <c r="M64" i="9" s="1"/>
  <c r="E95" i="9"/>
  <c r="E87" i="9"/>
  <c r="E79" i="9"/>
  <c r="E67" i="9"/>
  <c r="M67" i="9" s="1"/>
  <c r="E55" i="9"/>
  <c r="M55" i="9" s="1"/>
  <c r="E53" i="9"/>
  <c r="M53" i="9" s="1"/>
  <c r="E49" i="9"/>
  <c r="E45" i="9"/>
  <c r="M45" i="9" s="1"/>
  <c r="E41" i="9"/>
  <c r="H97" i="9"/>
  <c r="H96" i="9"/>
  <c r="H95" i="9"/>
  <c r="H94" i="9"/>
  <c r="H93" i="9"/>
  <c r="P93" i="9" s="1"/>
  <c r="H92" i="9"/>
  <c r="H91" i="9"/>
  <c r="H90" i="9"/>
  <c r="H89" i="9"/>
  <c r="H88" i="9"/>
  <c r="H87" i="9"/>
  <c r="H86" i="9"/>
  <c r="H85" i="9"/>
  <c r="P85" i="9" s="1"/>
  <c r="H84" i="9"/>
  <c r="H83" i="9"/>
  <c r="H82" i="9"/>
  <c r="H81" i="9"/>
  <c r="H80" i="9"/>
  <c r="H79" i="9"/>
  <c r="H78" i="9"/>
  <c r="H77" i="9"/>
  <c r="P77" i="9" s="1"/>
  <c r="H76" i="9"/>
  <c r="H75" i="9"/>
  <c r="H74" i="9"/>
  <c r="H70" i="9"/>
  <c r="H64" i="9"/>
  <c r="P64" i="9" s="1"/>
  <c r="H60" i="9"/>
  <c r="P60" i="9" s="1"/>
  <c r="H56" i="9"/>
  <c r="H73" i="9"/>
  <c r="P73" i="9" s="1"/>
  <c r="H67" i="9"/>
  <c r="H49" i="9"/>
  <c r="H45" i="9"/>
  <c r="H41" i="9"/>
  <c r="H69" i="9"/>
  <c r="P69" i="9" s="1"/>
  <c r="H66" i="9"/>
  <c r="P66" i="9" s="1"/>
  <c r="H55" i="9"/>
  <c r="P55" i="9" s="1"/>
  <c r="H53" i="9"/>
  <c r="P53" i="9" s="1"/>
  <c r="H68" i="9"/>
  <c r="P68" i="9" s="1"/>
  <c r="H63" i="9"/>
  <c r="H62" i="9"/>
  <c r="H61" i="9"/>
  <c r="H50" i="9"/>
  <c r="P50" i="9" s="1"/>
  <c r="H46" i="9"/>
  <c r="P46" i="9" s="1"/>
  <c r="H42" i="9"/>
  <c r="P42" i="9" s="1"/>
  <c r="H14" i="9"/>
  <c r="H15" i="9"/>
  <c r="H16" i="9"/>
  <c r="P16" i="9" s="1"/>
  <c r="H17" i="9"/>
  <c r="P17" i="9" s="1"/>
  <c r="H18" i="9"/>
  <c r="P18" i="9" s="1"/>
  <c r="H19" i="9"/>
  <c r="P19" i="9" s="1"/>
  <c r="H20" i="9"/>
  <c r="P20" i="9" s="1"/>
  <c r="C22" i="9"/>
  <c r="F23" i="9"/>
  <c r="N23" i="9" s="1"/>
  <c r="H24" i="9"/>
  <c r="C26" i="9"/>
  <c r="F27" i="9"/>
  <c r="F29" i="9"/>
  <c r="F31" i="9"/>
  <c r="N31" i="9" s="1"/>
  <c r="I33" i="9"/>
  <c r="Q33" i="9" s="1"/>
  <c r="G34" i="9"/>
  <c r="O34" i="9" s="1"/>
  <c r="E35" i="9"/>
  <c r="M35" i="9" s="1"/>
  <c r="I37" i="9"/>
  <c r="G38" i="9"/>
  <c r="E39" i="9"/>
  <c r="F46" i="9"/>
  <c r="F47" i="9"/>
  <c r="N47" i="9" s="1"/>
  <c r="F48" i="9"/>
  <c r="N48" i="9" s="1"/>
  <c r="C49" i="9"/>
  <c r="C50" i="9"/>
  <c r="K50" i="9" s="1"/>
  <c r="H57" i="9"/>
  <c r="B59" i="9"/>
  <c r="E60" i="9"/>
  <c r="M60" i="9" s="1"/>
  <c r="C63" i="9"/>
  <c r="B68" i="9"/>
  <c r="B70" i="9"/>
  <c r="C74" i="9"/>
  <c r="K74" i="9" s="1"/>
  <c r="B77" i="9"/>
  <c r="J77" i="9" s="1"/>
  <c r="C79" i="9"/>
  <c r="B82" i="9"/>
  <c r="C84" i="9"/>
  <c r="B87" i="9"/>
  <c r="B92" i="9"/>
  <c r="J92" i="9" s="1"/>
  <c r="I14" i="9"/>
  <c r="I15" i="9"/>
  <c r="Q15" i="9" s="1"/>
  <c r="I16" i="9"/>
  <c r="Q16" i="9" s="1"/>
  <c r="I17" i="9"/>
  <c r="I18" i="9"/>
  <c r="Q18" i="9" s="1"/>
  <c r="I19" i="9"/>
  <c r="Q19" i="9" s="1"/>
  <c r="I20" i="9"/>
  <c r="Q20" i="9" s="1"/>
  <c r="B21" i="9"/>
  <c r="E22" i="9"/>
  <c r="G23" i="9"/>
  <c r="O23" i="9" s="1"/>
  <c r="I24" i="9"/>
  <c r="Q24" i="9" s="1"/>
  <c r="B25" i="9"/>
  <c r="E26" i="9"/>
  <c r="G27" i="9"/>
  <c r="O27" i="9" s="1"/>
  <c r="G29" i="9"/>
  <c r="G31" i="9"/>
  <c r="O31" i="9" s="1"/>
  <c r="H34" i="9"/>
  <c r="P34" i="9" s="1"/>
  <c r="F35" i="9"/>
  <c r="N35" i="9" s="1"/>
  <c r="H38" i="9"/>
  <c r="P38" i="9" s="1"/>
  <c r="B40" i="9"/>
  <c r="B41" i="9"/>
  <c r="J41" i="9" s="1"/>
  <c r="B42" i="9"/>
  <c r="J42" i="9" s="1"/>
  <c r="H47" i="9"/>
  <c r="H48" i="9"/>
  <c r="P48" i="9" s="1"/>
  <c r="D49" i="9"/>
  <c r="D50" i="9"/>
  <c r="L50" i="9" s="1"/>
  <c r="D51" i="9"/>
  <c r="L51" i="9" s="1"/>
  <c r="B55" i="9"/>
  <c r="E56" i="9"/>
  <c r="C59" i="9"/>
  <c r="C68" i="9"/>
  <c r="C70" i="9"/>
  <c r="H72" i="9"/>
  <c r="P72" i="9" s="1"/>
  <c r="D74" i="9"/>
  <c r="L74" i="9" s="1"/>
  <c r="C77" i="9"/>
  <c r="K77" i="9" s="1"/>
  <c r="D79" i="9"/>
  <c r="C82" i="9"/>
  <c r="B85" i="9"/>
  <c r="C87" i="9"/>
  <c r="B90" i="9"/>
  <c r="C92" i="9"/>
  <c r="K92" i="9" s="1"/>
  <c r="B69" i="9"/>
  <c r="J69" i="9" s="1"/>
  <c r="B67" i="9"/>
  <c r="J67" i="9" s="1"/>
  <c r="B65" i="9"/>
  <c r="B61" i="9"/>
  <c r="B57" i="9"/>
  <c r="B72" i="9"/>
  <c r="B62" i="9"/>
  <c r="J62" i="9" s="1"/>
  <c r="B58" i="9"/>
  <c r="J58" i="9" s="1"/>
  <c r="B96" i="9"/>
  <c r="J96" i="9" s="1"/>
  <c r="B88" i="9"/>
  <c r="J88" i="9" s="1"/>
  <c r="B80" i="9"/>
  <c r="B91" i="9"/>
  <c r="B83" i="9"/>
  <c r="J83" i="9" s="1"/>
  <c r="B75" i="9"/>
  <c r="B54" i="9"/>
  <c r="J54" i="9" s="1"/>
  <c r="B51" i="9"/>
  <c r="J51" i="9" s="1"/>
  <c r="B47" i="9"/>
  <c r="B43" i="9"/>
  <c r="J43" i="9" s="1"/>
  <c r="B94" i="9"/>
  <c r="J95" i="9" s="1"/>
  <c r="B86" i="9"/>
  <c r="J86" i="9" s="1"/>
  <c r="B78" i="9"/>
  <c r="B56" i="9"/>
  <c r="J56" i="9" s="1"/>
  <c r="B39" i="9"/>
  <c r="B38" i="9"/>
  <c r="B37" i="9"/>
  <c r="B36" i="9"/>
  <c r="J36" i="9" s="1"/>
  <c r="B35" i="9"/>
  <c r="B34" i="9"/>
  <c r="J34" i="9" s="1"/>
  <c r="B33" i="9"/>
  <c r="B32" i="9"/>
  <c r="F97" i="9"/>
  <c r="F96" i="9"/>
  <c r="F95" i="9"/>
  <c r="F94" i="9"/>
  <c r="N94" i="9" s="1"/>
  <c r="F93" i="9"/>
  <c r="F92" i="9"/>
  <c r="N92" i="9" s="1"/>
  <c r="F91" i="9"/>
  <c r="F90" i="9"/>
  <c r="F89" i="9"/>
  <c r="F88" i="9"/>
  <c r="F87" i="9"/>
  <c r="F86" i="9"/>
  <c r="N86" i="9" s="1"/>
  <c r="F85" i="9"/>
  <c r="F84" i="9"/>
  <c r="N84" i="9" s="1"/>
  <c r="F83" i="9"/>
  <c r="F82" i="9"/>
  <c r="F81" i="9"/>
  <c r="N81" i="9" s="1"/>
  <c r="F80" i="9"/>
  <c r="F79" i="9"/>
  <c r="F78" i="9"/>
  <c r="N78" i="9" s="1"/>
  <c r="F77" i="9"/>
  <c r="F76" i="9"/>
  <c r="F75" i="9"/>
  <c r="F74" i="9"/>
  <c r="F73" i="9"/>
  <c r="F72" i="9"/>
  <c r="F71" i="9"/>
  <c r="F70" i="9"/>
  <c r="F68" i="9"/>
  <c r="F66" i="9"/>
  <c r="F63" i="9"/>
  <c r="F59" i="9"/>
  <c r="F55" i="9"/>
  <c r="F54" i="9"/>
  <c r="F53" i="9"/>
  <c r="N53" i="9" s="1"/>
  <c r="F64" i="9"/>
  <c r="N64" i="9" s="1"/>
  <c r="F60" i="9"/>
  <c r="F56" i="9"/>
  <c r="F65" i="9"/>
  <c r="F67" i="9"/>
  <c r="N67" i="9" s="1"/>
  <c r="F49" i="9"/>
  <c r="F45" i="9"/>
  <c r="N45" i="9" s="1"/>
  <c r="F41" i="9"/>
  <c r="F69" i="9"/>
  <c r="N69" i="9" s="1"/>
  <c r="B14" i="9"/>
  <c r="B15" i="9"/>
  <c r="J15" i="9" s="1"/>
  <c r="B16" i="9"/>
  <c r="J16" i="9" s="1"/>
  <c r="B17" i="9"/>
  <c r="J17" i="9" s="1"/>
  <c r="B18" i="9"/>
  <c r="J18" i="9" s="1"/>
  <c r="B19" i="9"/>
  <c r="J19" i="9" s="1"/>
  <c r="B20" i="9"/>
  <c r="J20" i="9" s="1"/>
  <c r="C21" i="9"/>
  <c r="K21" i="9" s="1"/>
  <c r="F22" i="9"/>
  <c r="H23" i="9"/>
  <c r="C25" i="9"/>
  <c r="F26" i="9"/>
  <c r="H27" i="9"/>
  <c r="B28" i="9"/>
  <c r="H29" i="9"/>
  <c r="B30" i="9"/>
  <c r="J30" i="9" s="1"/>
  <c r="H31" i="9"/>
  <c r="E32" i="9"/>
  <c r="I34" i="9"/>
  <c r="G35" i="9"/>
  <c r="E36" i="9"/>
  <c r="I38" i="9"/>
  <c r="Q38" i="9" s="1"/>
  <c r="G39" i="9"/>
  <c r="O39" i="9" s="1"/>
  <c r="F40" i="9"/>
  <c r="N40" i="9" s="1"/>
  <c r="C41" i="9"/>
  <c r="C42" i="9"/>
  <c r="K42" i="9" s="1"/>
  <c r="I47" i="9"/>
  <c r="I48" i="9"/>
  <c r="Q48" i="9" s="1"/>
  <c r="I49" i="9"/>
  <c r="Q49" i="9" s="1"/>
  <c r="E50" i="9"/>
  <c r="M50" i="9" s="1"/>
  <c r="E51" i="9"/>
  <c r="M51" i="9" s="1"/>
  <c r="B52" i="9"/>
  <c r="J52" i="9" s="1"/>
  <c r="B53" i="9"/>
  <c r="D54" i="9"/>
  <c r="C55" i="9"/>
  <c r="H59" i="9"/>
  <c r="E62" i="9"/>
  <c r="C65" i="9"/>
  <c r="K65" i="9" s="1"/>
  <c r="D70" i="9"/>
  <c r="L70" i="9" s="1"/>
  <c r="E74" i="9"/>
  <c r="M74" i="9" s="1"/>
  <c r="D77" i="9"/>
  <c r="C80" i="9"/>
  <c r="K80" i="9" s="1"/>
  <c r="D82" i="9"/>
  <c r="C85" i="9"/>
  <c r="K85" i="9" s="1"/>
  <c r="D87" i="9"/>
  <c r="L87" i="9" s="1"/>
  <c r="C90" i="9"/>
  <c r="K90" i="9" s="1"/>
  <c r="B93" i="9"/>
  <c r="J93" i="9" s="1"/>
  <c r="C95" i="9"/>
  <c r="K95" i="9" s="1"/>
  <c r="C14" i="9"/>
  <c r="C15" i="9"/>
  <c r="K15" i="9" s="1"/>
  <c r="C16" i="9"/>
  <c r="K16" i="9" s="1"/>
  <c r="C17" i="9"/>
  <c r="K17" i="9" s="1"/>
  <c r="C18" i="9"/>
  <c r="K18" i="9" s="1"/>
  <c r="C19" i="9"/>
  <c r="K19" i="9" s="1"/>
  <c r="C20" i="9"/>
  <c r="K20" i="9" s="1"/>
  <c r="E21" i="9"/>
  <c r="M21" i="9" s="1"/>
  <c r="G22" i="9"/>
  <c r="I23" i="9"/>
  <c r="B24" i="9"/>
  <c r="E25" i="9"/>
  <c r="I27" i="9"/>
  <c r="E28" i="9"/>
  <c r="M28" i="9" s="1"/>
  <c r="I29" i="9"/>
  <c r="Q29" i="9" s="1"/>
  <c r="E30" i="9"/>
  <c r="M30" i="9" s="1"/>
  <c r="I31" i="9"/>
  <c r="F32" i="9"/>
  <c r="H35" i="9"/>
  <c r="F36" i="9"/>
  <c r="H39" i="9"/>
  <c r="H40" i="9"/>
  <c r="P40" i="9" s="1"/>
  <c r="D41" i="9"/>
  <c r="D42" i="9"/>
  <c r="L42" i="9" s="1"/>
  <c r="D43" i="9"/>
  <c r="F50" i="9"/>
  <c r="F51" i="9"/>
  <c r="N51" i="9" s="1"/>
  <c r="F52" i="9"/>
  <c r="N52" i="9" s="1"/>
  <c r="C53" i="9"/>
  <c r="E54" i="9"/>
  <c r="D55" i="9"/>
  <c r="L55" i="9" s="1"/>
  <c r="E58" i="9"/>
  <c r="M58" i="9" s="1"/>
  <c r="I59" i="9"/>
  <c r="C61" i="9"/>
  <c r="F62" i="9"/>
  <c r="H65" i="9"/>
  <c r="C67" i="9"/>
  <c r="D75" i="9"/>
  <c r="E77" i="9"/>
  <c r="M77" i="9" s="1"/>
  <c r="D80" i="9"/>
  <c r="L80" i="9" s="1"/>
  <c r="E82" i="9"/>
  <c r="D85" i="9"/>
  <c r="C88" i="9"/>
  <c r="K88" i="9" s="1"/>
  <c r="D90" i="9"/>
  <c r="D95" i="9"/>
  <c r="L95" i="9" s="1"/>
  <c r="C72" i="9"/>
  <c r="K72" i="9" s="1"/>
  <c r="C62" i="9"/>
  <c r="K62" i="9" s="1"/>
  <c r="C58" i="9"/>
  <c r="K58" i="9" s="1"/>
  <c r="C71" i="9"/>
  <c r="C91" i="9"/>
  <c r="C83" i="9"/>
  <c r="K83" i="9" s="1"/>
  <c r="C75" i="9"/>
  <c r="C54" i="9"/>
  <c r="K54" i="9" s="1"/>
  <c r="C51" i="9"/>
  <c r="C47" i="9"/>
  <c r="K47" i="9" s="1"/>
  <c r="C43" i="9"/>
  <c r="K43" i="9" s="1"/>
  <c r="C94" i="9"/>
  <c r="K94" i="9" s="1"/>
  <c r="C86" i="9"/>
  <c r="K86" i="9" s="1"/>
  <c r="C78" i="9"/>
  <c r="C57" i="9"/>
  <c r="C56" i="9"/>
  <c r="K56" i="9" s="1"/>
  <c r="C39" i="9"/>
  <c r="C38" i="9"/>
  <c r="C37" i="9"/>
  <c r="K37" i="9" s="1"/>
  <c r="C36" i="9"/>
  <c r="C35" i="9"/>
  <c r="K35" i="9" s="1"/>
  <c r="C34" i="9"/>
  <c r="C33" i="9"/>
  <c r="C32" i="9"/>
  <c r="C31" i="9"/>
  <c r="C30" i="9"/>
  <c r="C29" i="9"/>
  <c r="K29" i="9" s="1"/>
  <c r="C28" i="9"/>
  <c r="C97" i="9"/>
  <c r="C89" i="9"/>
  <c r="K89" i="9" s="1"/>
  <c r="C81" i="9"/>
  <c r="K81" i="9" s="1"/>
  <c r="C66" i="9"/>
  <c r="C52" i="9"/>
  <c r="K52" i="9" s="1"/>
  <c r="C48" i="9"/>
  <c r="K48" i="9" s="1"/>
  <c r="C44" i="9"/>
  <c r="K44" i="9" s="1"/>
  <c r="C40" i="9"/>
  <c r="C96" i="9"/>
  <c r="G97" i="9"/>
  <c r="G96" i="9"/>
  <c r="G95" i="9"/>
  <c r="G94" i="9"/>
  <c r="G93" i="9"/>
  <c r="G92" i="9"/>
  <c r="O92" i="9" s="1"/>
  <c r="G91" i="9"/>
  <c r="G90" i="9"/>
  <c r="G89" i="9"/>
  <c r="G88" i="9"/>
  <c r="G87" i="9"/>
  <c r="G86" i="9"/>
  <c r="G85" i="9"/>
  <c r="G84" i="9"/>
  <c r="O84" i="9" s="1"/>
  <c r="G83" i="9"/>
  <c r="G82" i="9"/>
  <c r="G81" i="9"/>
  <c r="G80" i="9"/>
  <c r="G79" i="9"/>
  <c r="G78" i="9"/>
  <c r="G77" i="9"/>
  <c r="G76" i="9"/>
  <c r="O76" i="9" s="1"/>
  <c r="G75" i="9"/>
  <c r="G74" i="9"/>
  <c r="O74" i="9" s="1"/>
  <c r="G73" i="9"/>
  <c r="G72" i="9"/>
  <c r="G71" i="9"/>
  <c r="G70" i="9"/>
  <c r="G69" i="9"/>
  <c r="G68" i="9"/>
  <c r="O68" i="9" s="1"/>
  <c r="G67" i="9"/>
  <c r="G66" i="9"/>
  <c r="O66" i="9" s="1"/>
  <c r="G65" i="9"/>
  <c r="G64" i="9"/>
  <c r="G63" i="9"/>
  <c r="G62" i="9"/>
  <c r="G61" i="9"/>
  <c r="G60" i="9"/>
  <c r="O60" i="9" s="1"/>
  <c r="G59" i="9"/>
  <c r="G58" i="9"/>
  <c r="O58" i="9" s="1"/>
  <c r="G57" i="9"/>
  <c r="G56" i="9"/>
  <c r="G55" i="9"/>
  <c r="G54" i="9"/>
  <c r="G53" i="9"/>
  <c r="G52" i="9"/>
  <c r="O52" i="9" s="1"/>
  <c r="G51" i="9"/>
  <c r="G50" i="9"/>
  <c r="O50" i="9" s="1"/>
  <c r="G49" i="9"/>
  <c r="G48" i="9"/>
  <c r="G47" i="9"/>
  <c r="G46" i="9"/>
  <c r="G45" i="9"/>
  <c r="G44" i="9"/>
  <c r="O44" i="9" s="1"/>
  <c r="G43" i="9"/>
  <c r="G42" i="9"/>
  <c r="O42" i="9" s="1"/>
  <c r="G41" i="9"/>
  <c r="G40" i="9"/>
  <c r="D14" i="9"/>
  <c r="D15" i="9"/>
  <c r="L15" i="9" s="1"/>
  <c r="D16" i="9"/>
  <c r="L16" i="9" s="1"/>
  <c r="D17" i="9"/>
  <c r="L17" i="9" s="1"/>
  <c r="D18" i="9"/>
  <c r="D19" i="9"/>
  <c r="L19" i="9" s="1"/>
  <c r="D20" i="9"/>
  <c r="F21" i="9"/>
  <c r="H22" i="9"/>
  <c r="P22" i="9" s="1"/>
  <c r="C24" i="9"/>
  <c r="K24" i="9" s="1"/>
  <c r="F25" i="9"/>
  <c r="N25" i="9" s="1"/>
  <c r="H26" i="9"/>
  <c r="P26" i="9" s="1"/>
  <c r="F28" i="9"/>
  <c r="N28" i="9" s="1"/>
  <c r="F30" i="9"/>
  <c r="N30" i="9" s="1"/>
  <c r="G32" i="9"/>
  <c r="E33" i="9"/>
  <c r="M33" i="9" s="1"/>
  <c r="I35" i="9"/>
  <c r="Q35" i="9" s="1"/>
  <c r="G36" i="9"/>
  <c r="O36" i="9" s="1"/>
  <c r="E37" i="9"/>
  <c r="M37" i="9" s="1"/>
  <c r="I39" i="9"/>
  <c r="Q39" i="9" s="1"/>
  <c r="I40" i="9"/>
  <c r="I41" i="9"/>
  <c r="Q41" i="9" s="1"/>
  <c r="E42" i="9"/>
  <c r="M42" i="9" s="1"/>
  <c r="E43" i="9"/>
  <c r="M43" i="9" s="1"/>
  <c r="B44" i="9"/>
  <c r="B45" i="9"/>
  <c r="J45" i="9" s="1"/>
  <c r="B46" i="9"/>
  <c r="J46" i="9" s="1"/>
  <c r="H51" i="9"/>
  <c r="P51" i="9" s="1"/>
  <c r="H52" i="9"/>
  <c r="D53" i="9"/>
  <c r="H54" i="9"/>
  <c r="F58" i="9"/>
  <c r="D61" i="9"/>
  <c r="B64" i="9"/>
  <c r="D67" i="9"/>
  <c r="L67" i="9" s="1"/>
  <c r="C69" i="9"/>
  <c r="K69" i="9" s="1"/>
  <c r="B71" i="9"/>
  <c r="B73" i="9"/>
  <c r="J73" i="9" s="1"/>
  <c r="E75" i="9"/>
  <c r="E80" i="9"/>
  <c r="D83" i="9"/>
  <c r="L83" i="9" s="1"/>
  <c r="E85" i="9"/>
  <c r="M85" i="9" s="1"/>
  <c r="D88" i="9"/>
  <c r="L88" i="9" s="1"/>
  <c r="E90" i="9"/>
  <c r="M90" i="9" s="1"/>
  <c r="D93" i="9"/>
  <c r="D96" i="9"/>
  <c r="E14" i="9"/>
  <c r="E15" i="9"/>
  <c r="M15" i="9" s="1"/>
  <c r="E16" i="9"/>
  <c r="M16" i="9" s="1"/>
  <c r="E17" i="9"/>
  <c r="M17" i="9" s="1"/>
  <c r="E18" i="9"/>
  <c r="M18" i="9" s="1"/>
  <c r="E19" i="9"/>
  <c r="M19" i="9" s="1"/>
  <c r="E20" i="9"/>
  <c r="G21" i="9"/>
  <c r="I22" i="9"/>
  <c r="B23" i="9"/>
  <c r="E24" i="9"/>
  <c r="M24" i="9" s="1"/>
  <c r="G25" i="9"/>
  <c r="O25" i="9" s="1"/>
  <c r="I26" i="9"/>
  <c r="Q26" i="9" s="1"/>
  <c r="B27" i="9"/>
  <c r="J27" i="9" s="1"/>
  <c r="G28" i="9"/>
  <c r="O28" i="9" s="1"/>
  <c r="G30" i="9"/>
  <c r="O30" i="9" s="1"/>
  <c r="H32" i="9"/>
  <c r="P32" i="9" s="1"/>
  <c r="F33" i="9"/>
  <c r="N33" i="9" s="1"/>
  <c r="H36" i="9"/>
  <c r="P36" i="9" s="1"/>
  <c r="F37" i="9"/>
  <c r="N37" i="9" s="1"/>
  <c r="F42" i="9"/>
  <c r="N42" i="9" s="1"/>
  <c r="F43" i="9"/>
  <c r="N43" i="9" s="1"/>
  <c r="F44" i="9"/>
  <c r="C45" i="9"/>
  <c r="C46" i="9"/>
  <c r="K46" i="9" s="1"/>
  <c r="I51" i="9"/>
  <c r="Q51" i="9" s="1"/>
  <c r="I52" i="9"/>
  <c r="Q52" i="9" s="1"/>
  <c r="H58" i="9"/>
  <c r="P58" i="9" s="1"/>
  <c r="B60" i="9"/>
  <c r="J60" i="9" s="1"/>
  <c r="E61" i="9"/>
  <c r="M61" i="9" s="1"/>
  <c r="C64" i="9"/>
  <c r="K64" i="9" s="1"/>
  <c r="D69" i="9"/>
  <c r="H71" i="9"/>
  <c r="P71" i="9" s="1"/>
  <c r="C73" i="9"/>
  <c r="E78" i="9"/>
  <c r="E83" i="9"/>
  <c r="M83" i="9" s="1"/>
  <c r="E88" i="9"/>
  <c r="M88" i="9" s="1"/>
  <c r="E93" i="9"/>
  <c r="M93" i="9" s="1"/>
  <c r="E96" i="9"/>
  <c r="M96" i="9" s="1"/>
  <c r="D62" i="9"/>
  <c r="D58" i="9"/>
  <c r="D71" i="9"/>
  <c r="D68" i="9"/>
  <c r="D66" i="9"/>
  <c r="L66" i="9" s="1"/>
  <c r="D63" i="9"/>
  <c r="L63" i="9" s="1"/>
  <c r="D59" i="9"/>
  <c r="L59" i="9" s="1"/>
  <c r="D94" i="9"/>
  <c r="L94" i="9" s="1"/>
  <c r="D86" i="9"/>
  <c r="L86" i="9" s="1"/>
  <c r="D78" i="9"/>
  <c r="L78" i="9" s="1"/>
  <c r="D57" i="9"/>
  <c r="D56" i="9"/>
  <c r="D39" i="9"/>
  <c r="D38" i="9"/>
  <c r="D37" i="9"/>
  <c r="L37" i="9" s="1"/>
  <c r="D36" i="9"/>
  <c r="D35" i="9"/>
  <c r="L35" i="9" s="1"/>
  <c r="D34" i="9"/>
  <c r="D33" i="9"/>
  <c r="D32" i="9"/>
  <c r="D31" i="9"/>
  <c r="D30" i="9"/>
  <c r="D29" i="9"/>
  <c r="L29" i="9" s="1"/>
  <c r="D28" i="9"/>
  <c r="D27" i="9"/>
  <c r="L27" i="9" s="1"/>
  <c r="D26" i="9"/>
  <c r="D25" i="9"/>
  <c r="D24" i="9"/>
  <c r="D23" i="9"/>
  <c r="D22" i="9"/>
  <c r="D21" i="9"/>
  <c r="L21" i="9" s="1"/>
  <c r="D97" i="9"/>
  <c r="D89" i="9"/>
  <c r="D81" i="9"/>
  <c r="D72" i="9"/>
  <c r="L72" i="9" s="1"/>
  <c r="D52" i="9"/>
  <c r="D48" i="9"/>
  <c r="D44" i="9"/>
  <c r="L44" i="9" s="1"/>
  <c r="D40" i="9"/>
  <c r="L40" i="9" s="1"/>
  <c r="D92" i="9"/>
  <c r="L92" i="9" s="1"/>
  <c r="D84" i="9"/>
  <c r="D76" i="9"/>
  <c r="D73" i="9"/>
  <c r="L73" i="9" s="1"/>
  <c r="D65" i="9"/>
  <c r="D64" i="9"/>
  <c r="I97" i="9"/>
  <c r="I96" i="9"/>
  <c r="Q96" i="9" s="1"/>
  <c r="I95" i="9"/>
  <c r="I94" i="9"/>
  <c r="Q94" i="9" s="1"/>
  <c r="I93" i="9"/>
  <c r="I92" i="9"/>
  <c r="I91" i="9"/>
  <c r="I90" i="9"/>
  <c r="I89" i="9"/>
  <c r="I88" i="9"/>
  <c r="Q88" i="9" s="1"/>
  <c r="I87" i="9"/>
  <c r="I86" i="9"/>
  <c r="Q86" i="9" s="1"/>
  <c r="I85" i="9"/>
  <c r="I84" i="9"/>
  <c r="I83" i="9"/>
  <c r="I82" i="9"/>
  <c r="I81" i="9"/>
  <c r="I80" i="9"/>
  <c r="Q80" i="9" s="1"/>
  <c r="I79" i="9"/>
  <c r="I78" i="9"/>
  <c r="Q78" i="9" s="1"/>
  <c r="I77" i="9"/>
  <c r="I76" i="9"/>
  <c r="I75" i="9"/>
  <c r="I74" i="9"/>
  <c r="I73" i="9"/>
  <c r="I72" i="9"/>
  <c r="Q72" i="9" s="1"/>
  <c r="I71" i="9"/>
  <c r="I70" i="9"/>
  <c r="Q70" i="9" s="1"/>
  <c r="I69" i="9"/>
  <c r="I68" i="9"/>
  <c r="I67" i="9"/>
  <c r="I66" i="9"/>
  <c r="I65" i="9"/>
  <c r="I64" i="9"/>
  <c r="Q64" i="9" s="1"/>
  <c r="I60" i="9"/>
  <c r="Q60" i="9" s="1"/>
  <c r="I56" i="9"/>
  <c r="I61" i="9"/>
  <c r="Q61" i="9" s="1"/>
  <c r="I57" i="9"/>
  <c r="Q57" i="9" s="1"/>
  <c r="I55" i="9"/>
  <c r="Q55" i="9" s="1"/>
  <c r="I53" i="9"/>
  <c r="Q53" i="9" s="1"/>
  <c r="I63" i="9"/>
  <c r="I62" i="9"/>
  <c r="Q62" i="9" s="1"/>
  <c r="I50" i="9"/>
  <c r="I46" i="9"/>
  <c r="I42" i="9"/>
  <c r="Q42" i="9" s="1"/>
  <c r="F14" i="9"/>
  <c r="F15" i="9"/>
  <c r="N15" i="9" s="1"/>
  <c r="F16" i="9"/>
  <c r="N16" i="9" s="1"/>
  <c r="F17" i="9"/>
  <c r="N17" i="9" s="1"/>
  <c r="F18" i="9"/>
  <c r="N18" i="9" s="1"/>
  <c r="F19" i="9"/>
  <c r="F20" i="9"/>
  <c r="N20" i="9" s="1"/>
  <c r="H21" i="9"/>
  <c r="C23" i="9"/>
  <c r="F24" i="9"/>
  <c r="H25" i="9"/>
  <c r="P25" i="9" s="1"/>
  <c r="C27" i="9"/>
  <c r="K27" i="9" s="1"/>
  <c r="H28" i="9"/>
  <c r="P28" i="9" s="1"/>
  <c r="B29" i="9"/>
  <c r="H30" i="9"/>
  <c r="B31" i="9"/>
  <c r="I32" i="9"/>
  <c r="Q32" i="9" s="1"/>
  <c r="G33" i="9"/>
  <c r="O33" i="9" s="1"/>
  <c r="E34" i="9"/>
  <c r="M34" i="9" s="1"/>
  <c r="I36" i="9"/>
  <c r="Q36" i="9" s="1"/>
  <c r="G37" i="9"/>
  <c r="O37" i="9" s="1"/>
  <c r="E38" i="9"/>
  <c r="H43" i="9"/>
  <c r="H44" i="9"/>
  <c r="P44" i="9" s="1"/>
  <c r="D45" i="9"/>
  <c r="D46" i="9"/>
  <c r="L46" i="9" s="1"/>
  <c r="D47" i="9"/>
  <c r="L47" i="9" s="1"/>
  <c r="E57" i="9"/>
  <c r="M57" i="9" s="1"/>
  <c r="I58" i="9"/>
  <c r="Q58" i="9" s="1"/>
  <c r="C60" i="9"/>
  <c r="K60" i="9" s="1"/>
  <c r="F61" i="9"/>
  <c r="N61" i="9" s="1"/>
  <c r="E69" i="9"/>
  <c r="B76" i="9"/>
  <c r="J76" i="9" s="1"/>
  <c r="B81" i="9"/>
  <c r="J81" i="9" s="1"/>
  <c r="E86" i="9"/>
  <c r="M86" i="9" s="1"/>
  <c r="E91" i="9"/>
  <c r="G14" i="9"/>
  <c r="G15" i="9"/>
  <c r="G16" i="9"/>
  <c r="O16" i="9" s="1"/>
  <c r="G17" i="9"/>
  <c r="O17" i="9" s="1"/>
  <c r="G18" i="9"/>
  <c r="O18" i="9" s="1"/>
  <c r="G19" i="9"/>
  <c r="O19" i="9" s="1"/>
  <c r="G20" i="9"/>
  <c r="O20" i="9" s="1"/>
  <c r="I21" i="9"/>
  <c r="Q21" i="9" s="1"/>
  <c r="B22" i="9"/>
  <c r="J22" i="9" s="1"/>
  <c r="E23" i="9"/>
  <c r="G24" i="9"/>
  <c r="I25" i="9"/>
  <c r="B26" i="9"/>
  <c r="J26" i="9" s="1"/>
  <c r="E27" i="9"/>
  <c r="M27" i="9" s="1"/>
  <c r="I28" i="9"/>
  <c r="Q28" i="9" s="1"/>
  <c r="E29" i="9"/>
  <c r="M29" i="9" s="1"/>
  <c r="I30" i="9"/>
  <c r="Q30" i="9" s="1"/>
  <c r="E31" i="9"/>
  <c r="H33" i="9"/>
  <c r="P33" i="9" s="1"/>
  <c r="F34" i="9"/>
  <c r="N34" i="9" s="1"/>
  <c r="H37" i="9"/>
  <c r="F38" i="9"/>
  <c r="I43" i="9"/>
  <c r="Q43" i="9" s="1"/>
  <c r="I44" i="9"/>
  <c r="Q44" i="9" s="1"/>
  <c r="I45" i="9"/>
  <c r="Q45" i="9" s="1"/>
  <c r="E46" i="9"/>
  <c r="M46" i="9" s="1"/>
  <c r="E47" i="9"/>
  <c r="M47" i="9" s="1"/>
  <c r="B48" i="9"/>
  <c r="B49" i="9"/>
  <c r="J49" i="9" s="1"/>
  <c r="B50" i="9"/>
  <c r="J50" i="9" s="1"/>
  <c r="F57" i="9"/>
  <c r="N57" i="9" s="1"/>
  <c r="D60" i="9"/>
  <c r="B63" i="9"/>
  <c r="J63" i="9" s="1"/>
  <c r="B66" i="9"/>
  <c r="J66" i="9" s="1"/>
  <c r="B74" i="9"/>
  <c r="J74" i="9" s="1"/>
  <c r="C76" i="9"/>
  <c r="K76" i="9" s="1"/>
  <c r="B79" i="9"/>
  <c r="J79" i="9" s="1"/>
  <c r="B84" i="9"/>
  <c r="J84" i="9" s="1"/>
  <c r="B89" i="9"/>
  <c r="E94" i="9"/>
  <c r="B97" i="9"/>
  <c r="J97" i="9" s="1"/>
  <c r="H11" i="7"/>
  <c r="H23" i="7"/>
  <c r="M23" i="7" s="1"/>
  <c r="Q38" i="7"/>
  <c r="Q39" i="7"/>
  <c r="M15" i="7"/>
  <c r="O15" i="7" s="1"/>
  <c r="P9" i="7" s="1"/>
  <c r="D63" i="2"/>
  <c r="N49" i="7" s="1"/>
  <c r="D61" i="2"/>
  <c r="N47" i="7" s="1"/>
  <c r="M7" i="7"/>
  <c r="O7" i="7" s="1"/>
  <c r="M14" i="7"/>
  <c r="D62" i="2"/>
  <c r="N48" i="7" s="1"/>
  <c r="D60" i="2"/>
  <c r="N46" i="7" s="1"/>
  <c r="M11" i="7"/>
  <c r="O11" i="7" s="1"/>
  <c r="D59" i="2"/>
  <c r="N45" i="7" s="1"/>
  <c r="I60" i="7"/>
  <c r="J60" i="7" s="1"/>
  <c r="F60" i="7" s="1"/>
  <c r="I35" i="7"/>
  <c r="J35" i="7" s="1"/>
  <c r="H35" i="7" s="1"/>
  <c r="L35" i="7" s="1"/>
  <c r="B39" i="7"/>
  <c r="I34" i="7"/>
  <c r="J34" i="7" s="1"/>
  <c r="H34" i="7" s="1"/>
  <c r="F58" i="7"/>
  <c r="B56" i="7"/>
  <c r="I49" i="7"/>
  <c r="J49" i="7" s="1"/>
  <c r="H49" i="7" s="1"/>
  <c r="B43" i="7"/>
  <c r="I33" i="7"/>
  <c r="J33" i="7" s="1"/>
  <c r="H33" i="7" s="1"/>
  <c r="I46" i="7"/>
  <c r="J46" i="7" s="1"/>
  <c r="H46" i="7" s="1"/>
  <c r="I31" i="7"/>
  <c r="J31" i="7" s="1"/>
  <c r="H31" i="7" s="1"/>
  <c r="I26" i="7"/>
  <c r="J26" i="7" s="1"/>
  <c r="H26" i="7" s="1"/>
  <c r="F59" i="7"/>
  <c r="D55" i="2"/>
  <c r="N41" i="7" s="1"/>
  <c r="D67" i="2"/>
  <c r="N53" i="7" s="1"/>
  <c r="I6" i="7"/>
  <c r="J6" i="7" s="1"/>
  <c r="H6" i="7" s="1"/>
  <c r="M6" i="7" s="1"/>
  <c r="L7" i="7"/>
  <c r="I10" i="7"/>
  <c r="J10" i="7" s="1"/>
  <c r="H10" i="7" s="1"/>
  <c r="L10" i="7" s="1"/>
  <c r="L11" i="7"/>
  <c r="I14" i="7"/>
  <c r="J14" i="7" s="1"/>
  <c r="H14" i="7" s="1"/>
  <c r="L15" i="7"/>
  <c r="I18" i="7"/>
  <c r="J18" i="7" s="1"/>
  <c r="H18" i="7" s="1"/>
  <c r="I22" i="7"/>
  <c r="J22" i="7" s="1"/>
  <c r="H22" i="7" s="1"/>
  <c r="L23" i="7"/>
  <c r="I53" i="7"/>
  <c r="J53" i="7" s="1"/>
  <c r="H53" i="7" s="1"/>
  <c r="M53" i="7" s="1"/>
  <c r="I54" i="7"/>
  <c r="J54" i="7" s="1"/>
  <c r="H54" i="7" s="1"/>
  <c r="M54" i="7" s="1"/>
  <c r="D74" i="2"/>
  <c r="N60" i="7" s="1"/>
  <c r="D66" i="2"/>
  <c r="N52" i="7" s="1"/>
  <c r="D58" i="2"/>
  <c r="N44" i="7" s="1"/>
  <c r="O23" i="7"/>
  <c r="P17" i="7" s="1"/>
  <c r="I48" i="7"/>
  <c r="J48" i="7" s="1"/>
  <c r="H48" i="7" s="1"/>
  <c r="D73" i="2"/>
  <c r="N59" i="7" s="1"/>
  <c r="D65" i="2"/>
  <c r="N51" i="7" s="1"/>
  <c r="D57" i="2"/>
  <c r="N43" i="7" s="1"/>
  <c r="I9" i="7"/>
  <c r="J9" i="7" s="1"/>
  <c r="H9" i="7" s="1"/>
  <c r="M9" i="7" s="1"/>
  <c r="I13" i="7"/>
  <c r="J13" i="7" s="1"/>
  <c r="H13" i="7" s="1"/>
  <c r="I17" i="7"/>
  <c r="J17" i="7" s="1"/>
  <c r="H17" i="7" s="1"/>
  <c r="M17" i="7" s="1"/>
  <c r="I21" i="7"/>
  <c r="J21" i="7" s="1"/>
  <c r="H21" i="7" s="1"/>
  <c r="M21" i="7" s="1"/>
  <c r="I32" i="7"/>
  <c r="J32" i="7" s="1"/>
  <c r="H32" i="7" s="1"/>
  <c r="M32" i="7" s="1"/>
  <c r="I45" i="7"/>
  <c r="J45" i="7" s="1"/>
  <c r="H45" i="7" s="1"/>
  <c r="M45" i="7" s="1"/>
  <c r="D72" i="2"/>
  <c r="N58" i="7" s="1"/>
  <c r="D64" i="2"/>
  <c r="N50" i="7" s="1"/>
  <c r="D56" i="2"/>
  <c r="N42" i="7" s="1"/>
  <c r="I25" i="7"/>
  <c r="J25" i="7" s="1"/>
  <c r="H25" i="7" s="1"/>
  <c r="M25" i="7" s="1"/>
  <c r="I40" i="7"/>
  <c r="J40" i="7" s="1"/>
  <c r="H40" i="7" s="1"/>
  <c r="I41" i="7"/>
  <c r="J41" i="7" s="1"/>
  <c r="H41" i="7" s="1"/>
  <c r="D71" i="2"/>
  <c r="N57" i="7" s="1"/>
  <c r="I8" i="7"/>
  <c r="J8" i="7" s="1"/>
  <c r="H8" i="7" s="1"/>
  <c r="M8" i="7" s="1"/>
  <c r="I12" i="7"/>
  <c r="J12" i="7" s="1"/>
  <c r="H12" i="7" s="1"/>
  <c r="M12" i="7" s="1"/>
  <c r="I16" i="7"/>
  <c r="J16" i="7" s="1"/>
  <c r="H16" i="7" s="1"/>
  <c r="M16" i="7" s="1"/>
  <c r="I20" i="7"/>
  <c r="J20" i="7" s="1"/>
  <c r="H20" i="7" s="1"/>
  <c r="B50" i="7"/>
  <c r="D70" i="2"/>
  <c r="N56" i="7" s="1"/>
  <c r="I24" i="7"/>
  <c r="J24" i="7" s="1"/>
  <c r="H24" i="7" s="1"/>
  <c r="B27" i="7"/>
  <c r="I30" i="7"/>
  <c r="J30" i="7" s="1"/>
  <c r="H30" i="7" s="1"/>
  <c r="I36" i="7"/>
  <c r="J36" i="7" s="1"/>
  <c r="H36" i="7" s="1"/>
  <c r="B47" i="7"/>
  <c r="D69" i="2"/>
  <c r="N55" i="7" s="1"/>
  <c r="I19" i="7"/>
  <c r="J19" i="7" s="1"/>
  <c r="H19" i="7" s="1"/>
  <c r="M19" i="7" s="1"/>
  <c r="D68" i="2"/>
  <c r="N54" i="7" s="1"/>
  <c r="L37" i="8"/>
  <c r="C33" i="8"/>
  <c r="C35" i="8" s="1"/>
  <c r="J33" i="8"/>
  <c r="J22" i="8" s="1"/>
  <c r="J10" i="8" s="1"/>
  <c r="J35" i="8"/>
  <c r="L29" i="8"/>
  <c r="G17" i="8"/>
  <c r="I33" i="8"/>
  <c r="I22" i="8" s="1"/>
  <c r="I10" i="8" s="1"/>
  <c r="I35" i="8"/>
  <c r="I23" i="8" s="1"/>
  <c r="I12" i="8" s="1"/>
  <c r="D22" i="8"/>
  <c r="D10" i="8" s="1"/>
  <c r="K33" i="8"/>
  <c r="K22" i="8" s="1"/>
  <c r="K10" i="8" s="1"/>
  <c r="H8" i="8"/>
  <c r="F33" i="8"/>
  <c r="F22" i="8" s="1"/>
  <c r="F10" i="8" s="1"/>
  <c r="J17" i="8"/>
  <c r="J36" i="8"/>
  <c r="L34" i="8"/>
  <c r="Q51" i="8"/>
  <c r="J52" i="8"/>
  <c r="E7" i="8"/>
  <c r="E29" i="8"/>
  <c r="E18" i="8" s="1"/>
  <c r="E8" i="8" s="1"/>
  <c r="C30" i="8"/>
  <c r="I31" i="8"/>
  <c r="I20" i="8" s="1"/>
  <c r="I9" i="8" s="1"/>
  <c r="G32" i="8"/>
  <c r="G21" i="8" s="1"/>
  <c r="G11" i="8" s="1"/>
  <c r="E33" i="8"/>
  <c r="E22" i="8" s="1"/>
  <c r="E10" i="8" s="1"/>
  <c r="C52" i="8"/>
  <c r="C62" i="8"/>
  <c r="Q62" i="8" s="1"/>
  <c r="F7" i="8"/>
  <c r="I28" i="8"/>
  <c r="G29" i="8"/>
  <c r="G18" i="8" s="1"/>
  <c r="G8" i="8" s="1"/>
  <c r="C31" i="8"/>
  <c r="K31" i="8"/>
  <c r="K20" i="8" s="1"/>
  <c r="K9" i="8" s="1"/>
  <c r="G33" i="8"/>
  <c r="G22" i="8" s="1"/>
  <c r="G10" i="8" s="1"/>
  <c r="D18" i="8"/>
  <c r="F30" i="8"/>
  <c r="F19" i="8" s="1"/>
  <c r="F6" i="8" s="1"/>
  <c r="C28" i="8"/>
  <c r="K28" i="8"/>
  <c r="I29" i="8"/>
  <c r="I18" i="8" s="1"/>
  <c r="I8" i="8" s="1"/>
  <c r="G30" i="8"/>
  <c r="G19" i="8" s="1"/>
  <c r="G6" i="8" s="1"/>
  <c r="C32" i="8"/>
  <c r="K32" i="8"/>
  <c r="K21" i="8" s="1"/>
  <c r="K11" i="8" s="1"/>
  <c r="H34" i="8"/>
  <c r="H22" i="8" s="1"/>
  <c r="H10" i="8" s="1"/>
  <c r="D28" i="8"/>
  <c r="H30" i="8"/>
  <c r="H19" i="8" s="1"/>
  <c r="H6" i="8" s="1"/>
  <c r="D32" i="8"/>
  <c r="D21" i="8" s="1"/>
  <c r="D11" i="8" s="1"/>
  <c r="Q45" i="8"/>
  <c r="Q52" i="8" s="1"/>
  <c r="H13" i="8" l="1"/>
  <c r="J108" i="5"/>
  <c r="J107" i="5"/>
  <c r="J110" i="5"/>
  <c r="J106" i="5"/>
  <c r="J105" i="5"/>
  <c r="J109" i="5"/>
  <c r="G35" i="8"/>
  <c r="G23" i="8" s="1"/>
  <c r="G12" i="8" s="1"/>
  <c r="J23" i="8"/>
  <c r="J12" i="8" s="1"/>
  <c r="J111" i="5"/>
  <c r="L60" i="9"/>
  <c r="Q63" i="9"/>
  <c r="Q73" i="9"/>
  <c r="Q89" i="9"/>
  <c r="L30" i="9"/>
  <c r="M94" i="9"/>
  <c r="N70" i="9"/>
  <c r="M91" i="9"/>
  <c r="Q65" i="9"/>
  <c r="Q81" i="9"/>
  <c r="Q97" i="9"/>
  <c r="L22" i="9"/>
  <c r="L38" i="9"/>
  <c r="O45" i="9"/>
  <c r="O53" i="9"/>
  <c r="O61" i="9"/>
  <c r="O69" i="9"/>
  <c r="O77" i="9"/>
  <c r="O85" i="9"/>
  <c r="O93" i="9"/>
  <c r="K30" i="9"/>
  <c r="K38" i="9"/>
  <c r="L41" i="9"/>
  <c r="P29" i="9"/>
  <c r="P86" i="9"/>
  <c r="P79" i="9"/>
  <c r="M89" i="9"/>
  <c r="Q54" i="9"/>
  <c r="N41" i="9"/>
  <c r="N79" i="9"/>
  <c r="K49" i="9"/>
  <c r="J89" i="9"/>
  <c r="Q74" i="9"/>
  <c r="L48" i="9"/>
  <c r="O62" i="9"/>
  <c r="O94" i="9"/>
  <c r="N72" i="9"/>
  <c r="J38" i="9"/>
  <c r="J70" i="9"/>
  <c r="P95" i="9"/>
  <c r="N24" i="9"/>
  <c r="Q75" i="9"/>
  <c r="L52" i="9"/>
  <c r="L56" i="9"/>
  <c r="L61" i="9"/>
  <c r="O71" i="9"/>
  <c r="K66" i="9"/>
  <c r="Q27" i="9"/>
  <c r="N49" i="9"/>
  <c r="N97" i="9"/>
  <c r="J90" i="9"/>
  <c r="J21" i="9"/>
  <c r="P96" i="9"/>
  <c r="M79" i="9"/>
  <c r="P37" i="9"/>
  <c r="L45" i="9"/>
  <c r="K23" i="9"/>
  <c r="Q68" i="9"/>
  <c r="Q76" i="9"/>
  <c r="Q84" i="9"/>
  <c r="Q92" i="9"/>
  <c r="L25" i="9"/>
  <c r="L33" i="9"/>
  <c r="L57" i="9"/>
  <c r="L71" i="9"/>
  <c r="K73" i="9"/>
  <c r="J23" i="9"/>
  <c r="M80" i="9"/>
  <c r="N58" i="9"/>
  <c r="N21" i="9"/>
  <c r="O40" i="9"/>
  <c r="O48" i="9"/>
  <c r="O56" i="9"/>
  <c r="O64" i="9"/>
  <c r="O72" i="9"/>
  <c r="O80" i="9"/>
  <c r="O88" i="9"/>
  <c r="O96" i="9"/>
  <c r="K33" i="9"/>
  <c r="K57" i="9"/>
  <c r="K75" i="9"/>
  <c r="L90" i="9"/>
  <c r="P65" i="9"/>
  <c r="N36" i="9"/>
  <c r="M25" i="9"/>
  <c r="P59" i="9"/>
  <c r="O35" i="9"/>
  <c r="N26" i="9"/>
  <c r="N59" i="9"/>
  <c r="N74" i="9"/>
  <c r="N82" i="9"/>
  <c r="N90" i="9"/>
  <c r="J32" i="9"/>
  <c r="J75" i="9"/>
  <c r="J72" i="9"/>
  <c r="K87" i="9"/>
  <c r="K68" i="9"/>
  <c r="P47" i="9"/>
  <c r="O29" i="9"/>
  <c r="J87" i="9"/>
  <c r="K63" i="9"/>
  <c r="N46" i="9"/>
  <c r="N29" i="9"/>
  <c r="P61" i="9"/>
  <c r="P41" i="9"/>
  <c r="P70" i="9"/>
  <c r="P81" i="9"/>
  <c r="P89" i="9"/>
  <c r="P97" i="9"/>
  <c r="M87" i="9"/>
  <c r="M40" i="9"/>
  <c r="M70" i="9"/>
  <c r="L91" i="9"/>
  <c r="N87" i="9"/>
  <c r="Q90" i="9"/>
  <c r="L39" i="9"/>
  <c r="J64" i="9"/>
  <c r="O46" i="9"/>
  <c r="O78" i="9"/>
  <c r="K39" i="9"/>
  <c r="M54" i="9"/>
  <c r="J28" i="9"/>
  <c r="N80" i="9"/>
  <c r="M84" i="9"/>
  <c r="Q83" i="9"/>
  <c r="L24" i="9"/>
  <c r="M78" i="9"/>
  <c r="O55" i="9"/>
  <c r="O87" i="9"/>
  <c r="K53" i="9"/>
  <c r="P27" i="9"/>
  <c r="N73" i="9"/>
  <c r="J68" i="9"/>
  <c r="P88" i="9"/>
  <c r="O26" i="9"/>
  <c r="Q25" i="9"/>
  <c r="M69" i="9"/>
  <c r="J31" i="9"/>
  <c r="P21" i="9"/>
  <c r="Q69" i="9"/>
  <c r="Q77" i="9"/>
  <c r="Q85" i="9"/>
  <c r="Q93" i="9"/>
  <c r="L76" i="9"/>
  <c r="L81" i="9"/>
  <c r="L26" i="9"/>
  <c r="L34" i="9"/>
  <c r="L58" i="9"/>
  <c r="Q22" i="9"/>
  <c r="M75" i="9"/>
  <c r="P54" i="9"/>
  <c r="O32" i="9"/>
  <c r="L20" i="9"/>
  <c r="O41" i="9"/>
  <c r="O49" i="9"/>
  <c r="O57" i="9"/>
  <c r="O65" i="9"/>
  <c r="O73" i="9"/>
  <c r="O81" i="9"/>
  <c r="O89" i="9"/>
  <c r="O97" i="9"/>
  <c r="K34" i="9"/>
  <c r="K78" i="9"/>
  <c r="N62" i="9"/>
  <c r="P35" i="9"/>
  <c r="J24" i="9"/>
  <c r="L82" i="9"/>
  <c r="K55" i="9"/>
  <c r="Q47" i="9"/>
  <c r="Q34" i="9"/>
  <c r="K25" i="9"/>
  <c r="N65" i="9"/>
  <c r="N63" i="9"/>
  <c r="N75" i="9"/>
  <c r="N83" i="9"/>
  <c r="N91" i="9"/>
  <c r="J33" i="9"/>
  <c r="J78" i="9"/>
  <c r="J57" i="9"/>
  <c r="J85" i="9"/>
  <c r="K59" i="9"/>
  <c r="K84" i="9"/>
  <c r="M39" i="9"/>
  <c r="N27" i="9"/>
  <c r="P62" i="9"/>
  <c r="P45" i="9"/>
  <c r="P74" i="9"/>
  <c r="P82" i="9"/>
  <c r="P90" i="9"/>
  <c r="M41" i="9"/>
  <c r="M95" i="9"/>
  <c r="M44" i="9"/>
  <c r="M59" i="9"/>
  <c r="K93" i="9"/>
  <c r="N95" i="9"/>
  <c r="J47" i="9"/>
  <c r="K22" i="9"/>
  <c r="P78" i="9"/>
  <c r="Q66" i="9"/>
  <c r="L64" i="9"/>
  <c r="L31" i="9"/>
  <c r="O54" i="9"/>
  <c r="O86" i="9"/>
  <c r="K31" i="9"/>
  <c r="L75" i="9"/>
  <c r="N54" i="9"/>
  <c r="N96" i="9"/>
  <c r="M22" i="9"/>
  <c r="Q67" i="9"/>
  <c r="L65" i="9"/>
  <c r="L68" i="9"/>
  <c r="J44" i="9"/>
  <c r="O47" i="9"/>
  <c r="O79" i="9"/>
  <c r="K32" i="9"/>
  <c r="K67" i="9"/>
  <c r="M36" i="9"/>
  <c r="N55" i="9"/>
  <c r="J39" i="9"/>
  <c r="K70" i="9"/>
  <c r="P80" i="9"/>
  <c r="M92" i="9"/>
  <c r="O24" i="9"/>
  <c r="P30" i="9"/>
  <c r="Q46" i="9"/>
  <c r="Q56" i="9"/>
  <c r="L84" i="9"/>
  <c r="L89" i="9"/>
  <c r="L62" i="9"/>
  <c r="L69" i="9"/>
  <c r="K45" i="9"/>
  <c r="O21" i="9"/>
  <c r="L96" i="9"/>
  <c r="L53" i="9"/>
  <c r="O82" i="9"/>
  <c r="O90" i="9"/>
  <c r="K96" i="9"/>
  <c r="K97" i="9"/>
  <c r="K91" i="9"/>
  <c r="L85" i="9"/>
  <c r="K61" i="9"/>
  <c r="N50" i="9"/>
  <c r="N32" i="9"/>
  <c r="Q23" i="9"/>
  <c r="L54" i="9"/>
  <c r="M32" i="9"/>
  <c r="P23" i="9"/>
  <c r="N56" i="9"/>
  <c r="N66" i="9"/>
  <c r="N76" i="9"/>
  <c r="J91" i="9"/>
  <c r="J61" i="9"/>
  <c r="K82" i="9"/>
  <c r="M56" i="9"/>
  <c r="M26" i="9"/>
  <c r="J82" i="9"/>
  <c r="J59" i="9"/>
  <c r="O38" i="9"/>
  <c r="K26" i="9"/>
  <c r="P63" i="9"/>
  <c r="P49" i="9"/>
  <c r="P75" i="9"/>
  <c r="P83" i="9"/>
  <c r="P91" i="9"/>
  <c r="M48" i="9"/>
  <c r="M63" i="9"/>
  <c r="N71" i="9"/>
  <c r="J37" i="9"/>
  <c r="P56" i="9"/>
  <c r="P94" i="9"/>
  <c r="Q82" i="9"/>
  <c r="L23" i="9"/>
  <c r="O70" i="9"/>
  <c r="K51" i="9"/>
  <c r="N88" i="9"/>
  <c r="L49" i="9"/>
  <c r="P87" i="9"/>
  <c r="N38" i="9"/>
  <c r="Q91" i="9"/>
  <c r="L32" i="9"/>
  <c r="O63" i="9"/>
  <c r="O95" i="9"/>
  <c r="P39" i="9"/>
  <c r="M62" i="9"/>
  <c r="N89" i="9"/>
  <c r="J48" i="9"/>
  <c r="P43" i="9"/>
  <c r="M31" i="9"/>
  <c r="M23" i="9"/>
  <c r="O15" i="9"/>
  <c r="M38" i="9"/>
  <c r="J29" i="9"/>
  <c r="N19" i="9"/>
  <c r="Q50" i="9"/>
  <c r="Q71" i="9"/>
  <c r="Q79" i="9"/>
  <c r="Q87" i="9"/>
  <c r="Q95" i="9"/>
  <c r="L97" i="9"/>
  <c r="L28" i="9"/>
  <c r="L36" i="9"/>
  <c r="N44" i="9"/>
  <c r="M20" i="9"/>
  <c r="L93" i="9"/>
  <c r="J71" i="9"/>
  <c r="P52" i="9"/>
  <c r="Q40" i="9"/>
  <c r="L18" i="9"/>
  <c r="O43" i="9"/>
  <c r="O51" i="9"/>
  <c r="O59" i="9"/>
  <c r="O67" i="9"/>
  <c r="O75" i="9"/>
  <c r="O83" i="9"/>
  <c r="O91" i="9"/>
  <c r="K40" i="9"/>
  <c r="K28" i="9"/>
  <c r="K36" i="9"/>
  <c r="K71" i="9"/>
  <c r="M82" i="9"/>
  <c r="Q59" i="9"/>
  <c r="L43" i="9"/>
  <c r="Q31" i="9"/>
  <c r="O22" i="9"/>
  <c r="L77" i="9"/>
  <c r="J53" i="9"/>
  <c r="K41" i="9"/>
  <c r="P31" i="9"/>
  <c r="N22" i="9"/>
  <c r="N60" i="9"/>
  <c r="N68" i="9"/>
  <c r="N77" i="9"/>
  <c r="N85" i="9"/>
  <c r="N93" i="9"/>
  <c r="J35" i="9"/>
  <c r="J94" i="9"/>
  <c r="J80" i="9"/>
  <c r="J65" i="9"/>
  <c r="L79" i="9"/>
  <c r="J55" i="9"/>
  <c r="J40" i="9"/>
  <c r="J25" i="9"/>
  <c r="Q17" i="9"/>
  <c r="K79" i="9"/>
  <c r="P57" i="9"/>
  <c r="Q37" i="9"/>
  <c r="P24" i="9"/>
  <c r="P15" i="9"/>
  <c r="P67" i="9"/>
  <c r="P76" i="9"/>
  <c r="P84" i="9"/>
  <c r="P92" i="9"/>
  <c r="M49" i="9"/>
  <c r="M65" i="9"/>
  <c r="M52" i="9"/>
  <c r="M66" i="9"/>
  <c r="N39" i="9"/>
  <c r="M10" i="7"/>
  <c r="O10" i="7" s="1"/>
  <c r="M49" i="7"/>
  <c r="O49" i="7" s="1"/>
  <c r="P43" i="7" s="1"/>
  <c r="M20" i="7"/>
  <c r="O20" i="7" s="1"/>
  <c r="P14" i="7" s="1"/>
  <c r="M36" i="7"/>
  <c r="O36" i="7" s="1"/>
  <c r="P30" i="7" s="1"/>
  <c r="M48" i="7"/>
  <c r="O48" i="7" s="1"/>
  <c r="P42" i="7" s="1"/>
  <c r="M26" i="7"/>
  <c r="O26" i="7" s="1"/>
  <c r="P20" i="7" s="1"/>
  <c r="M24" i="7"/>
  <c r="O24" i="7" s="1"/>
  <c r="P18" i="7" s="1"/>
  <c r="M41" i="7"/>
  <c r="O41" i="7" s="1"/>
  <c r="P35" i="7" s="1"/>
  <c r="M31" i="7"/>
  <c r="O31" i="7" s="1"/>
  <c r="P25" i="7" s="1"/>
  <c r="M34" i="7"/>
  <c r="M30" i="7"/>
  <c r="M18" i="7"/>
  <c r="O18" i="7" s="1"/>
  <c r="P12" i="7" s="1"/>
  <c r="M40" i="7"/>
  <c r="O40" i="7" s="1"/>
  <c r="P34" i="7" s="1"/>
  <c r="M46" i="7"/>
  <c r="O46" i="7" s="1"/>
  <c r="P40" i="7" s="1"/>
  <c r="M35" i="7"/>
  <c r="O35" i="7" s="1"/>
  <c r="P29" i="7" s="1"/>
  <c r="M22" i="7"/>
  <c r="O22" i="7" s="1"/>
  <c r="P16" i="7" s="1"/>
  <c r="M33" i="7"/>
  <c r="O33" i="7" s="1"/>
  <c r="P27" i="7" s="1"/>
  <c r="M13" i="7"/>
  <c r="O13" i="7" s="1"/>
  <c r="P7" i="7" s="1"/>
  <c r="O17" i="7"/>
  <c r="P11" i="7" s="1"/>
  <c r="L19" i="7"/>
  <c r="L48" i="7"/>
  <c r="L40" i="7"/>
  <c r="O21" i="7"/>
  <c r="P15" i="7" s="1"/>
  <c r="L46" i="7"/>
  <c r="L41" i="7"/>
  <c r="O19" i="7"/>
  <c r="P13" i="7" s="1"/>
  <c r="H59" i="7"/>
  <c r="L32" i="7"/>
  <c r="L9" i="7"/>
  <c r="I37" i="7"/>
  <c r="J37" i="7" s="1"/>
  <c r="H37" i="7" s="1"/>
  <c r="I42" i="7"/>
  <c r="J42" i="7" s="1"/>
  <c r="H42" i="7" s="1"/>
  <c r="I39" i="7"/>
  <c r="J39" i="7" s="1"/>
  <c r="H39" i="7" s="1"/>
  <c r="O25" i="7"/>
  <c r="P19" i="7" s="1"/>
  <c r="O32" i="7"/>
  <c r="P26" i="7" s="1"/>
  <c r="I47" i="7"/>
  <c r="J47" i="7" s="1"/>
  <c r="H47" i="7" s="1"/>
  <c r="B28" i="7"/>
  <c r="L8" i="7"/>
  <c r="L26" i="7"/>
  <c r="L33" i="7"/>
  <c r="H60" i="7"/>
  <c r="M60" i="7" s="1"/>
  <c r="L25" i="7"/>
  <c r="O16" i="7"/>
  <c r="P10" i="7" s="1"/>
  <c r="O54" i="7"/>
  <c r="P48" i="7" s="1"/>
  <c r="L21" i="7"/>
  <c r="L31" i="7"/>
  <c r="L6" i="7"/>
  <c r="O8" i="7"/>
  <c r="B57" i="7"/>
  <c r="H58" i="7"/>
  <c r="L58" i="7" s="1"/>
  <c r="O9" i="7"/>
  <c r="L12" i="7"/>
  <c r="L22" i="7"/>
  <c r="I55" i="7"/>
  <c r="J55" i="7" s="1"/>
  <c r="H55" i="7" s="1"/>
  <c r="L24" i="7"/>
  <c r="O30" i="7"/>
  <c r="P24" i="7" s="1"/>
  <c r="B51" i="7"/>
  <c r="L45" i="7"/>
  <c r="L17" i="7"/>
  <c r="O45" i="7"/>
  <c r="P39" i="7" s="1"/>
  <c r="L36" i="7"/>
  <c r="L34" i="7"/>
  <c r="L16" i="7"/>
  <c r="L54" i="7"/>
  <c r="O53" i="7"/>
  <c r="P47" i="7" s="1"/>
  <c r="L53" i="7"/>
  <c r="L18" i="7"/>
  <c r="O6" i="7"/>
  <c r="L20" i="7"/>
  <c r="L13" i="7"/>
  <c r="O14" i="7"/>
  <c r="P8" i="7" s="1"/>
  <c r="L30" i="7"/>
  <c r="B44" i="7"/>
  <c r="L49" i="7"/>
  <c r="L14" i="7"/>
  <c r="O34" i="7"/>
  <c r="P28" i="7" s="1"/>
  <c r="I38" i="7"/>
  <c r="J38" i="7" s="1"/>
  <c r="H38" i="7" s="1"/>
  <c r="O12" i="7"/>
  <c r="P6" i="7" s="1"/>
  <c r="F35" i="8"/>
  <c r="F23" i="8" s="1"/>
  <c r="F12" i="8" s="1"/>
  <c r="F13" i="8" s="1"/>
  <c r="L32" i="8"/>
  <c r="C21" i="8"/>
  <c r="G7" i="8"/>
  <c r="J7" i="8"/>
  <c r="D17" i="8"/>
  <c r="D36" i="8"/>
  <c r="H24" i="8"/>
  <c r="C23" i="8"/>
  <c r="L31" i="8"/>
  <c r="C20" i="8"/>
  <c r="L30" i="8"/>
  <c r="C19" i="8"/>
  <c r="I17" i="8"/>
  <c r="I36" i="8"/>
  <c r="L18" i="8"/>
  <c r="D8" i="8"/>
  <c r="L8" i="8" s="1"/>
  <c r="E35" i="8"/>
  <c r="E23" i="8" s="1"/>
  <c r="E12" i="8" s="1"/>
  <c r="E13" i="8" s="1"/>
  <c r="L33" i="8"/>
  <c r="C22" i="8"/>
  <c r="K17" i="8"/>
  <c r="L28" i="8"/>
  <c r="C17" i="8"/>
  <c r="C36" i="8"/>
  <c r="H36" i="8"/>
  <c r="K35" i="8"/>
  <c r="G13" i="8" l="1"/>
  <c r="G36" i="8"/>
  <c r="K23" i="8"/>
  <c r="K12" i="8" s="1"/>
  <c r="F36" i="8"/>
  <c r="J24" i="8"/>
  <c r="J13" i="8"/>
  <c r="L35" i="8"/>
  <c r="G24" i="8"/>
  <c r="K36" i="8"/>
  <c r="K111" i="5" s="1"/>
  <c r="F24" i="8"/>
  <c r="M59" i="7"/>
  <c r="M39" i="7"/>
  <c r="O39" i="7" s="1"/>
  <c r="P33" i="7" s="1"/>
  <c r="M42" i="7"/>
  <c r="O42" i="7" s="1"/>
  <c r="P36" i="7" s="1"/>
  <c r="M37" i="7"/>
  <c r="O37" i="7" s="1"/>
  <c r="P31" i="7" s="1"/>
  <c r="M47" i="7"/>
  <c r="O47" i="7" s="1"/>
  <c r="P41" i="7" s="1"/>
  <c r="M55" i="7"/>
  <c r="O55" i="7" s="1"/>
  <c r="P49" i="7" s="1"/>
  <c r="M38" i="7"/>
  <c r="O38" i="7" s="1"/>
  <c r="P32" i="7" s="1"/>
  <c r="M58" i="7"/>
  <c r="O58" i="7" s="1"/>
  <c r="P52" i="7" s="1"/>
  <c r="O59" i="7"/>
  <c r="P53" i="7" s="1"/>
  <c r="L59" i="7"/>
  <c r="L37" i="7"/>
  <c r="I43" i="7"/>
  <c r="J43" i="7" s="1"/>
  <c r="H43" i="7" s="1"/>
  <c r="L42" i="7"/>
  <c r="L55" i="7"/>
  <c r="L47" i="7"/>
  <c r="L38" i="7"/>
  <c r="I50" i="7"/>
  <c r="J50" i="7" s="1"/>
  <c r="H50" i="7" s="1"/>
  <c r="B52" i="7"/>
  <c r="I57" i="7"/>
  <c r="J57" i="7" s="1"/>
  <c r="L60" i="7"/>
  <c r="I56" i="7"/>
  <c r="J56" i="7" s="1"/>
  <c r="I27" i="7"/>
  <c r="J27" i="7" s="1"/>
  <c r="H27" i="7" s="1"/>
  <c r="L39" i="7"/>
  <c r="O60" i="7"/>
  <c r="P54" i="7" s="1"/>
  <c r="P55" i="7" s="1"/>
  <c r="P56" i="7" s="1"/>
  <c r="P57" i="7" s="1"/>
  <c r="P58" i="7" s="1"/>
  <c r="P59" i="7" s="1"/>
  <c r="B29" i="7"/>
  <c r="I44" i="7"/>
  <c r="J44" i="7" s="1"/>
  <c r="H44" i="7" s="1"/>
  <c r="L20" i="8"/>
  <c r="C9" i="8"/>
  <c r="L9" i="8" s="1"/>
  <c r="C10" i="8"/>
  <c r="L10" i="8" s="1"/>
  <c r="L22" i="8"/>
  <c r="C11" i="8"/>
  <c r="L11" i="8" s="1"/>
  <c r="L21" i="8"/>
  <c r="E24" i="8"/>
  <c r="E36" i="8"/>
  <c r="K7" i="8"/>
  <c r="K13" i="8" s="1"/>
  <c r="K24" i="8"/>
  <c r="I7" i="8"/>
  <c r="I13" i="8" s="1"/>
  <c r="I24" i="8"/>
  <c r="C6" i="8"/>
  <c r="L19" i="8"/>
  <c r="D24" i="8"/>
  <c r="D7" i="8"/>
  <c r="D13" i="8" s="1"/>
  <c r="C7" i="8"/>
  <c r="L17" i="8"/>
  <c r="C24" i="8"/>
  <c r="L36" i="8"/>
  <c r="C12" i="8"/>
  <c r="L12" i="8" l="1"/>
  <c r="L23" i="8"/>
  <c r="K110" i="5"/>
  <c r="K106" i="5"/>
  <c r="K105" i="5"/>
  <c r="K107" i="5"/>
  <c r="K109" i="5"/>
  <c r="K108" i="5"/>
  <c r="M50" i="7"/>
  <c r="M44" i="7"/>
  <c r="M43" i="7"/>
  <c r="O43" i="7" s="1"/>
  <c r="P37" i="7" s="1"/>
  <c r="M27" i="7"/>
  <c r="O27" i="7" s="1"/>
  <c r="P21" i="7" s="1"/>
  <c r="I52" i="7"/>
  <c r="J52" i="7" s="1"/>
  <c r="H52" i="7" s="1"/>
  <c r="L43" i="7"/>
  <c r="I29" i="7"/>
  <c r="J29" i="7" s="1"/>
  <c r="H29" i="7" s="1"/>
  <c r="L27" i="7"/>
  <c r="L50" i="7"/>
  <c r="F57" i="7"/>
  <c r="F56" i="7"/>
  <c r="L44" i="7"/>
  <c r="I51" i="7"/>
  <c r="J51" i="7" s="1"/>
  <c r="H51" i="7" s="1"/>
  <c r="I28" i="7"/>
  <c r="J28" i="7" s="1"/>
  <c r="H28" i="7" s="1"/>
  <c r="O50" i="7"/>
  <c r="P44" i="7" s="1"/>
  <c r="O44" i="7"/>
  <c r="P38" i="7" s="1"/>
  <c r="L6" i="8"/>
  <c r="C13" i="8"/>
  <c r="L24" i="8"/>
  <c r="L7" i="8"/>
  <c r="M28" i="7" l="1"/>
  <c r="M29" i="7"/>
  <c r="H57" i="7"/>
  <c r="M51" i="7"/>
  <c r="M52" i="7"/>
  <c r="O52" i="7" s="1"/>
  <c r="P46" i="7" s="1"/>
  <c r="O51" i="7"/>
  <c r="P45" i="7" s="1"/>
  <c r="L51" i="7"/>
  <c r="O28" i="7"/>
  <c r="P22" i="7" s="1"/>
  <c r="L28" i="7"/>
  <c r="L29" i="7"/>
  <c r="L52" i="7"/>
  <c r="H56" i="7"/>
  <c r="M56" i="7" s="1"/>
  <c r="O29" i="7"/>
  <c r="P23" i="7" s="1"/>
  <c r="L57" i="7"/>
  <c r="L13" i="8"/>
  <c r="M57" i="7" l="1"/>
  <c r="O57" i="7" s="1"/>
  <c r="P51" i="7" s="1"/>
  <c r="O56" i="7"/>
  <c r="P50" i="7" s="1"/>
  <c r="L56" i="7"/>
  <c r="M4" i="2" l="1"/>
  <c r="AG65" i="1" l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D206" i="5"/>
  <c r="C206" i="5"/>
  <c r="E205" i="5"/>
  <c r="E203" i="5"/>
  <c r="E202" i="5"/>
  <c r="E201" i="5"/>
  <c r="E206" i="5" s="1"/>
  <c r="K169" i="5" s="1"/>
  <c r="K168" i="5" s="1"/>
  <c r="E200" i="5"/>
  <c r="C196" i="5"/>
  <c r="F191" i="5"/>
  <c r="G191" i="5" s="1"/>
  <c r="I168" i="5" s="1"/>
  <c r="I169" i="5" s="1"/>
  <c r="E191" i="5"/>
  <c r="F190" i="5"/>
  <c r="G190" i="5" s="1"/>
  <c r="E190" i="5"/>
  <c r="G189" i="5"/>
  <c r="F189" i="5"/>
  <c r="E189" i="5"/>
  <c r="F188" i="5"/>
  <c r="G188" i="5" s="1"/>
  <c r="E188" i="5"/>
  <c r="F187" i="5"/>
  <c r="E187" i="5"/>
  <c r="F186" i="5"/>
  <c r="G186" i="5" s="1"/>
  <c r="E186" i="5"/>
  <c r="F185" i="5"/>
  <c r="E185" i="5"/>
  <c r="G185" i="5" s="1"/>
  <c r="F184" i="5"/>
  <c r="G184" i="5" s="1"/>
  <c r="E184" i="5"/>
  <c r="F183" i="5"/>
  <c r="E183" i="5"/>
  <c r="G183" i="5" s="1"/>
  <c r="F182" i="5"/>
  <c r="E182" i="5"/>
  <c r="F181" i="5"/>
  <c r="G181" i="5" s="1"/>
  <c r="E181" i="5"/>
  <c r="F180" i="5"/>
  <c r="E180" i="5"/>
  <c r="G180" i="5" s="1"/>
  <c r="F179" i="5"/>
  <c r="E179" i="5"/>
  <c r="G179" i="5" s="1"/>
  <c r="F178" i="5"/>
  <c r="E178" i="5"/>
  <c r="F177" i="5"/>
  <c r="E177" i="5"/>
  <c r="G177" i="5" s="1"/>
  <c r="F176" i="5"/>
  <c r="E176" i="5"/>
  <c r="F175" i="5"/>
  <c r="G175" i="5" s="1"/>
  <c r="E168" i="5" s="1"/>
  <c r="E169" i="5" s="1"/>
  <c r="E175" i="5"/>
  <c r="F174" i="5"/>
  <c r="G174" i="5" s="1"/>
  <c r="E174" i="5"/>
  <c r="F173" i="5"/>
  <c r="E173" i="5"/>
  <c r="G173" i="5" s="1"/>
  <c r="D168" i="5" s="1"/>
  <c r="D169" i="5" s="1"/>
  <c r="F172" i="5"/>
  <c r="G172" i="5" s="1"/>
  <c r="C168" i="5" s="1"/>
  <c r="C169" i="5" s="1"/>
  <c r="E172" i="5"/>
  <c r="G164" i="5"/>
  <c r="E164" i="5"/>
  <c r="D164" i="5"/>
  <c r="F163" i="5"/>
  <c r="C163" i="5"/>
  <c r="F162" i="5"/>
  <c r="C162" i="5"/>
  <c r="F161" i="5"/>
  <c r="C161" i="5"/>
  <c r="F160" i="5"/>
  <c r="C160" i="5"/>
  <c r="F159" i="5"/>
  <c r="C159" i="5"/>
  <c r="F158" i="5"/>
  <c r="C158" i="5"/>
  <c r="F157" i="5"/>
  <c r="C157" i="5"/>
  <c r="F156" i="5"/>
  <c r="F164" i="5" s="1"/>
  <c r="C156" i="5"/>
  <c r="D144" i="5" s="1"/>
  <c r="D134" i="5" s="1"/>
  <c r="C155" i="5"/>
  <c r="F145" i="5"/>
  <c r="F135" i="5" s="1"/>
  <c r="C128" i="5"/>
  <c r="C129" i="5" s="1"/>
  <c r="G122" i="5"/>
  <c r="E122" i="5"/>
  <c r="D122" i="5"/>
  <c r="G121" i="5"/>
  <c r="F121" i="5"/>
  <c r="E121" i="5"/>
  <c r="D121" i="5"/>
  <c r="C121" i="5"/>
  <c r="C122" i="5" s="1"/>
  <c r="B64" i="5"/>
  <c r="H121" i="5" s="1"/>
  <c r="E58" i="5"/>
  <c r="C33" i="5" s="1"/>
  <c r="E57" i="5"/>
  <c r="E54" i="5"/>
  <c r="C35" i="5" s="1"/>
  <c r="E53" i="5"/>
  <c r="C32" i="5"/>
  <c r="C31" i="5"/>
  <c r="C30" i="5"/>
  <c r="C29" i="5"/>
  <c r="C28" i="5"/>
  <c r="B19" i="5"/>
  <c r="I121" i="5" s="1"/>
  <c r="I122" i="5" s="1"/>
  <c r="C34" i="4"/>
  <c r="AB69" i="1" s="1"/>
  <c r="C33" i="4"/>
  <c r="AB68" i="1" s="1"/>
  <c r="I45" i="4"/>
  <c r="AH80" i="1" s="1"/>
  <c r="G45" i="4"/>
  <c r="F45" i="4"/>
  <c r="AE80" i="1" s="1"/>
  <c r="D45" i="4"/>
  <c r="C45" i="4"/>
  <c r="AB80" i="1" s="1"/>
  <c r="I44" i="4"/>
  <c r="L19" i="1" s="1"/>
  <c r="G44" i="4"/>
  <c r="F44" i="4"/>
  <c r="AE79" i="1" s="1"/>
  <c r="D44" i="4"/>
  <c r="C44" i="4"/>
  <c r="AB79" i="1" s="1"/>
  <c r="I43" i="4"/>
  <c r="AH78" i="1" s="1"/>
  <c r="G43" i="4"/>
  <c r="F43" i="4"/>
  <c r="AE78" i="1" s="1"/>
  <c r="D43" i="4"/>
  <c r="C43" i="4"/>
  <c r="AB78" i="1" s="1"/>
  <c r="I42" i="4"/>
  <c r="AH77" i="1" s="1"/>
  <c r="G42" i="4"/>
  <c r="F42" i="4"/>
  <c r="AE77" i="1" s="1"/>
  <c r="D42" i="4"/>
  <c r="C42" i="4"/>
  <c r="AB77" i="1" s="1"/>
  <c r="I41" i="4"/>
  <c r="AH76" i="1" s="1"/>
  <c r="G41" i="4"/>
  <c r="F41" i="4"/>
  <c r="AE76" i="1" s="1"/>
  <c r="D41" i="4"/>
  <c r="C41" i="4"/>
  <c r="AB76" i="1" s="1"/>
  <c r="I40" i="4"/>
  <c r="L15" i="1" s="1"/>
  <c r="G40" i="4"/>
  <c r="F40" i="4"/>
  <c r="AE75" i="1" s="1"/>
  <c r="D40" i="4"/>
  <c r="C40" i="4"/>
  <c r="AB75" i="1" s="1"/>
  <c r="I39" i="4"/>
  <c r="L14" i="1" s="1"/>
  <c r="G39" i="4"/>
  <c r="F39" i="4"/>
  <c r="AE74" i="1" s="1"/>
  <c r="D39" i="4"/>
  <c r="C39" i="4"/>
  <c r="AB74" i="1" s="1"/>
  <c r="I38" i="4"/>
  <c r="AH73" i="1" s="1"/>
  <c r="G38" i="4"/>
  <c r="F38" i="4"/>
  <c r="AE73" i="1" s="1"/>
  <c r="D38" i="4"/>
  <c r="C38" i="4"/>
  <c r="AB73" i="1" s="1"/>
  <c r="I37" i="4"/>
  <c r="AH72" i="1" s="1"/>
  <c r="G37" i="4"/>
  <c r="F37" i="4"/>
  <c r="AE72" i="1" s="1"/>
  <c r="D37" i="4"/>
  <c r="C37" i="4"/>
  <c r="AB72" i="1" s="1"/>
  <c r="I36" i="4"/>
  <c r="L11" i="1" s="1"/>
  <c r="G36" i="4"/>
  <c r="F36" i="4"/>
  <c r="AE71" i="1" s="1"/>
  <c r="D36" i="4"/>
  <c r="C36" i="4"/>
  <c r="AB71" i="1" s="1"/>
  <c r="I35" i="4"/>
  <c r="AH70" i="1" s="1"/>
  <c r="G35" i="4"/>
  <c r="F35" i="4"/>
  <c r="AE70" i="1" s="1"/>
  <c r="D35" i="4"/>
  <c r="C35" i="4"/>
  <c r="AB70" i="1" s="1"/>
  <c r="I34" i="4"/>
  <c r="AH69" i="1" s="1"/>
  <c r="G34" i="4"/>
  <c r="F34" i="4"/>
  <c r="AE69" i="1" s="1"/>
  <c r="D34" i="4"/>
  <c r="I33" i="4"/>
  <c r="AH68" i="1" s="1"/>
  <c r="G33" i="4"/>
  <c r="F33" i="4"/>
  <c r="AE68" i="1" s="1"/>
  <c r="D33" i="4"/>
  <c r="I32" i="4"/>
  <c r="L7" i="1" s="1"/>
  <c r="G32" i="4"/>
  <c r="F32" i="4"/>
  <c r="AE67" i="1" s="1"/>
  <c r="D32" i="4"/>
  <c r="C32" i="4"/>
  <c r="AB67" i="1" s="1"/>
  <c r="I31" i="4"/>
  <c r="L6" i="1" s="1"/>
  <c r="G31" i="4"/>
  <c r="F31" i="4"/>
  <c r="AE66" i="1" s="1"/>
  <c r="D31" i="4"/>
  <c r="C31" i="4"/>
  <c r="AB66" i="1" s="1"/>
  <c r="I30" i="4"/>
  <c r="AH65" i="1" s="1"/>
  <c r="G30" i="4"/>
  <c r="F30" i="4"/>
  <c r="AE65" i="1" s="1"/>
  <c r="D30" i="4"/>
  <c r="C30" i="4"/>
  <c r="AB65" i="1" s="1"/>
  <c r="Y22" i="4"/>
  <c r="J22" i="4"/>
  <c r="AI80" i="1" s="1"/>
  <c r="G22" i="4"/>
  <c r="AF80" i="1" s="1"/>
  <c r="E22" i="4"/>
  <c r="AD80" i="1" s="1"/>
  <c r="D22" i="4"/>
  <c r="AC80" i="1" s="1"/>
  <c r="Y21" i="4"/>
  <c r="J21" i="4"/>
  <c r="AI79" i="1" s="1"/>
  <c r="G21" i="4"/>
  <c r="AF79" i="1" s="1"/>
  <c r="E21" i="4"/>
  <c r="AD79" i="1" s="1"/>
  <c r="D21" i="4"/>
  <c r="AC79" i="1" s="1"/>
  <c r="Y20" i="4"/>
  <c r="J20" i="4"/>
  <c r="AI78" i="1" s="1"/>
  <c r="G20" i="4"/>
  <c r="AF78" i="1" s="1"/>
  <c r="E20" i="4"/>
  <c r="AD78" i="1" s="1"/>
  <c r="D20" i="4"/>
  <c r="AC78" i="1" s="1"/>
  <c r="Y19" i="4"/>
  <c r="J19" i="4"/>
  <c r="AI77" i="1" s="1"/>
  <c r="G19" i="4"/>
  <c r="AF77" i="1" s="1"/>
  <c r="E19" i="4"/>
  <c r="AD77" i="1" s="1"/>
  <c r="D19" i="4"/>
  <c r="AC77" i="1" s="1"/>
  <c r="Y18" i="4"/>
  <c r="J18" i="4"/>
  <c r="AI76" i="1" s="1"/>
  <c r="G18" i="4"/>
  <c r="AF76" i="1" s="1"/>
  <c r="E18" i="4"/>
  <c r="AD76" i="1" s="1"/>
  <c r="D18" i="4"/>
  <c r="AC76" i="1" s="1"/>
  <c r="Y17" i="4"/>
  <c r="J17" i="4"/>
  <c r="AI75" i="1" s="1"/>
  <c r="G17" i="4"/>
  <c r="AF75" i="1" s="1"/>
  <c r="E17" i="4"/>
  <c r="AD75" i="1" s="1"/>
  <c r="D17" i="4"/>
  <c r="AC75" i="1" s="1"/>
  <c r="Y16" i="4"/>
  <c r="J16" i="4"/>
  <c r="AI74" i="1" s="1"/>
  <c r="G16" i="4"/>
  <c r="AF74" i="1" s="1"/>
  <c r="E16" i="4"/>
  <c r="AD74" i="1" s="1"/>
  <c r="D16" i="4"/>
  <c r="AC74" i="1" s="1"/>
  <c r="Y15" i="4"/>
  <c r="J15" i="4"/>
  <c r="AI73" i="1" s="1"/>
  <c r="G15" i="4"/>
  <c r="AF73" i="1" s="1"/>
  <c r="E15" i="4"/>
  <c r="AD73" i="1" s="1"/>
  <c r="D15" i="4"/>
  <c r="AC73" i="1" s="1"/>
  <c r="Y14" i="4"/>
  <c r="J14" i="4"/>
  <c r="AI72" i="1" s="1"/>
  <c r="G14" i="4"/>
  <c r="AF72" i="1" s="1"/>
  <c r="E14" i="4"/>
  <c r="AD72" i="1" s="1"/>
  <c r="D14" i="4"/>
  <c r="AC72" i="1" s="1"/>
  <c r="Y13" i="4"/>
  <c r="J13" i="4"/>
  <c r="AI71" i="1" s="1"/>
  <c r="G13" i="4"/>
  <c r="AF71" i="1" s="1"/>
  <c r="E13" i="4"/>
  <c r="AD71" i="1" s="1"/>
  <c r="D13" i="4"/>
  <c r="AC71" i="1" s="1"/>
  <c r="Y12" i="4"/>
  <c r="J12" i="4"/>
  <c r="AI70" i="1" s="1"/>
  <c r="G12" i="4"/>
  <c r="AF70" i="1" s="1"/>
  <c r="E12" i="4"/>
  <c r="AD70" i="1" s="1"/>
  <c r="D12" i="4"/>
  <c r="AC70" i="1" s="1"/>
  <c r="Y11" i="4"/>
  <c r="J11" i="4"/>
  <c r="AI69" i="1" s="1"/>
  <c r="G11" i="4"/>
  <c r="AF69" i="1" s="1"/>
  <c r="E11" i="4"/>
  <c r="AD69" i="1" s="1"/>
  <c r="D11" i="4"/>
  <c r="AC69" i="1" s="1"/>
  <c r="Y10" i="4"/>
  <c r="J10" i="4"/>
  <c r="AI68" i="1" s="1"/>
  <c r="G10" i="4"/>
  <c r="AF68" i="1" s="1"/>
  <c r="E10" i="4"/>
  <c r="AD68" i="1" s="1"/>
  <c r="D10" i="4"/>
  <c r="AC68" i="1" s="1"/>
  <c r="Y9" i="4"/>
  <c r="J9" i="4"/>
  <c r="AI67" i="1" s="1"/>
  <c r="G9" i="4"/>
  <c r="AF67" i="1" s="1"/>
  <c r="E9" i="4"/>
  <c r="AD67" i="1" s="1"/>
  <c r="D9" i="4"/>
  <c r="AC67" i="1" s="1"/>
  <c r="Y8" i="4"/>
  <c r="J8" i="4"/>
  <c r="AI66" i="1" s="1"/>
  <c r="G8" i="4"/>
  <c r="AF66" i="1" s="1"/>
  <c r="E8" i="4"/>
  <c r="AD66" i="1" s="1"/>
  <c r="D8" i="4"/>
  <c r="AC66" i="1" s="1"/>
  <c r="Y7" i="4"/>
  <c r="J7" i="4"/>
  <c r="AI65" i="1" s="1"/>
  <c r="G7" i="4"/>
  <c r="AF65" i="1" s="1"/>
  <c r="E7" i="4"/>
  <c r="AD65" i="1" s="1"/>
  <c r="D7" i="4"/>
  <c r="AC65" i="1" s="1"/>
  <c r="Y6" i="4"/>
  <c r="J6" i="4"/>
  <c r="G6" i="4"/>
  <c r="E6" i="4"/>
  <c r="D6" i="4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P46" i="3"/>
  <c r="O46" i="3"/>
  <c r="N46" i="3"/>
  <c r="M46" i="3"/>
  <c r="L46" i="3"/>
  <c r="K46" i="3"/>
  <c r="K31" i="3" s="1"/>
  <c r="J46" i="3"/>
  <c r="I46" i="3"/>
  <c r="H46" i="3"/>
  <c r="G46" i="3"/>
  <c r="F46" i="3"/>
  <c r="E46" i="3"/>
  <c r="E31" i="3" s="1"/>
  <c r="D46" i="3"/>
  <c r="D31" i="3" s="1"/>
  <c r="P45" i="3"/>
  <c r="O45" i="3"/>
  <c r="N45" i="3"/>
  <c r="M45" i="3"/>
  <c r="M30" i="3" s="1"/>
  <c r="L45" i="3"/>
  <c r="L30" i="3" s="1"/>
  <c r="K45" i="3"/>
  <c r="J45" i="3"/>
  <c r="I45" i="3"/>
  <c r="H45" i="3"/>
  <c r="G45" i="3"/>
  <c r="F45" i="3"/>
  <c r="E45" i="3"/>
  <c r="E30" i="3" s="1"/>
  <c r="D45" i="3"/>
  <c r="P44" i="3"/>
  <c r="O44" i="3"/>
  <c r="N44" i="3"/>
  <c r="M44" i="3"/>
  <c r="M29" i="3" s="1"/>
  <c r="L44" i="3"/>
  <c r="L29" i="3" s="1"/>
  <c r="K44" i="3"/>
  <c r="J44" i="3"/>
  <c r="J29" i="3" s="1"/>
  <c r="I44" i="3"/>
  <c r="H44" i="3"/>
  <c r="G44" i="3"/>
  <c r="F44" i="3"/>
  <c r="E44" i="3"/>
  <c r="E29" i="3" s="1"/>
  <c r="D44" i="3"/>
  <c r="P43" i="3"/>
  <c r="O43" i="3"/>
  <c r="O28" i="3" s="1"/>
  <c r="N43" i="3"/>
  <c r="M43" i="3"/>
  <c r="L43" i="3"/>
  <c r="K43" i="3"/>
  <c r="J43" i="3"/>
  <c r="J28" i="3" s="1"/>
  <c r="I43" i="3"/>
  <c r="H43" i="3"/>
  <c r="G43" i="3"/>
  <c r="G28" i="3" s="1"/>
  <c r="F43" i="3"/>
  <c r="E43" i="3"/>
  <c r="D43" i="3"/>
  <c r="D28" i="3" s="1"/>
  <c r="P42" i="3"/>
  <c r="O42" i="3"/>
  <c r="O48" i="3" s="1"/>
  <c r="N42" i="3"/>
  <c r="M42" i="3"/>
  <c r="L42" i="3"/>
  <c r="L27" i="3" s="1"/>
  <c r="K42" i="3"/>
  <c r="J42" i="3"/>
  <c r="I42" i="3"/>
  <c r="H42" i="3"/>
  <c r="G42" i="3"/>
  <c r="G48" i="3" s="1"/>
  <c r="F42" i="3"/>
  <c r="E42" i="3"/>
  <c r="D42" i="3"/>
  <c r="D27" i="3" s="1"/>
  <c r="P41" i="3"/>
  <c r="O41" i="3"/>
  <c r="N41" i="3"/>
  <c r="M41" i="3"/>
  <c r="L41" i="3"/>
  <c r="L48" i="3" s="1"/>
  <c r="K41" i="3"/>
  <c r="J41" i="3"/>
  <c r="I41" i="3"/>
  <c r="I48" i="3" s="1"/>
  <c r="H41" i="3"/>
  <c r="G41" i="3"/>
  <c r="F41" i="3"/>
  <c r="E41" i="3"/>
  <c r="D41" i="3"/>
  <c r="D48" i="3" s="1"/>
  <c r="P36" i="3"/>
  <c r="O36" i="3"/>
  <c r="N36" i="3"/>
  <c r="N28" i="3" s="1"/>
  <c r="M36" i="3"/>
  <c r="M28" i="3" s="1"/>
  <c r="L36" i="3"/>
  <c r="K36" i="3"/>
  <c r="K27" i="3" s="1"/>
  <c r="J36" i="3"/>
  <c r="I36" i="3"/>
  <c r="I29" i="3" s="1"/>
  <c r="H36" i="3"/>
  <c r="G36" i="3"/>
  <c r="F36" i="3"/>
  <c r="F28" i="3" s="1"/>
  <c r="E36" i="3"/>
  <c r="E28" i="3" s="1"/>
  <c r="D36" i="3"/>
  <c r="D32" i="3" s="1"/>
  <c r="M32" i="3"/>
  <c r="L32" i="3"/>
  <c r="K32" i="3"/>
  <c r="P31" i="3"/>
  <c r="M31" i="3"/>
  <c r="L31" i="3"/>
  <c r="J31" i="3"/>
  <c r="H31" i="3"/>
  <c r="O30" i="3"/>
  <c r="G30" i="3"/>
  <c r="D30" i="3"/>
  <c r="K29" i="3"/>
  <c r="D29" i="3"/>
  <c r="L28" i="3"/>
  <c r="M27" i="3"/>
  <c r="F27" i="3"/>
  <c r="E27" i="3"/>
  <c r="M26" i="3"/>
  <c r="K26" i="3"/>
  <c r="J26" i="3"/>
  <c r="E26" i="3"/>
  <c r="E9" i="1"/>
  <c r="AH8" i="1" s="1"/>
  <c r="AH49" i="1" s="1"/>
  <c r="D54" i="2"/>
  <c r="C50" i="2"/>
  <c r="C51" i="2" s="1"/>
  <c r="D49" i="2"/>
  <c r="C45" i="2"/>
  <c r="L44" i="2"/>
  <c r="D44" i="2"/>
  <c r="L43" i="2"/>
  <c r="D43" i="2"/>
  <c r="L42" i="2"/>
  <c r="D42" i="2"/>
  <c r="L41" i="2"/>
  <c r="D41" i="2"/>
  <c r="L40" i="2"/>
  <c r="D40" i="2"/>
  <c r="L39" i="2"/>
  <c r="D39" i="2"/>
  <c r="L38" i="2"/>
  <c r="D38" i="2"/>
  <c r="L37" i="2"/>
  <c r="D37" i="2"/>
  <c r="L36" i="2"/>
  <c r="D36" i="2"/>
  <c r="L35" i="2"/>
  <c r="D35" i="2"/>
  <c r="L34" i="2"/>
  <c r="D34" i="2"/>
  <c r="L33" i="2"/>
  <c r="D33" i="2"/>
  <c r="L32" i="2"/>
  <c r="D32" i="2"/>
  <c r="L31" i="2"/>
  <c r="D31" i="2"/>
  <c r="L30" i="2"/>
  <c r="D30" i="2"/>
  <c r="L29" i="2"/>
  <c r="D29" i="2"/>
  <c r="L28" i="2"/>
  <c r="D28" i="2"/>
  <c r="L27" i="2"/>
  <c r="D27" i="2"/>
  <c r="L26" i="2"/>
  <c r="D26" i="2"/>
  <c r="L25" i="2"/>
  <c r="D25" i="2"/>
  <c r="L24" i="2"/>
  <c r="D24" i="2"/>
  <c r="L23" i="2"/>
  <c r="D23" i="2"/>
  <c r="L22" i="2"/>
  <c r="D22" i="2"/>
  <c r="L21" i="2"/>
  <c r="D21" i="2"/>
  <c r="L20" i="2"/>
  <c r="D20" i="2"/>
  <c r="L19" i="2"/>
  <c r="D19" i="2"/>
  <c r="L18" i="2"/>
  <c r="D18" i="2"/>
  <c r="L17" i="2"/>
  <c r="D17" i="2"/>
  <c r="L16" i="2"/>
  <c r="D16" i="2"/>
  <c r="L15" i="2"/>
  <c r="D15" i="2"/>
  <c r="L14" i="2"/>
  <c r="D14" i="2"/>
  <c r="L13" i="2"/>
  <c r="D13" i="2"/>
  <c r="L12" i="2"/>
  <c r="D12" i="2"/>
  <c r="L11" i="2"/>
  <c r="D11" i="2"/>
  <c r="L10" i="2"/>
  <c r="D10" i="2"/>
  <c r="L9" i="2"/>
  <c r="D9" i="2"/>
  <c r="L8" i="2"/>
  <c r="D8" i="2"/>
  <c r="L7" i="2"/>
  <c r="D7" i="2"/>
  <c r="L6" i="2"/>
  <c r="D6" i="2"/>
  <c r="L5" i="2"/>
  <c r="D5" i="2"/>
  <c r="L4" i="2"/>
  <c r="D4" i="2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D5" i="1"/>
  <c r="G5" i="1" s="1"/>
  <c r="G20" i="1" l="1"/>
  <c r="AG29" i="1"/>
  <c r="I28" i="3"/>
  <c r="H48" i="3"/>
  <c r="P48" i="3"/>
  <c r="L5" i="1"/>
  <c r="L13" i="1"/>
  <c r="AH79" i="1"/>
  <c r="AH71" i="1"/>
  <c r="AJ71" i="1" s="1"/>
  <c r="I26" i="3"/>
  <c r="G27" i="3"/>
  <c r="G31" i="3"/>
  <c r="O31" i="3"/>
  <c r="J48" i="3"/>
  <c r="L20" i="1"/>
  <c r="L12" i="1"/>
  <c r="G182" i="5"/>
  <c r="K28" i="3"/>
  <c r="E32" i="3"/>
  <c r="H26" i="3"/>
  <c r="P26" i="3"/>
  <c r="K48" i="3"/>
  <c r="F48" i="3"/>
  <c r="D34" i="5"/>
  <c r="D33" i="5"/>
  <c r="L18" i="1"/>
  <c r="L10" i="1"/>
  <c r="G176" i="5"/>
  <c r="F168" i="5" s="1"/>
  <c r="F169" i="5" s="1"/>
  <c r="G187" i="5"/>
  <c r="H168" i="5" s="1"/>
  <c r="H169" i="5" s="1"/>
  <c r="AH74" i="1"/>
  <c r="AH66" i="1"/>
  <c r="L26" i="3"/>
  <c r="N27" i="3"/>
  <c r="J32" i="3"/>
  <c r="E48" i="3"/>
  <c r="M48" i="3"/>
  <c r="L17" i="1"/>
  <c r="L9" i="1"/>
  <c r="C151" i="5"/>
  <c r="H151" i="5" s="1"/>
  <c r="AH75" i="1"/>
  <c r="AH67" i="1"/>
  <c r="O27" i="3"/>
  <c r="N48" i="3"/>
  <c r="L16" i="1"/>
  <c r="L8" i="1"/>
  <c r="D26" i="3"/>
  <c r="E116" i="5"/>
  <c r="E117" i="5" s="1"/>
  <c r="G178" i="5"/>
  <c r="AH88" i="1"/>
  <c r="AG37" i="1"/>
  <c r="AG33" i="1"/>
  <c r="AG39" i="1"/>
  <c r="AG31" i="1"/>
  <c r="AJ75" i="1"/>
  <c r="AJ67" i="1"/>
  <c r="AG38" i="1"/>
  <c r="AG36" i="1"/>
  <c r="AJ73" i="1"/>
  <c r="AJ70" i="1"/>
  <c r="AJ69" i="1"/>
  <c r="AJ65" i="1"/>
  <c r="AG28" i="1"/>
  <c r="AJ80" i="1"/>
  <c r="AJ78" i="1"/>
  <c r="AJ72" i="1"/>
  <c r="AG34" i="1"/>
  <c r="AG30" i="1"/>
  <c r="AG26" i="1"/>
  <c r="AG25" i="1"/>
  <c r="AJ77" i="1"/>
  <c r="AJ76" i="1"/>
  <c r="AJ68" i="1"/>
  <c r="AG35" i="1"/>
  <c r="AG27" i="1"/>
  <c r="AG32" i="1"/>
  <c r="D30" i="5"/>
  <c r="D31" i="5"/>
  <c r="D35" i="5"/>
  <c r="D32" i="5"/>
  <c r="D28" i="5"/>
  <c r="I116" i="5"/>
  <c r="J121" i="5"/>
  <c r="C195" i="5"/>
  <c r="F122" i="5"/>
  <c r="F116" i="5"/>
  <c r="D29" i="5"/>
  <c r="G150" i="5"/>
  <c r="E149" i="5"/>
  <c r="C148" i="5"/>
  <c r="G146" i="5"/>
  <c r="G136" i="5" s="1"/>
  <c r="E145" i="5"/>
  <c r="E135" i="5" s="1"/>
  <c r="C144" i="5"/>
  <c r="C145" i="5"/>
  <c r="D151" i="5"/>
  <c r="F148" i="5"/>
  <c r="F138" i="5" s="1"/>
  <c r="D147" i="5"/>
  <c r="D137" i="5" s="1"/>
  <c r="F144" i="5"/>
  <c r="F134" i="5" s="1"/>
  <c r="D143" i="5"/>
  <c r="C149" i="5"/>
  <c r="H116" i="5"/>
  <c r="H122" i="5"/>
  <c r="D148" i="5"/>
  <c r="D138" i="5" s="1"/>
  <c r="C116" i="5"/>
  <c r="D116" i="5"/>
  <c r="F149" i="5"/>
  <c r="C146" i="5"/>
  <c r="C150" i="5"/>
  <c r="J168" i="5"/>
  <c r="J169" i="5" s="1"/>
  <c r="G168" i="5"/>
  <c r="E143" i="5"/>
  <c r="G144" i="5"/>
  <c r="G134" i="5" s="1"/>
  <c r="E147" i="5"/>
  <c r="E137" i="5" s="1"/>
  <c r="G148" i="5"/>
  <c r="G138" i="5" s="1"/>
  <c r="E151" i="5"/>
  <c r="F143" i="5"/>
  <c r="D146" i="5"/>
  <c r="D136" i="5" s="1"/>
  <c r="F147" i="5"/>
  <c r="F137" i="5" s="1"/>
  <c r="D150" i="5"/>
  <c r="F151" i="5"/>
  <c r="G143" i="5"/>
  <c r="E146" i="5"/>
  <c r="E136" i="5" s="1"/>
  <c r="G147" i="5"/>
  <c r="G137" i="5" s="1"/>
  <c r="E150" i="5"/>
  <c r="G151" i="5"/>
  <c r="K122" i="5"/>
  <c r="K121" i="5" s="1"/>
  <c r="K116" i="5" s="1"/>
  <c r="D145" i="5"/>
  <c r="D135" i="5" s="1"/>
  <c r="F146" i="5"/>
  <c r="F136" i="5" s="1"/>
  <c r="D149" i="5"/>
  <c r="F150" i="5"/>
  <c r="C164" i="5"/>
  <c r="C143" i="5"/>
  <c r="E144" i="5"/>
  <c r="E134" i="5" s="1"/>
  <c r="G145" i="5"/>
  <c r="G135" i="5" s="1"/>
  <c r="C147" i="5"/>
  <c r="E148" i="5"/>
  <c r="E138" i="5" s="1"/>
  <c r="G149" i="5"/>
  <c r="K41" i="4"/>
  <c r="J16" i="1" s="1"/>
  <c r="K38" i="4"/>
  <c r="J13" i="1" s="1"/>
  <c r="K15" i="4"/>
  <c r="I13" i="1" s="1"/>
  <c r="K43" i="4"/>
  <c r="J18" i="1" s="1"/>
  <c r="M6" i="4"/>
  <c r="M14" i="4"/>
  <c r="K37" i="4"/>
  <c r="J12" i="1" s="1"/>
  <c r="M13" i="4"/>
  <c r="K9" i="4"/>
  <c r="I7" i="1" s="1"/>
  <c r="K14" i="4"/>
  <c r="I12" i="1" s="1"/>
  <c r="K19" i="4"/>
  <c r="I17" i="1" s="1"/>
  <c r="K21" i="4"/>
  <c r="I19" i="1" s="1"/>
  <c r="K18" i="4"/>
  <c r="I16" i="1" s="1"/>
  <c r="K30" i="4"/>
  <c r="J5" i="1" s="1"/>
  <c r="K22" i="4"/>
  <c r="I20" i="1" s="1"/>
  <c r="K11" i="4"/>
  <c r="I9" i="1" s="1"/>
  <c r="K34" i="4"/>
  <c r="J9" i="1" s="1"/>
  <c r="K42" i="4"/>
  <c r="J17" i="1" s="1"/>
  <c r="K6" i="4"/>
  <c r="M21" i="4"/>
  <c r="K10" i="4"/>
  <c r="I8" i="1" s="1"/>
  <c r="M15" i="4"/>
  <c r="M20" i="4"/>
  <c r="K31" i="4"/>
  <c r="J6" i="1" s="1"/>
  <c r="K40" i="4"/>
  <c r="J15" i="1" s="1"/>
  <c r="M19" i="4"/>
  <c r="K7" i="4"/>
  <c r="I5" i="1" s="1"/>
  <c r="M10" i="4"/>
  <c r="M11" i="4"/>
  <c r="M16" i="4"/>
  <c r="K45" i="4"/>
  <c r="J20" i="1" s="1"/>
  <c r="K33" i="4"/>
  <c r="J8" i="1" s="1"/>
  <c r="K39" i="4"/>
  <c r="J14" i="1" s="1"/>
  <c r="K36" i="4"/>
  <c r="J11" i="1" s="1"/>
  <c r="K13" i="4"/>
  <c r="I11" i="1" s="1"/>
  <c r="M7" i="4"/>
  <c r="M12" i="4"/>
  <c r="M22" i="4"/>
  <c r="K35" i="4"/>
  <c r="J10" i="1" s="1"/>
  <c r="K44" i="4"/>
  <c r="J19" i="1" s="1"/>
  <c r="M18" i="4"/>
  <c r="M8" i="4"/>
  <c r="K17" i="4"/>
  <c r="I15" i="1" s="1"/>
  <c r="K32" i="4"/>
  <c r="J7" i="1" s="1"/>
  <c r="K20" i="4"/>
  <c r="I18" i="1" s="1"/>
  <c r="K8" i="4"/>
  <c r="I6" i="1" s="1"/>
  <c r="M9" i="4"/>
  <c r="K16" i="4"/>
  <c r="I14" i="1" s="1"/>
  <c r="M17" i="4"/>
  <c r="K12" i="4"/>
  <c r="I10" i="1" s="1"/>
  <c r="H28" i="3"/>
  <c r="P28" i="3"/>
  <c r="F30" i="3"/>
  <c r="N30" i="3"/>
  <c r="I31" i="3"/>
  <c r="H30" i="3"/>
  <c r="P30" i="3"/>
  <c r="F32" i="3"/>
  <c r="N32" i="3"/>
  <c r="H27" i="3"/>
  <c r="F29" i="3"/>
  <c r="P27" i="3"/>
  <c r="N29" i="3"/>
  <c r="G32" i="3"/>
  <c r="N26" i="3"/>
  <c r="G29" i="3"/>
  <c r="H32" i="3"/>
  <c r="G26" i="3"/>
  <c r="O26" i="3"/>
  <c r="J27" i="3"/>
  <c r="H29" i="3"/>
  <c r="P29" i="3"/>
  <c r="K30" i="3"/>
  <c r="F31" i="3"/>
  <c r="N31" i="3"/>
  <c r="I32" i="3"/>
  <c r="I30" i="3"/>
  <c r="O32" i="3"/>
  <c r="F26" i="3"/>
  <c r="I27" i="3"/>
  <c r="O29" i="3"/>
  <c r="J30" i="3"/>
  <c r="P32" i="3"/>
  <c r="M7" i="2"/>
  <c r="E8" i="1" s="1"/>
  <c r="AH7" i="1" s="1"/>
  <c r="AH48" i="1" s="1"/>
  <c r="AH87" i="1" s="1"/>
  <c r="D51" i="2"/>
  <c r="C52" i="2"/>
  <c r="D52" i="2" s="1"/>
  <c r="D50" i="2"/>
  <c r="M9" i="2"/>
  <c r="C46" i="2"/>
  <c r="D45" i="2"/>
  <c r="AJ66" i="1" l="1"/>
  <c r="AG40" i="1"/>
  <c r="AB32" i="1"/>
  <c r="AE33" i="1"/>
  <c r="AJ74" i="1"/>
  <c r="M6" i="2"/>
  <c r="M10" i="2"/>
  <c r="E10" i="1"/>
  <c r="AH9" i="1" s="1"/>
  <c r="AH50" i="1" s="1"/>
  <c r="AH89" i="1" s="1"/>
  <c r="AJ79" i="1"/>
  <c r="AE25" i="1"/>
  <c r="AB36" i="1"/>
  <c r="AB40" i="1"/>
  <c r="AB25" i="1"/>
  <c r="AB38" i="1"/>
  <c r="AB34" i="1"/>
  <c r="AB30" i="1"/>
  <c r="AB27" i="1"/>
  <c r="AB31" i="1"/>
  <c r="AB29" i="1"/>
  <c r="AB37" i="1"/>
  <c r="AB28" i="1"/>
  <c r="AE37" i="1"/>
  <c r="AE34" i="1"/>
  <c r="AE30" i="1"/>
  <c r="AE40" i="1"/>
  <c r="AE29" i="1"/>
  <c r="AE39" i="1"/>
  <c r="AE32" i="1"/>
  <c r="AE36" i="1"/>
  <c r="AE31" i="1"/>
  <c r="AE38" i="1"/>
  <c r="AE27" i="1"/>
  <c r="AE28" i="1"/>
  <c r="AB35" i="1"/>
  <c r="C137" i="5"/>
  <c r="H137" i="5" s="1"/>
  <c r="H147" i="5"/>
  <c r="E152" i="5"/>
  <c r="E133" i="5"/>
  <c r="E139" i="5"/>
  <c r="J116" i="5"/>
  <c r="J122" i="5"/>
  <c r="K117" i="5"/>
  <c r="C135" i="5"/>
  <c r="H135" i="5" s="1"/>
  <c r="H145" i="5"/>
  <c r="F139" i="5"/>
  <c r="C139" i="5"/>
  <c r="H149" i="5"/>
  <c r="G169" i="5"/>
  <c r="G116" i="5"/>
  <c r="D118" i="5" s="1"/>
  <c r="D112" i="5" s="1"/>
  <c r="I117" i="5"/>
  <c r="C133" i="5"/>
  <c r="C152" i="5"/>
  <c r="H143" i="5"/>
  <c r="F133" i="5"/>
  <c r="F140" i="5" s="1"/>
  <c r="F152" i="5"/>
  <c r="H117" i="5"/>
  <c r="F117" i="5"/>
  <c r="G139" i="5"/>
  <c r="D139" i="5"/>
  <c r="G133" i="5"/>
  <c r="G140" i="5" s="1"/>
  <c r="G152" i="5"/>
  <c r="D117" i="5"/>
  <c r="D152" i="5"/>
  <c r="D133" i="5"/>
  <c r="D140" i="5" s="1"/>
  <c r="H150" i="5"/>
  <c r="C136" i="5"/>
  <c r="H136" i="5" s="1"/>
  <c r="H146" i="5"/>
  <c r="C134" i="5"/>
  <c r="H134" i="5" s="1"/>
  <c r="H144" i="5"/>
  <c r="C117" i="5"/>
  <c r="C138" i="5"/>
  <c r="H138" i="5" s="1"/>
  <c r="H148" i="5"/>
  <c r="H6" i="1"/>
  <c r="C53" i="2"/>
  <c r="D53" i="2" s="1"/>
  <c r="C47" i="2"/>
  <c r="D46" i="2"/>
  <c r="AF27" i="1" l="1"/>
  <c r="AF30" i="1"/>
  <c r="AB39" i="1"/>
  <c r="AB33" i="1"/>
  <c r="AE35" i="1"/>
  <c r="AE26" i="1"/>
  <c r="AB26" i="1"/>
  <c r="M11" i="2"/>
  <c r="E11" i="1"/>
  <c r="AH10" i="1" s="1"/>
  <c r="AH51" i="1" s="1"/>
  <c r="AH90" i="1" s="1"/>
  <c r="I118" i="5"/>
  <c r="I112" i="5" s="1"/>
  <c r="AF25" i="1"/>
  <c r="AF38" i="1"/>
  <c r="AF39" i="1"/>
  <c r="H118" i="5"/>
  <c r="H112" i="5" s="1"/>
  <c r="H106" i="5" s="1"/>
  <c r="H97" i="5" s="1"/>
  <c r="H87" i="5" s="1"/>
  <c r="AF29" i="1"/>
  <c r="AF26" i="1"/>
  <c r="M5" i="2"/>
  <c r="E7" i="1"/>
  <c r="AH6" i="1" s="1"/>
  <c r="AH47" i="1" s="1"/>
  <c r="AH86" i="1" s="1"/>
  <c r="AF40" i="1"/>
  <c r="AF36" i="1"/>
  <c r="AF28" i="1"/>
  <c r="AF37" i="1"/>
  <c r="AF35" i="1"/>
  <c r="AF32" i="1"/>
  <c r="AF31" i="1"/>
  <c r="AF33" i="1"/>
  <c r="AF34" i="1"/>
  <c r="K6" i="1"/>
  <c r="H16" i="1"/>
  <c r="R12" i="3"/>
  <c r="H20" i="1"/>
  <c r="AD39" i="1"/>
  <c r="AD29" i="1"/>
  <c r="AD30" i="1"/>
  <c r="AD36" i="1"/>
  <c r="AD28" i="1"/>
  <c r="AD31" i="1"/>
  <c r="AD40" i="1"/>
  <c r="AD33" i="1"/>
  <c r="AD26" i="1"/>
  <c r="AD27" i="1"/>
  <c r="AD32" i="1"/>
  <c r="AD34" i="1"/>
  <c r="AD35" i="1"/>
  <c r="AD37" i="1"/>
  <c r="AD25" i="1"/>
  <c r="AD38" i="1"/>
  <c r="H14" i="1"/>
  <c r="H15" i="1"/>
  <c r="H12" i="1"/>
  <c r="AC33" i="1"/>
  <c r="AC35" i="1"/>
  <c r="AC39" i="1"/>
  <c r="AC32" i="1"/>
  <c r="AC36" i="1"/>
  <c r="AC28" i="1"/>
  <c r="AC34" i="1"/>
  <c r="AC27" i="1"/>
  <c r="AC30" i="1"/>
  <c r="AC25" i="1"/>
  <c r="AC38" i="1"/>
  <c r="AC37" i="1"/>
  <c r="AC40" i="1"/>
  <c r="AC31" i="1"/>
  <c r="AC29" i="1"/>
  <c r="AC26" i="1"/>
  <c r="H9" i="1"/>
  <c r="H10" i="1"/>
  <c r="H18" i="1"/>
  <c r="H7" i="1"/>
  <c r="H11" i="1"/>
  <c r="H13" i="1"/>
  <c r="H17" i="1"/>
  <c r="H19" i="1"/>
  <c r="H8" i="1"/>
  <c r="G117" i="5"/>
  <c r="G118" i="5"/>
  <c r="G112" i="5" s="1"/>
  <c r="J118" i="5"/>
  <c r="J112" i="5" s="1"/>
  <c r="J117" i="5"/>
  <c r="E140" i="5"/>
  <c r="H152" i="5"/>
  <c r="D105" i="5"/>
  <c r="D96" i="5" s="1"/>
  <c r="D86" i="5" s="1"/>
  <c r="D110" i="5"/>
  <c r="D101" i="5" s="1"/>
  <c r="D91" i="5" s="1"/>
  <c r="D109" i="5"/>
  <c r="D100" i="5" s="1"/>
  <c r="D90" i="5" s="1"/>
  <c r="D108" i="5"/>
  <c r="D99" i="5" s="1"/>
  <c r="D89" i="5" s="1"/>
  <c r="D107" i="5"/>
  <c r="D98" i="5" s="1"/>
  <c r="D88" i="5" s="1"/>
  <c r="D106" i="5"/>
  <c r="D97" i="5" s="1"/>
  <c r="D87" i="5" s="1"/>
  <c r="D111" i="5"/>
  <c r="D102" i="5" s="1"/>
  <c r="D93" i="5" s="1"/>
  <c r="I108" i="5"/>
  <c r="I99" i="5" s="1"/>
  <c r="I89" i="5" s="1"/>
  <c r="I106" i="5"/>
  <c r="I97" i="5" s="1"/>
  <c r="I87" i="5" s="1"/>
  <c r="I105" i="5"/>
  <c r="I96" i="5" s="1"/>
  <c r="I86" i="5" s="1"/>
  <c r="I111" i="5"/>
  <c r="I102" i="5" s="1"/>
  <c r="I93" i="5" s="1"/>
  <c r="I110" i="5"/>
  <c r="I101" i="5" s="1"/>
  <c r="I91" i="5" s="1"/>
  <c r="I109" i="5"/>
  <c r="I100" i="5" s="1"/>
  <c r="I90" i="5" s="1"/>
  <c r="I107" i="5"/>
  <c r="I98" i="5" s="1"/>
  <c r="I88" i="5" s="1"/>
  <c r="K118" i="5"/>
  <c r="K112" i="5" s="1"/>
  <c r="H133" i="5"/>
  <c r="C140" i="5"/>
  <c r="H139" i="5"/>
  <c r="C118" i="5"/>
  <c r="C112" i="5" s="1"/>
  <c r="F118" i="5"/>
  <c r="F112" i="5" s="1"/>
  <c r="E118" i="5"/>
  <c r="E112" i="5" s="1"/>
  <c r="D47" i="2"/>
  <c r="C48" i="2"/>
  <c r="D48" i="2" s="1"/>
  <c r="N9" i="1" l="1"/>
  <c r="N18" i="1"/>
  <c r="N16" i="1"/>
  <c r="N6" i="1"/>
  <c r="N11" i="1"/>
  <c r="N15" i="1"/>
  <c r="N8" i="1"/>
  <c r="N12" i="1"/>
  <c r="N10" i="1"/>
  <c r="N13" i="1"/>
  <c r="N7" i="1"/>
  <c r="N17" i="1"/>
  <c r="N14" i="1"/>
  <c r="N19" i="1"/>
  <c r="N20" i="1"/>
  <c r="M7" i="1"/>
  <c r="H100" i="5"/>
  <c r="H90" i="5" s="1"/>
  <c r="H102" i="5"/>
  <c r="H93" i="5" s="1"/>
  <c r="H96" i="5"/>
  <c r="H86" i="5" s="1"/>
  <c r="E5" i="1"/>
  <c r="E6" i="1"/>
  <c r="H98" i="5"/>
  <c r="H88" i="5" s="1"/>
  <c r="H101" i="5"/>
  <c r="H91" i="5" s="1"/>
  <c r="H99" i="5"/>
  <c r="H89" i="5" s="1"/>
  <c r="E12" i="1"/>
  <c r="AH11" i="1" s="1"/>
  <c r="AH52" i="1" s="1"/>
  <c r="AH91" i="1" s="1"/>
  <c r="M12" i="2"/>
  <c r="K18" i="1"/>
  <c r="K16" i="1"/>
  <c r="K5" i="1"/>
  <c r="K10" i="1"/>
  <c r="M10" i="1"/>
  <c r="M8" i="1"/>
  <c r="K8" i="1"/>
  <c r="K9" i="1"/>
  <c r="K19" i="1"/>
  <c r="K12" i="1"/>
  <c r="K17" i="1"/>
  <c r="K15" i="1"/>
  <c r="K13" i="1"/>
  <c r="K14" i="1"/>
  <c r="K11" i="1"/>
  <c r="M11" i="1"/>
  <c r="K20" i="1"/>
  <c r="K7" i="1"/>
  <c r="AI37" i="1"/>
  <c r="AJ37" i="1" s="1"/>
  <c r="AI33" i="1"/>
  <c r="AJ33" i="1" s="1"/>
  <c r="AI35" i="1"/>
  <c r="AI26" i="1"/>
  <c r="AI38" i="1"/>
  <c r="AJ38" i="1" s="1"/>
  <c r="AI40" i="1"/>
  <c r="AI25" i="1"/>
  <c r="AJ25" i="1" s="1"/>
  <c r="AI29" i="1"/>
  <c r="AJ29" i="1" s="1"/>
  <c r="AI31" i="1"/>
  <c r="AJ31" i="1" s="1"/>
  <c r="AI30" i="1"/>
  <c r="AJ30" i="1" s="1"/>
  <c r="AI27" i="1"/>
  <c r="AJ27" i="1" s="1"/>
  <c r="AI34" i="1"/>
  <c r="AI32" i="1"/>
  <c r="AJ32" i="1" s="1"/>
  <c r="AI36" i="1"/>
  <c r="AJ36" i="1" s="1"/>
  <c r="AI39" i="1"/>
  <c r="AI28" i="1"/>
  <c r="F110" i="5"/>
  <c r="F101" i="5" s="1"/>
  <c r="F91" i="5" s="1"/>
  <c r="F108" i="5"/>
  <c r="F99" i="5" s="1"/>
  <c r="F89" i="5" s="1"/>
  <c r="F107" i="5"/>
  <c r="F98" i="5" s="1"/>
  <c r="F88" i="5" s="1"/>
  <c r="F106" i="5"/>
  <c r="F97" i="5" s="1"/>
  <c r="F87" i="5" s="1"/>
  <c r="F105" i="5"/>
  <c r="F96" i="5" s="1"/>
  <c r="F86" i="5" s="1"/>
  <c r="F109" i="5"/>
  <c r="F100" i="5" s="1"/>
  <c r="F90" i="5" s="1"/>
  <c r="F111" i="5"/>
  <c r="F102" i="5" s="1"/>
  <c r="F93" i="5" s="1"/>
  <c r="E111" i="5"/>
  <c r="E102" i="5" s="1"/>
  <c r="E93" i="5" s="1"/>
  <c r="E109" i="5"/>
  <c r="E100" i="5" s="1"/>
  <c r="E90" i="5" s="1"/>
  <c r="E108" i="5"/>
  <c r="E99" i="5" s="1"/>
  <c r="E89" i="5" s="1"/>
  <c r="E107" i="5"/>
  <c r="E98" i="5" s="1"/>
  <c r="E88" i="5" s="1"/>
  <c r="E106" i="5"/>
  <c r="E97" i="5" s="1"/>
  <c r="E87" i="5" s="1"/>
  <c r="E105" i="5"/>
  <c r="E96" i="5" s="1"/>
  <c r="E86" i="5" s="1"/>
  <c r="E110" i="5"/>
  <c r="E101" i="5" s="1"/>
  <c r="E91" i="5" s="1"/>
  <c r="K97" i="5"/>
  <c r="K87" i="5" s="1"/>
  <c r="K96" i="5"/>
  <c r="K86" i="5" s="1"/>
  <c r="K102" i="5"/>
  <c r="K93" i="5" s="1"/>
  <c r="K101" i="5"/>
  <c r="K91" i="5" s="1"/>
  <c r="K100" i="5"/>
  <c r="K90" i="5" s="1"/>
  <c r="K99" i="5"/>
  <c r="K89" i="5" s="1"/>
  <c r="K98" i="5"/>
  <c r="K88" i="5" s="1"/>
  <c r="C106" i="5"/>
  <c r="C111" i="5"/>
  <c r="C110" i="5"/>
  <c r="C109" i="5"/>
  <c r="C108" i="5"/>
  <c r="C107" i="5"/>
  <c r="C105" i="5"/>
  <c r="H140" i="5"/>
  <c r="J98" i="5"/>
  <c r="J88" i="5" s="1"/>
  <c r="J96" i="5"/>
  <c r="J86" i="5" s="1"/>
  <c r="J102" i="5"/>
  <c r="J93" i="5" s="1"/>
  <c r="J101" i="5"/>
  <c r="J91" i="5" s="1"/>
  <c r="J100" i="5"/>
  <c r="J90" i="5" s="1"/>
  <c r="J99" i="5"/>
  <c r="J89" i="5" s="1"/>
  <c r="J97" i="5"/>
  <c r="J87" i="5" s="1"/>
  <c r="G109" i="5"/>
  <c r="G100" i="5" s="1"/>
  <c r="G90" i="5" s="1"/>
  <c r="G107" i="5"/>
  <c r="G98" i="5" s="1"/>
  <c r="G88" i="5" s="1"/>
  <c r="G106" i="5"/>
  <c r="G97" i="5" s="1"/>
  <c r="G87" i="5" s="1"/>
  <c r="G105" i="5"/>
  <c r="G96" i="5" s="1"/>
  <c r="G86" i="5" s="1"/>
  <c r="G111" i="5"/>
  <c r="G102" i="5" s="1"/>
  <c r="G93" i="5" s="1"/>
  <c r="G108" i="5"/>
  <c r="G99" i="5" s="1"/>
  <c r="G89" i="5" s="1"/>
  <c r="G110" i="5"/>
  <c r="G101" i="5" s="1"/>
  <c r="G91" i="5" s="1"/>
  <c r="AJ39" i="1" l="1"/>
  <c r="AJ40" i="1"/>
  <c r="AJ28" i="1"/>
  <c r="AJ34" i="1"/>
  <c r="AJ26" i="1"/>
  <c r="AJ35" i="1"/>
  <c r="AH4" i="1"/>
  <c r="M5" i="1"/>
  <c r="M12" i="1"/>
  <c r="AH5" i="1"/>
  <c r="AH46" i="1" s="1"/>
  <c r="AH85" i="1" s="1"/>
  <c r="M13" i="2"/>
  <c r="E13" i="1"/>
  <c r="L107" i="5"/>
  <c r="C98" i="5"/>
  <c r="C88" i="5" s="1"/>
  <c r="K76" i="5" s="1"/>
  <c r="K7" i="5" s="1"/>
  <c r="L108" i="5"/>
  <c r="C99" i="5"/>
  <c r="C89" i="5" s="1"/>
  <c r="L110" i="5"/>
  <c r="C101" i="5"/>
  <c r="C91" i="5" s="1"/>
  <c r="L111" i="5"/>
  <c r="C102" i="5"/>
  <c r="C93" i="5" s="1"/>
  <c r="L106" i="5"/>
  <c r="C97" i="5"/>
  <c r="C87" i="5" s="1"/>
  <c r="L109" i="5"/>
  <c r="C100" i="5"/>
  <c r="C90" i="5" s="1"/>
  <c r="L105" i="5"/>
  <c r="C96" i="5"/>
  <c r="C86" i="5" s="1"/>
  <c r="AH45" i="1" l="1"/>
  <c r="AH84" i="1" s="1"/>
  <c r="L112" i="5"/>
  <c r="E82" i="5"/>
  <c r="E12" i="5" s="1"/>
  <c r="AH12" i="1"/>
  <c r="AH53" i="1" s="1"/>
  <c r="AH92" i="1" s="1"/>
  <c r="M13" i="1"/>
  <c r="E75" i="5"/>
  <c r="E6" i="5" s="1"/>
  <c r="G78" i="5"/>
  <c r="G9" i="5" s="1"/>
  <c r="M14" i="2"/>
  <c r="E14" i="1"/>
  <c r="E76" i="5"/>
  <c r="E7" i="5" s="1"/>
  <c r="G76" i="5"/>
  <c r="G7" i="5" s="1"/>
  <c r="E80" i="5"/>
  <c r="G80" i="5"/>
  <c r="C78" i="5"/>
  <c r="J77" i="5"/>
  <c r="J8" i="5" s="1"/>
  <c r="J82" i="5"/>
  <c r="J12" i="5" s="1"/>
  <c r="K79" i="5"/>
  <c r="E77" i="5"/>
  <c r="E8" i="5" s="1"/>
  <c r="J80" i="5"/>
  <c r="F79" i="5"/>
  <c r="C76" i="5"/>
  <c r="E78" i="5"/>
  <c r="E9" i="5" s="1"/>
  <c r="I81" i="5"/>
  <c r="I11" i="5" s="1"/>
  <c r="H81" i="5"/>
  <c r="H11" i="5" s="1"/>
  <c r="G81" i="5"/>
  <c r="G11" i="5" s="1"/>
  <c r="C75" i="5"/>
  <c r="C6" i="5" s="1"/>
  <c r="E81" i="5"/>
  <c r="E11" i="5" s="1"/>
  <c r="J81" i="5"/>
  <c r="J11" i="5" s="1"/>
  <c r="F81" i="5"/>
  <c r="F11" i="5" s="1"/>
  <c r="C81" i="5"/>
  <c r="K81" i="5"/>
  <c r="K11" i="5" s="1"/>
  <c r="D81" i="5"/>
  <c r="D11" i="5" s="1"/>
  <c r="H76" i="5"/>
  <c r="H7" i="5" s="1"/>
  <c r="D76" i="5"/>
  <c r="D7" i="5" s="1"/>
  <c r="H79" i="5"/>
  <c r="D80" i="5"/>
  <c r="D75" i="5"/>
  <c r="D78" i="5"/>
  <c r="D9" i="5" s="1"/>
  <c r="H80" i="5"/>
  <c r="H82" i="5"/>
  <c r="H12" i="5" s="1"/>
  <c r="D77" i="5"/>
  <c r="D8" i="5" s="1"/>
  <c r="H78" i="5"/>
  <c r="H9" i="5" s="1"/>
  <c r="I79" i="5"/>
  <c r="H77" i="5"/>
  <c r="H8" i="5" s="1"/>
  <c r="H75" i="5"/>
  <c r="I80" i="5"/>
  <c r="I77" i="5"/>
  <c r="I8" i="5" s="1"/>
  <c r="I82" i="5"/>
  <c r="I12" i="5" s="1"/>
  <c r="D79" i="5"/>
  <c r="D82" i="5"/>
  <c r="D12" i="5" s="1"/>
  <c r="I78" i="5"/>
  <c r="I9" i="5" s="1"/>
  <c r="I75" i="5"/>
  <c r="I76" i="5"/>
  <c r="I7" i="5" s="1"/>
  <c r="C82" i="5"/>
  <c r="G79" i="5"/>
  <c r="E79" i="5"/>
  <c r="E10" i="5" s="1"/>
  <c r="J76" i="5"/>
  <c r="J7" i="5" s="1"/>
  <c r="K82" i="5"/>
  <c r="K12" i="5" s="1"/>
  <c r="F82" i="5"/>
  <c r="F12" i="5" s="1"/>
  <c r="C79" i="5"/>
  <c r="G82" i="5"/>
  <c r="G12" i="5" s="1"/>
  <c r="K80" i="5"/>
  <c r="J79" i="5"/>
  <c r="J10" i="5" s="1"/>
  <c r="K75" i="5"/>
  <c r="C77" i="5"/>
  <c r="F77" i="5"/>
  <c r="F8" i="5" s="1"/>
  <c r="G77" i="5"/>
  <c r="G8" i="5" s="1"/>
  <c r="J78" i="5"/>
  <c r="J9" i="5" s="1"/>
  <c r="C80" i="5"/>
  <c r="F76" i="5"/>
  <c r="F7" i="5" s="1"/>
  <c r="F75" i="5"/>
  <c r="F80" i="5"/>
  <c r="F78" i="5"/>
  <c r="F9" i="5" s="1"/>
  <c r="J75" i="5"/>
  <c r="K78" i="5"/>
  <c r="K9" i="5" s="1"/>
  <c r="G75" i="5"/>
  <c r="K77" i="5"/>
  <c r="K8" i="5" s="1"/>
  <c r="G10" i="5" l="1"/>
  <c r="AH13" i="1"/>
  <c r="AH54" i="1" s="1"/>
  <c r="AH93" i="1" s="1"/>
  <c r="M14" i="1"/>
  <c r="E15" i="1"/>
  <c r="M15" i="2"/>
  <c r="D10" i="5"/>
  <c r="K10" i="5"/>
  <c r="J83" i="5"/>
  <c r="J6" i="5"/>
  <c r="J13" i="5" s="1"/>
  <c r="L75" i="5"/>
  <c r="C83" i="5"/>
  <c r="F6" i="5"/>
  <c r="F83" i="5"/>
  <c r="L81" i="5"/>
  <c r="C11" i="5"/>
  <c r="L11" i="5" s="1"/>
  <c r="L80" i="5"/>
  <c r="H83" i="5"/>
  <c r="H6" i="5"/>
  <c r="D6" i="5"/>
  <c r="D83" i="5"/>
  <c r="C7" i="5"/>
  <c r="L7" i="5" s="1"/>
  <c r="L76" i="5"/>
  <c r="L77" i="5"/>
  <c r="C8" i="5"/>
  <c r="L8" i="5" s="1"/>
  <c r="L82" i="5"/>
  <c r="C12" i="5"/>
  <c r="L12" i="5" s="1"/>
  <c r="G83" i="5"/>
  <c r="G6" i="5"/>
  <c r="G13" i="5" s="1"/>
  <c r="C10" i="5"/>
  <c r="L79" i="5"/>
  <c r="I83" i="5"/>
  <c r="I6" i="5"/>
  <c r="F10" i="5"/>
  <c r="E83" i="5"/>
  <c r="K83" i="5"/>
  <c r="K6" i="5"/>
  <c r="C9" i="5"/>
  <c r="L9" i="5" s="1"/>
  <c r="L78" i="5"/>
  <c r="I10" i="5"/>
  <c r="H10" i="5"/>
  <c r="E13" i="5"/>
  <c r="I13" i="5" l="1"/>
  <c r="D13" i="5"/>
  <c r="L10" i="5"/>
  <c r="AF12" i="1" s="1"/>
  <c r="AF53" i="1" s="1"/>
  <c r="AF92" i="1" s="1"/>
  <c r="E16" i="1"/>
  <c r="M16" i="2"/>
  <c r="K13" i="5"/>
  <c r="Y14" i="1" s="1"/>
  <c r="F13" i="5"/>
  <c r="T18" i="1" s="1"/>
  <c r="AH14" i="1"/>
  <c r="AH55" i="1" s="1"/>
  <c r="AH94" i="1" s="1"/>
  <c r="M15" i="1"/>
  <c r="H13" i="5"/>
  <c r="V15" i="1" s="1"/>
  <c r="AI15" i="1"/>
  <c r="AI56" i="1" s="1"/>
  <c r="AI95" i="1" s="1"/>
  <c r="AI7" i="1"/>
  <c r="AI48" i="1" s="1"/>
  <c r="AI87" i="1" s="1"/>
  <c r="AI6" i="1"/>
  <c r="AI47" i="1" s="1"/>
  <c r="AI86" i="1" s="1"/>
  <c r="AI4" i="1"/>
  <c r="AI45" i="1" s="1"/>
  <c r="AI84" i="1" s="1"/>
  <c r="AI12" i="1"/>
  <c r="AI53" i="1" s="1"/>
  <c r="AI92" i="1" s="1"/>
  <c r="AI11" i="1"/>
  <c r="AI52" i="1" s="1"/>
  <c r="AI91" i="1" s="1"/>
  <c r="AI8" i="1"/>
  <c r="AI49" i="1" s="1"/>
  <c r="AI88" i="1" s="1"/>
  <c r="AI10" i="1"/>
  <c r="AI51" i="1" s="1"/>
  <c r="AI90" i="1" s="1"/>
  <c r="AI19" i="1"/>
  <c r="AI60" i="1" s="1"/>
  <c r="AI99" i="1" s="1"/>
  <c r="AI17" i="1"/>
  <c r="AI58" i="1" s="1"/>
  <c r="AI97" i="1" s="1"/>
  <c r="AI13" i="1"/>
  <c r="AI54" i="1" s="1"/>
  <c r="AI93" i="1" s="1"/>
  <c r="AI5" i="1"/>
  <c r="AI46" i="1" s="1"/>
  <c r="AI85" i="1" s="1"/>
  <c r="AI18" i="1"/>
  <c r="AI59" i="1" s="1"/>
  <c r="AI98" i="1" s="1"/>
  <c r="AI9" i="1"/>
  <c r="AI50" i="1" s="1"/>
  <c r="AI89" i="1" s="1"/>
  <c r="AI14" i="1"/>
  <c r="AI55" i="1" s="1"/>
  <c r="AI94" i="1" s="1"/>
  <c r="AI16" i="1"/>
  <c r="AI57" i="1" s="1"/>
  <c r="AI96" i="1" s="1"/>
  <c r="AC6" i="1"/>
  <c r="AC47" i="1" s="1"/>
  <c r="AC86" i="1" s="1"/>
  <c r="AC17" i="1"/>
  <c r="AC58" i="1" s="1"/>
  <c r="AC97" i="1" s="1"/>
  <c r="AC13" i="1"/>
  <c r="AC54" i="1" s="1"/>
  <c r="AC93" i="1" s="1"/>
  <c r="AC4" i="1"/>
  <c r="AC45" i="1" s="1"/>
  <c r="AC84" i="1" s="1"/>
  <c r="AC18" i="1"/>
  <c r="AC59" i="1" s="1"/>
  <c r="AC98" i="1" s="1"/>
  <c r="AC8" i="1"/>
  <c r="AC49" i="1" s="1"/>
  <c r="AC88" i="1" s="1"/>
  <c r="AC10" i="1"/>
  <c r="AC51" i="1" s="1"/>
  <c r="AC90" i="1" s="1"/>
  <c r="AC14" i="1"/>
  <c r="AC55" i="1" s="1"/>
  <c r="AC94" i="1" s="1"/>
  <c r="AC15" i="1"/>
  <c r="AC56" i="1" s="1"/>
  <c r="AC95" i="1" s="1"/>
  <c r="AC7" i="1"/>
  <c r="AC48" i="1" s="1"/>
  <c r="AC87" i="1" s="1"/>
  <c r="AC9" i="1"/>
  <c r="AC50" i="1" s="1"/>
  <c r="AC89" i="1" s="1"/>
  <c r="AC11" i="1"/>
  <c r="AC52" i="1" s="1"/>
  <c r="AC91" i="1" s="1"/>
  <c r="AC16" i="1"/>
  <c r="AC57" i="1" s="1"/>
  <c r="AC96" i="1" s="1"/>
  <c r="AC5" i="1"/>
  <c r="AC46" i="1" s="1"/>
  <c r="AC85" i="1" s="1"/>
  <c r="AC19" i="1"/>
  <c r="AC60" i="1" s="1"/>
  <c r="AC99" i="1" s="1"/>
  <c r="AC12" i="1"/>
  <c r="AC53" i="1" s="1"/>
  <c r="AC92" i="1" s="1"/>
  <c r="AE9" i="1"/>
  <c r="AE50" i="1" s="1"/>
  <c r="AE89" i="1" s="1"/>
  <c r="AE11" i="1"/>
  <c r="AE52" i="1" s="1"/>
  <c r="AE91" i="1" s="1"/>
  <c r="AE19" i="1"/>
  <c r="AE60" i="1" s="1"/>
  <c r="AE99" i="1" s="1"/>
  <c r="AE10" i="1"/>
  <c r="AE51" i="1" s="1"/>
  <c r="AE90" i="1" s="1"/>
  <c r="AE12" i="1"/>
  <c r="AE53" i="1" s="1"/>
  <c r="AE92" i="1" s="1"/>
  <c r="AE18" i="1"/>
  <c r="AE59" i="1" s="1"/>
  <c r="AE98" i="1" s="1"/>
  <c r="AE4" i="1"/>
  <c r="AE45" i="1" s="1"/>
  <c r="AE84" i="1" s="1"/>
  <c r="AE6" i="1"/>
  <c r="AE47" i="1" s="1"/>
  <c r="AE86" i="1" s="1"/>
  <c r="AE17" i="1"/>
  <c r="AE58" i="1" s="1"/>
  <c r="AE97" i="1" s="1"/>
  <c r="AE14" i="1"/>
  <c r="AE55" i="1" s="1"/>
  <c r="AE94" i="1" s="1"/>
  <c r="AE13" i="1"/>
  <c r="AE54" i="1" s="1"/>
  <c r="AE93" i="1" s="1"/>
  <c r="AE15" i="1"/>
  <c r="AE56" i="1" s="1"/>
  <c r="AE95" i="1" s="1"/>
  <c r="AE16" i="1"/>
  <c r="AE57" i="1" s="1"/>
  <c r="AE96" i="1" s="1"/>
  <c r="AE5" i="1"/>
  <c r="AE46" i="1" s="1"/>
  <c r="AE85" i="1" s="1"/>
  <c r="AE7" i="1"/>
  <c r="AE48" i="1" s="1"/>
  <c r="AE87" i="1" s="1"/>
  <c r="AE8" i="1"/>
  <c r="AE49" i="1" s="1"/>
  <c r="AE88" i="1" s="1"/>
  <c r="AF11" i="1"/>
  <c r="AF52" i="1" s="1"/>
  <c r="AF91" i="1" s="1"/>
  <c r="AF6" i="1"/>
  <c r="AF47" i="1" s="1"/>
  <c r="AF86" i="1" s="1"/>
  <c r="AF19" i="1"/>
  <c r="AF60" i="1" s="1"/>
  <c r="AF99" i="1" s="1"/>
  <c r="AF7" i="1"/>
  <c r="AF48" i="1" s="1"/>
  <c r="AF87" i="1" s="1"/>
  <c r="U10" i="1"/>
  <c r="U17" i="1"/>
  <c r="U9" i="1"/>
  <c r="F76" i="12" s="1"/>
  <c r="U14" i="1"/>
  <c r="U4" i="1"/>
  <c r="U16" i="1"/>
  <c r="U7" i="1"/>
  <c r="F52" i="12" s="1"/>
  <c r="U12" i="1"/>
  <c r="U19" i="1"/>
  <c r="U15" i="1"/>
  <c r="U5" i="1"/>
  <c r="U8" i="1"/>
  <c r="F64" i="12" s="1"/>
  <c r="U6" i="1"/>
  <c r="F40" i="12" s="1"/>
  <c r="U18" i="1"/>
  <c r="U13" i="1"/>
  <c r="U11" i="1"/>
  <c r="R10" i="1"/>
  <c r="R5" i="1"/>
  <c r="R16" i="1"/>
  <c r="R8" i="1"/>
  <c r="C64" i="12" s="1"/>
  <c r="R4" i="1"/>
  <c r="R9" i="1"/>
  <c r="C76" i="12" s="1"/>
  <c r="S4" i="1"/>
  <c r="S19" i="1"/>
  <c r="S5" i="1"/>
  <c r="S9" i="1"/>
  <c r="D76" i="12" s="1"/>
  <c r="S16" i="1"/>
  <c r="S7" i="1"/>
  <c r="D52" i="12" s="1"/>
  <c r="S13" i="1"/>
  <c r="S6" i="1"/>
  <c r="D40" i="12" s="1"/>
  <c r="S18" i="1"/>
  <c r="S11" i="1"/>
  <c r="S10" i="1"/>
  <c r="S17" i="1"/>
  <c r="S14" i="1"/>
  <c r="S8" i="1"/>
  <c r="D64" i="12" s="1"/>
  <c r="S12" i="1"/>
  <c r="S15" i="1"/>
  <c r="X16" i="1"/>
  <c r="X14" i="1"/>
  <c r="X15" i="1"/>
  <c r="X4" i="1"/>
  <c r="X19" i="1"/>
  <c r="X12" i="1"/>
  <c r="X18" i="1"/>
  <c r="X17" i="1"/>
  <c r="X9" i="1"/>
  <c r="X6" i="1"/>
  <c r="X10" i="1"/>
  <c r="X5" i="1"/>
  <c r="X7" i="1"/>
  <c r="X13" i="1"/>
  <c r="X8" i="1"/>
  <c r="X11" i="1"/>
  <c r="AD6" i="1"/>
  <c r="AD47" i="1" s="1"/>
  <c r="AD86" i="1" s="1"/>
  <c r="AD7" i="1"/>
  <c r="AD48" i="1" s="1"/>
  <c r="AD87" i="1" s="1"/>
  <c r="AD8" i="1"/>
  <c r="AD49" i="1" s="1"/>
  <c r="AD88" i="1" s="1"/>
  <c r="AD14" i="1"/>
  <c r="AD55" i="1" s="1"/>
  <c r="AD94" i="1" s="1"/>
  <c r="AD4" i="1"/>
  <c r="AD45" i="1" s="1"/>
  <c r="AD84" i="1" s="1"/>
  <c r="AD12" i="1"/>
  <c r="AD53" i="1" s="1"/>
  <c r="AD92" i="1" s="1"/>
  <c r="AD17" i="1"/>
  <c r="AD58" i="1" s="1"/>
  <c r="AD97" i="1" s="1"/>
  <c r="AD5" i="1"/>
  <c r="AD46" i="1" s="1"/>
  <c r="AD85" i="1" s="1"/>
  <c r="AD10" i="1"/>
  <c r="AD51" i="1" s="1"/>
  <c r="AD90" i="1" s="1"/>
  <c r="AD15" i="1"/>
  <c r="AD56" i="1" s="1"/>
  <c r="AD95" i="1" s="1"/>
  <c r="AD19" i="1"/>
  <c r="AD60" i="1" s="1"/>
  <c r="AD99" i="1" s="1"/>
  <c r="AD16" i="1"/>
  <c r="AD57" i="1" s="1"/>
  <c r="AD96" i="1" s="1"/>
  <c r="AD18" i="1"/>
  <c r="AD59" i="1" s="1"/>
  <c r="AD98" i="1" s="1"/>
  <c r="AD9" i="1"/>
  <c r="AD50" i="1" s="1"/>
  <c r="AD89" i="1" s="1"/>
  <c r="AD11" i="1"/>
  <c r="AD52" i="1" s="1"/>
  <c r="AD91" i="1" s="1"/>
  <c r="AD13" i="1"/>
  <c r="AD54" i="1" s="1"/>
  <c r="AD93" i="1" s="1"/>
  <c r="W17" i="1"/>
  <c r="W11" i="1"/>
  <c r="W6" i="1"/>
  <c r="W19" i="1"/>
  <c r="W13" i="1"/>
  <c r="W5" i="1"/>
  <c r="W16" i="1"/>
  <c r="W10" i="1"/>
  <c r="W9" i="1"/>
  <c r="W15" i="1"/>
  <c r="W18" i="1"/>
  <c r="W7" i="1"/>
  <c r="W8" i="1"/>
  <c r="W12" i="1"/>
  <c r="W4" i="1"/>
  <c r="W14" i="1"/>
  <c r="AG11" i="1"/>
  <c r="AG52" i="1" s="1"/>
  <c r="AG91" i="1" s="1"/>
  <c r="AG13" i="1"/>
  <c r="AG54" i="1" s="1"/>
  <c r="AG93" i="1" s="1"/>
  <c r="AG16" i="1"/>
  <c r="AG57" i="1" s="1"/>
  <c r="AG96" i="1" s="1"/>
  <c r="AG15" i="1"/>
  <c r="AG56" i="1" s="1"/>
  <c r="AG95" i="1" s="1"/>
  <c r="AG17" i="1"/>
  <c r="AG58" i="1" s="1"/>
  <c r="AG97" i="1" s="1"/>
  <c r="AG14" i="1"/>
  <c r="AG55" i="1" s="1"/>
  <c r="AG94" i="1" s="1"/>
  <c r="AG6" i="1"/>
  <c r="AG47" i="1" s="1"/>
  <c r="AG86" i="1" s="1"/>
  <c r="AG7" i="1"/>
  <c r="AG48" i="1" s="1"/>
  <c r="AG87" i="1" s="1"/>
  <c r="AG9" i="1"/>
  <c r="AG50" i="1" s="1"/>
  <c r="AG89" i="1" s="1"/>
  <c r="AG4" i="1"/>
  <c r="AG45" i="1" s="1"/>
  <c r="AG84" i="1" s="1"/>
  <c r="AG10" i="1"/>
  <c r="AG51" i="1" s="1"/>
  <c r="AG90" i="1" s="1"/>
  <c r="AG5" i="1"/>
  <c r="AG46" i="1" s="1"/>
  <c r="AG85" i="1" s="1"/>
  <c r="AG12" i="1"/>
  <c r="AG53" i="1" s="1"/>
  <c r="AG92" i="1" s="1"/>
  <c r="AG19" i="1"/>
  <c r="AG60" i="1" s="1"/>
  <c r="AG99" i="1" s="1"/>
  <c r="AG18" i="1"/>
  <c r="AG59" i="1" s="1"/>
  <c r="AG98" i="1" s="1"/>
  <c r="AG8" i="1"/>
  <c r="AG49" i="1" s="1"/>
  <c r="AG88" i="1" s="1"/>
  <c r="L83" i="5"/>
  <c r="L6" i="5"/>
  <c r="C13" i="5"/>
  <c r="C6" i="12" l="1"/>
  <c r="C23" i="12"/>
  <c r="D44" i="12"/>
  <c r="D49" i="12" s="1"/>
  <c r="D43" i="12"/>
  <c r="D48" i="12" s="1"/>
  <c r="D42" i="12"/>
  <c r="D47" i="12" s="1"/>
  <c r="L76" i="12"/>
  <c r="C80" i="12"/>
  <c r="C85" i="12" s="1"/>
  <c r="C78" i="12"/>
  <c r="C83" i="12" s="1"/>
  <c r="C79" i="12"/>
  <c r="C84" i="12" s="1"/>
  <c r="C82" i="12"/>
  <c r="O52" i="12"/>
  <c r="F54" i="12"/>
  <c r="F59" i="12" s="1"/>
  <c r="F56" i="12"/>
  <c r="F61" i="12" s="1"/>
  <c r="F55" i="12"/>
  <c r="F60" i="12" s="1"/>
  <c r="F42" i="12"/>
  <c r="F47" i="12" s="1"/>
  <c r="F44" i="12"/>
  <c r="F49" i="12" s="1"/>
  <c r="F43" i="12"/>
  <c r="F48" i="12" s="1"/>
  <c r="M76" i="12"/>
  <c r="D78" i="12"/>
  <c r="D83" i="12" s="1"/>
  <c r="D80" i="12"/>
  <c r="D85" i="12" s="1"/>
  <c r="D79" i="12"/>
  <c r="D84" i="12" s="1"/>
  <c r="D82" i="12"/>
  <c r="D6" i="12"/>
  <c r="D23" i="12"/>
  <c r="D67" i="12"/>
  <c r="D72" i="12" s="1"/>
  <c r="D66" i="12"/>
  <c r="D71" i="12" s="1"/>
  <c r="D68" i="12"/>
  <c r="D73" i="12" s="1"/>
  <c r="C67" i="12"/>
  <c r="C72" i="12" s="1"/>
  <c r="C66" i="12"/>
  <c r="C71" i="12" s="1"/>
  <c r="C68" i="12"/>
  <c r="C73" i="12" s="1"/>
  <c r="F68" i="12"/>
  <c r="F73" i="12" s="1"/>
  <c r="F66" i="12"/>
  <c r="F71" i="12" s="1"/>
  <c r="F67" i="12"/>
  <c r="F72" i="12" s="1"/>
  <c r="M52" i="12"/>
  <c r="D56" i="12"/>
  <c r="D61" i="12" s="1"/>
  <c r="D55" i="12"/>
  <c r="D60" i="12" s="1"/>
  <c r="D54" i="12"/>
  <c r="D59" i="12" s="1"/>
  <c r="F6" i="12"/>
  <c r="F23" i="12"/>
  <c r="O76" i="12"/>
  <c r="F79" i="12"/>
  <c r="F84" i="12" s="1"/>
  <c r="F78" i="12"/>
  <c r="F83" i="12" s="1"/>
  <c r="F80" i="12"/>
  <c r="F85" i="12" s="1"/>
  <c r="F82" i="12"/>
  <c r="Q4" i="1"/>
  <c r="Q5" i="1"/>
  <c r="R19" i="1"/>
  <c r="R6" i="1"/>
  <c r="C40" i="12" s="1"/>
  <c r="T4" i="1"/>
  <c r="T13" i="1"/>
  <c r="V4" i="1"/>
  <c r="V14" i="1"/>
  <c r="V6" i="1"/>
  <c r="B40" i="12" s="1"/>
  <c r="V16" i="1"/>
  <c r="V7" i="1"/>
  <c r="B52" i="12" s="1"/>
  <c r="V18" i="1"/>
  <c r="T14" i="1"/>
  <c r="T6" i="1"/>
  <c r="G40" i="12" s="1"/>
  <c r="Y9" i="1"/>
  <c r="H76" i="12" s="1"/>
  <c r="Y12" i="1"/>
  <c r="T10" i="1"/>
  <c r="T7" i="1"/>
  <c r="G52" i="12" s="1"/>
  <c r="Y4" i="1"/>
  <c r="Y10" i="1"/>
  <c r="Y5" i="1"/>
  <c r="H23" i="12" s="1"/>
  <c r="Y7" i="1"/>
  <c r="H52" i="12" s="1"/>
  <c r="Y11" i="1"/>
  <c r="AF13" i="1"/>
  <c r="AF54" i="1" s="1"/>
  <c r="AF93" i="1" s="1"/>
  <c r="R11" i="1"/>
  <c r="AF17" i="1"/>
  <c r="AF58" i="1" s="1"/>
  <c r="AF97" i="1" s="1"/>
  <c r="AF9" i="1"/>
  <c r="AF50" i="1" s="1"/>
  <c r="AF89" i="1" s="1"/>
  <c r="AF10" i="1"/>
  <c r="AF51" i="1" s="1"/>
  <c r="AF90" i="1" s="1"/>
  <c r="R12" i="1"/>
  <c r="V5" i="1"/>
  <c r="V13" i="1"/>
  <c r="R13" i="1"/>
  <c r="R15" i="1"/>
  <c r="V9" i="1"/>
  <c r="B76" i="12" s="1"/>
  <c r="V11" i="1"/>
  <c r="AF15" i="1"/>
  <c r="AF56" i="1" s="1"/>
  <c r="AF95" i="1" s="1"/>
  <c r="AF16" i="1"/>
  <c r="AF57" i="1" s="1"/>
  <c r="AF96" i="1" s="1"/>
  <c r="R7" i="1"/>
  <c r="C52" i="12" s="1"/>
  <c r="V19" i="1"/>
  <c r="V8" i="1"/>
  <c r="B64" i="12" s="1"/>
  <c r="AF14" i="1"/>
  <c r="AF55" i="1" s="1"/>
  <c r="AF94" i="1" s="1"/>
  <c r="AF18" i="1"/>
  <c r="AF59" i="1" s="1"/>
  <c r="AF98" i="1" s="1"/>
  <c r="R14" i="1"/>
  <c r="R18" i="1"/>
  <c r="V17" i="1"/>
  <c r="V10" i="1"/>
  <c r="T9" i="1"/>
  <c r="G76" i="12" s="1"/>
  <c r="AF4" i="1"/>
  <c r="AF45" i="1" s="1"/>
  <c r="AF84" i="1" s="1"/>
  <c r="AF5" i="1"/>
  <c r="AF46" i="1" s="1"/>
  <c r="AF85" i="1" s="1"/>
  <c r="R17" i="1"/>
  <c r="V12" i="1"/>
  <c r="T19" i="1"/>
  <c r="Y13" i="1"/>
  <c r="AF8" i="1"/>
  <c r="AF49" i="1" s="1"/>
  <c r="AF88" i="1" s="1"/>
  <c r="T15" i="1"/>
  <c r="T16" i="1"/>
  <c r="Y15" i="1"/>
  <c r="Y17" i="1"/>
  <c r="E17" i="1"/>
  <c r="M17" i="2"/>
  <c r="T17" i="1"/>
  <c r="T12" i="1"/>
  <c r="Y8" i="1"/>
  <c r="H64" i="12" s="1"/>
  <c r="Y18" i="1"/>
  <c r="AH15" i="1"/>
  <c r="AH56" i="1" s="1"/>
  <c r="AH95" i="1" s="1"/>
  <c r="M16" i="1"/>
  <c r="T5" i="1"/>
  <c r="T8" i="1"/>
  <c r="G64" i="12" s="1"/>
  <c r="Y6" i="1"/>
  <c r="H40" i="12" s="1"/>
  <c r="Y16" i="1"/>
  <c r="T11" i="1"/>
  <c r="Y19" i="1"/>
  <c r="Q7" i="1"/>
  <c r="E52" i="12" s="1"/>
  <c r="Q13" i="1"/>
  <c r="Q12" i="1"/>
  <c r="Q6" i="1"/>
  <c r="E40" i="12" s="1"/>
  <c r="Q8" i="1"/>
  <c r="E64" i="12" s="1"/>
  <c r="Q17" i="1"/>
  <c r="Q14" i="1"/>
  <c r="Q9" i="1"/>
  <c r="E76" i="12" s="1"/>
  <c r="Q10" i="1"/>
  <c r="Q15" i="1"/>
  <c r="Q19" i="1"/>
  <c r="Q11" i="1"/>
  <c r="Q16" i="1"/>
  <c r="Q18" i="1"/>
  <c r="L13" i="5"/>
  <c r="AB9" i="1"/>
  <c r="AB50" i="1" s="1"/>
  <c r="AB89" i="1" s="1"/>
  <c r="AB14" i="1"/>
  <c r="AB55" i="1" s="1"/>
  <c r="AB94" i="1" s="1"/>
  <c r="AB16" i="1"/>
  <c r="AB57" i="1" s="1"/>
  <c r="AB96" i="1" s="1"/>
  <c r="AB15" i="1"/>
  <c r="AB56" i="1" s="1"/>
  <c r="AB95" i="1" s="1"/>
  <c r="AB4" i="1"/>
  <c r="AB45" i="1" s="1"/>
  <c r="AB7" i="1"/>
  <c r="AB48" i="1" s="1"/>
  <c r="AB87" i="1" s="1"/>
  <c r="AB8" i="1"/>
  <c r="AB49" i="1" s="1"/>
  <c r="AB88" i="1" s="1"/>
  <c r="AB5" i="1"/>
  <c r="AB46" i="1" s="1"/>
  <c r="AB11" i="1"/>
  <c r="AB52" i="1" s="1"/>
  <c r="AB91" i="1" s="1"/>
  <c r="AB19" i="1"/>
  <c r="AB60" i="1" s="1"/>
  <c r="AB99" i="1" s="1"/>
  <c r="AB12" i="1"/>
  <c r="AB53" i="1" s="1"/>
  <c r="AB92" i="1" s="1"/>
  <c r="AB13" i="1"/>
  <c r="AB54" i="1" s="1"/>
  <c r="AB93" i="1" s="1"/>
  <c r="AB18" i="1"/>
  <c r="AB59" i="1" s="1"/>
  <c r="AB98" i="1" s="1"/>
  <c r="AB6" i="1"/>
  <c r="AB47" i="1" s="1"/>
  <c r="AB86" i="1" s="1"/>
  <c r="AJ86" i="1" s="1"/>
  <c r="AB17" i="1"/>
  <c r="AB58" i="1" s="1"/>
  <c r="AB97" i="1" s="1"/>
  <c r="AB10" i="1"/>
  <c r="AB90" i="1" s="1"/>
  <c r="H67" i="12" l="1"/>
  <c r="H72" i="12" s="1"/>
  <c r="H68" i="12"/>
  <c r="H73" i="12" s="1"/>
  <c r="H66" i="12"/>
  <c r="H71" i="12" s="1"/>
  <c r="Q76" i="12"/>
  <c r="H78" i="12"/>
  <c r="H83" i="12" s="1"/>
  <c r="H79" i="12"/>
  <c r="H84" i="12" s="1"/>
  <c r="H80" i="12"/>
  <c r="H85" i="12" s="1"/>
  <c r="H82" i="12"/>
  <c r="Q52" i="12"/>
  <c r="H54" i="12"/>
  <c r="H59" i="12" s="1"/>
  <c r="H55" i="12"/>
  <c r="H60" i="12" s="1"/>
  <c r="H56" i="12"/>
  <c r="H61" i="12" s="1"/>
  <c r="H44" i="12"/>
  <c r="H49" i="12" s="1"/>
  <c r="H43" i="12"/>
  <c r="H48" i="12" s="1"/>
  <c r="H42" i="12"/>
  <c r="H47" i="12" s="1"/>
  <c r="H26" i="12"/>
  <c r="H31" i="12" s="1"/>
  <c r="H36" i="12" s="1"/>
  <c r="H25" i="12"/>
  <c r="H30" i="12" s="1"/>
  <c r="H35" i="12" s="1"/>
  <c r="H27" i="12"/>
  <c r="H32" i="12" s="1"/>
  <c r="H37" i="12" s="1"/>
  <c r="B6" i="12"/>
  <c r="B23" i="12"/>
  <c r="C55" i="12"/>
  <c r="C60" i="12" s="1"/>
  <c r="L52" i="12"/>
  <c r="C54" i="12"/>
  <c r="C59" i="12" s="1"/>
  <c r="C56" i="12"/>
  <c r="C61" i="12" s="1"/>
  <c r="E66" i="12"/>
  <c r="E71" i="12" s="1"/>
  <c r="E68" i="12"/>
  <c r="E73" i="12" s="1"/>
  <c r="E67" i="12"/>
  <c r="E72" i="12" s="1"/>
  <c r="E42" i="12"/>
  <c r="E47" i="12" s="1"/>
  <c r="E44" i="12"/>
  <c r="E49" i="12" s="1"/>
  <c r="E43" i="12"/>
  <c r="E48" i="12" s="1"/>
  <c r="G43" i="12"/>
  <c r="G48" i="12" s="1"/>
  <c r="G42" i="12"/>
  <c r="G47" i="12" s="1"/>
  <c r="G44" i="12"/>
  <c r="G49" i="12" s="1"/>
  <c r="G66" i="12"/>
  <c r="G71" i="12" s="1"/>
  <c r="G67" i="12"/>
  <c r="G72" i="12" s="1"/>
  <c r="G68" i="12"/>
  <c r="G73" i="12" s="1"/>
  <c r="C44" i="12"/>
  <c r="C49" i="12" s="1"/>
  <c r="C42" i="12"/>
  <c r="C47" i="12" s="1"/>
  <c r="C43" i="12"/>
  <c r="C48" i="12" s="1"/>
  <c r="K52" i="12"/>
  <c r="I52" i="12"/>
  <c r="B54" i="12"/>
  <c r="B59" i="12" s="1"/>
  <c r="B55" i="12"/>
  <c r="B60" i="12" s="1"/>
  <c r="B56" i="12"/>
  <c r="B61" i="12" s="1"/>
  <c r="H6" i="12"/>
  <c r="P52" i="12"/>
  <c r="G55" i="12"/>
  <c r="G60" i="12" s="1"/>
  <c r="G56" i="12"/>
  <c r="G61" i="12" s="1"/>
  <c r="G54" i="12"/>
  <c r="G59" i="12" s="1"/>
  <c r="E6" i="12"/>
  <c r="E23" i="12"/>
  <c r="F27" i="12"/>
  <c r="F32" i="12" s="1"/>
  <c r="F37" i="12" s="1"/>
  <c r="F25" i="12"/>
  <c r="F30" i="12" s="1"/>
  <c r="F35" i="12" s="1"/>
  <c r="F26" i="12"/>
  <c r="F31" i="12" s="1"/>
  <c r="F36" i="12" s="1"/>
  <c r="K76" i="12"/>
  <c r="I76" i="12"/>
  <c r="B78" i="12"/>
  <c r="B83" i="12" s="1"/>
  <c r="B80" i="12"/>
  <c r="B85" i="12" s="1"/>
  <c r="B79" i="12"/>
  <c r="B84" i="12" s="1"/>
  <c r="B82" i="12"/>
  <c r="E55" i="12"/>
  <c r="E60" i="12" s="1"/>
  <c r="N52" i="12"/>
  <c r="E56" i="12"/>
  <c r="E61" i="12" s="1"/>
  <c r="E54" i="12"/>
  <c r="E59" i="12" s="1"/>
  <c r="B43" i="12"/>
  <c r="B48" i="12" s="1"/>
  <c r="B42" i="12"/>
  <c r="B47" i="12" s="1"/>
  <c r="B44" i="12"/>
  <c r="B49" i="12" s="1"/>
  <c r="I40" i="12"/>
  <c r="E80" i="12"/>
  <c r="E85" i="12" s="1"/>
  <c r="N76" i="12"/>
  <c r="E79" i="12"/>
  <c r="E84" i="12" s="1"/>
  <c r="E78" i="12"/>
  <c r="E83" i="12" s="1"/>
  <c r="E82" i="12"/>
  <c r="B68" i="12"/>
  <c r="B73" i="12" s="1"/>
  <c r="I64" i="12"/>
  <c r="B66" i="12"/>
  <c r="B71" i="12" s="1"/>
  <c r="B67" i="12"/>
  <c r="B72" i="12" s="1"/>
  <c r="D26" i="12"/>
  <c r="D31" i="12" s="1"/>
  <c r="D36" i="12" s="1"/>
  <c r="D25" i="12"/>
  <c r="D30" i="12" s="1"/>
  <c r="D35" i="12" s="1"/>
  <c r="D27" i="12"/>
  <c r="D32" i="12" s="1"/>
  <c r="D37" i="12" s="1"/>
  <c r="C26" i="12"/>
  <c r="C31" i="12" s="1"/>
  <c r="C36" i="12" s="1"/>
  <c r="C27" i="12"/>
  <c r="C32" i="12" s="1"/>
  <c r="C37" i="12" s="1"/>
  <c r="C25" i="12"/>
  <c r="C30" i="12" s="1"/>
  <c r="C35" i="12" s="1"/>
  <c r="G6" i="12"/>
  <c r="G23" i="12"/>
  <c r="P76" i="12"/>
  <c r="G78" i="12"/>
  <c r="G83" i="12" s="1"/>
  <c r="G79" i="12"/>
  <c r="G84" i="12" s="1"/>
  <c r="G80" i="12"/>
  <c r="G85" i="12" s="1"/>
  <c r="G82" i="12"/>
  <c r="AJ85" i="1"/>
  <c r="AJ92" i="1"/>
  <c r="AJ91" i="1"/>
  <c r="AJ87" i="1"/>
  <c r="AJ94" i="1"/>
  <c r="AJ84" i="1"/>
  <c r="AJ93" i="1"/>
  <c r="AJ95" i="1"/>
  <c r="AJ89" i="1"/>
  <c r="AJ90" i="1"/>
  <c r="AJ88" i="1"/>
  <c r="E18" i="1"/>
  <c r="M18" i="2"/>
  <c r="AH16" i="1"/>
  <c r="AH57" i="1" s="1"/>
  <c r="AH96" i="1" s="1"/>
  <c r="AJ96" i="1" s="1"/>
  <c r="M17" i="1"/>
  <c r="I6" i="12" l="1"/>
  <c r="R76" i="12"/>
  <c r="R52" i="12"/>
  <c r="G26" i="12"/>
  <c r="G31" i="12" s="1"/>
  <c r="G36" i="12" s="1"/>
  <c r="G27" i="12"/>
  <c r="G32" i="12" s="1"/>
  <c r="G37" i="12" s="1"/>
  <c r="G25" i="12"/>
  <c r="G30" i="12" s="1"/>
  <c r="G35" i="12" s="1"/>
  <c r="I42" i="12"/>
  <c r="I47" i="12" s="1"/>
  <c r="I44" i="12"/>
  <c r="I49" i="12" s="1"/>
  <c r="I43" i="12"/>
  <c r="I48" i="12" s="1"/>
  <c r="B25" i="12"/>
  <c r="B30" i="12" s="1"/>
  <c r="B35" i="12" s="1"/>
  <c r="I23" i="12"/>
  <c r="B26" i="12"/>
  <c r="B31" i="12" s="1"/>
  <c r="B36" i="12" s="1"/>
  <c r="B27" i="12"/>
  <c r="B32" i="12" s="1"/>
  <c r="B37" i="12" s="1"/>
  <c r="I66" i="12"/>
  <c r="I71" i="12" s="1"/>
  <c r="I67" i="12"/>
  <c r="I72" i="12" s="1"/>
  <c r="I68" i="12"/>
  <c r="I73" i="12" s="1"/>
  <c r="E27" i="12"/>
  <c r="E32" i="12" s="1"/>
  <c r="E37" i="12" s="1"/>
  <c r="E25" i="12"/>
  <c r="E30" i="12" s="1"/>
  <c r="E35" i="12" s="1"/>
  <c r="E26" i="12"/>
  <c r="E31" i="12" s="1"/>
  <c r="E36" i="12" s="1"/>
  <c r="I79" i="12"/>
  <c r="I84" i="12" s="1"/>
  <c r="I78" i="12"/>
  <c r="I83" i="12" s="1"/>
  <c r="I80" i="12"/>
  <c r="I85" i="12" s="1"/>
  <c r="I82" i="12"/>
  <c r="I54" i="12"/>
  <c r="I59" i="12" s="1"/>
  <c r="I55" i="12"/>
  <c r="I60" i="12" s="1"/>
  <c r="I56" i="12"/>
  <c r="I61" i="12" s="1"/>
  <c r="E19" i="1"/>
  <c r="M19" i="2"/>
  <c r="AH17" i="1"/>
  <c r="AH58" i="1" s="1"/>
  <c r="AH97" i="1" s="1"/>
  <c r="AJ97" i="1" s="1"/>
  <c r="AM97" i="1" s="1"/>
  <c r="M18" i="1"/>
  <c r="AP97" i="1"/>
  <c r="AR97" i="1"/>
  <c r="J23" i="12" l="1"/>
  <c r="I27" i="12"/>
  <c r="I32" i="12" s="1"/>
  <c r="I37" i="12" s="1"/>
  <c r="I26" i="12"/>
  <c r="I31" i="12" s="1"/>
  <c r="I36" i="12" s="1"/>
  <c r="I25" i="12"/>
  <c r="I30" i="12" s="1"/>
  <c r="I35" i="12" s="1"/>
  <c r="AS97" i="1"/>
  <c r="AT97" i="1"/>
  <c r="AN97" i="1"/>
  <c r="AQ97" i="1"/>
  <c r="E20" i="1"/>
  <c r="Q5" i="7" s="1"/>
  <c r="M20" i="2"/>
  <c r="M21" i="2" s="1"/>
  <c r="M22" i="2" s="1"/>
  <c r="M23" i="2" s="1"/>
  <c r="M24" i="2" s="1"/>
  <c r="M25" i="2" s="1"/>
  <c r="AO97" i="1"/>
  <c r="AH18" i="1"/>
  <c r="AH59" i="1" s="1"/>
  <c r="AH98" i="1" s="1"/>
  <c r="M19" i="1"/>
  <c r="AJ98" i="1" l="1"/>
  <c r="AS98" i="1" s="1"/>
  <c r="AH19" i="1"/>
  <c r="AH60" i="1" s="1"/>
  <c r="AH99" i="1" s="1"/>
  <c r="M20" i="1"/>
  <c r="M26" i="2"/>
  <c r="AJ99" i="1" l="1"/>
  <c r="AS99" i="1" s="1"/>
  <c r="AS100" i="1" s="1"/>
  <c r="AM98" i="1"/>
  <c r="AP98" i="1"/>
  <c r="AT98" i="1"/>
  <c r="AN98" i="1"/>
  <c r="AO98" i="1"/>
  <c r="AR98" i="1"/>
  <c r="AQ98" i="1"/>
  <c r="M27" i="2"/>
  <c r="AM99" i="1" l="1"/>
  <c r="AM100" i="1" s="1"/>
  <c r="AR99" i="1"/>
  <c r="AR100" i="1" s="1"/>
  <c r="AQ99" i="1"/>
  <c r="AQ100" i="1" s="1"/>
  <c r="AJ100" i="1"/>
  <c r="AT99" i="1"/>
  <c r="AT100" i="1" s="1"/>
  <c r="AO99" i="1"/>
  <c r="AO100" i="1" s="1"/>
  <c r="AN99" i="1"/>
  <c r="AN100" i="1" s="1"/>
  <c r="AP99" i="1"/>
  <c r="AP100" i="1" s="1"/>
  <c r="M28" i="2"/>
  <c r="AI100" i="1" l="1"/>
  <c r="AG100" i="1"/>
  <c r="AC100" i="1"/>
  <c r="AD100" i="1"/>
  <c r="AB100" i="1"/>
  <c r="AE100" i="1"/>
  <c r="AF100" i="1"/>
  <c r="AH100" i="1"/>
  <c r="AJ101" i="1"/>
  <c r="M29" i="2"/>
  <c r="AF101" i="1" l="1"/>
  <c r="AH101" i="1"/>
  <c r="AE101" i="1"/>
  <c r="AI101" i="1"/>
  <c r="AD101" i="1"/>
  <c r="AG101" i="1"/>
  <c r="AJ102" i="1"/>
  <c r="AB101" i="1"/>
  <c r="AC101" i="1"/>
  <c r="M30" i="2"/>
  <c r="AJ103" i="1" l="1"/>
  <c r="AI102" i="1"/>
  <c r="AH102" i="1"/>
  <c r="AB102" i="1"/>
  <c r="AE102" i="1"/>
  <c r="AF102" i="1"/>
  <c r="AD102" i="1"/>
  <c r="AC102" i="1"/>
  <c r="AG102" i="1"/>
  <c r="M31" i="2"/>
  <c r="AD103" i="1" l="1"/>
  <c r="AC103" i="1"/>
  <c r="AH103" i="1"/>
  <c r="AB103" i="1"/>
  <c r="AJ104" i="1"/>
  <c r="AE103" i="1"/>
  <c r="AG103" i="1"/>
  <c r="AF103" i="1"/>
  <c r="AI103" i="1"/>
  <c r="M32" i="2"/>
  <c r="AI104" i="1" l="1"/>
  <c r="AF104" i="1"/>
  <c r="AJ105" i="1"/>
  <c r="AD104" i="1"/>
  <c r="AE104" i="1"/>
  <c r="AH104" i="1"/>
  <c r="AG104" i="1"/>
  <c r="AB104" i="1"/>
  <c r="AC104" i="1"/>
  <c r="M33" i="2"/>
  <c r="AD105" i="1" l="1"/>
  <c r="AB105" i="1"/>
  <c r="AE105" i="1"/>
  <c r="AG105" i="1"/>
  <c r="AF105" i="1"/>
  <c r="AH105" i="1"/>
  <c r="AC105" i="1"/>
  <c r="AJ106" i="1"/>
  <c r="AI105" i="1"/>
  <c r="M34" i="2"/>
  <c r="AG106" i="1" l="1"/>
  <c r="AB106" i="1"/>
  <c r="AH106" i="1"/>
  <c r="AJ107" i="1"/>
  <c r="AF106" i="1"/>
  <c r="AD106" i="1"/>
  <c r="AE106" i="1"/>
  <c r="AC106" i="1"/>
  <c r="AI106" i="1"/>
  <c r="M35" i="2"/>
  <c r="AD107" i="1" l="1"/>
  <c r="AB107" i="1"/>
  <c r="AE107" i="1"/>
  <c r="AJ108" i="1"/>
  <c r="AH107" i="1"/>
  <c r="AF107" i="1"/>
  <c r="AG107" i="1"/>
  <c r="AI107" i="1"/>
  <c r="AC107" i="1"/>
  <c r="M36" i="2"/>
  <c r="AB108" i="1" l="1"/>
  <c r="AJ109" i="1"/>
  <c r="AD108" i="1"/>
  <c r="AH108" i="1"/>
  <c r="AE108" i="1"/>
  <c r="AF108" i="1"/>
  <c r="AI108" i="1"/>
  <c r="AG108" i="1"/>
  <c r="AC108" i="1"/>
  <c r="M37" i="2"/>
  <c r="AB109" i="1" l="1"/>
  <c r="AJ110" i="1"/>
  <c r="AH109" i="1"/>
  <c r="AD109" i="1"/>
  <c r="AG109" i="1"/>
  <c r="AI109" i="1"/>
  <c r="AC109" i="1"/>
  <c r="AF109" i="1"/>
  <c r="AE109" i="1"/>
  <c r="M38" i="2"/>
  <c r="AH110" i="1" l="1"/>
  <c r="AC110" i="1"/>
  <c r="AB110" i="1"/>
  <c r="AJ111" i="1"/>
  <c r="AD110" i="1"/>
  <c r="AF110" i="1"/>
  <c r="AE110" i="1"/>
  <c r="AG110" i="1"/>
  <c r="AI110" i="1"/>
  <c r="M39" i="2"/>
  <c r="AG111" i="1" l="1"/>
  <c r="AB111" i="1"/>
  <c r="AI111" i="1"/>
  <c r="AD111" i="1"/>
  <c r="AE111" i="1"/>
  <c r="AC111" i="1"/>
  <c r="AJ112" i="1"/>
  <c r="AF111" i="1"/>
  <c r="AH111" i="1"/>
  <c r="M40" i="2"/>
  <c r="AB112" i="1" l="1"/>
  <c r="AJ113" i="1"/>
  <c r="AC112" i="1"/>
  <c r="AG112" i="1"/>
  <c r="AD112" i="1"/>
  <c r="AE112" i="1"/>
  <c r="AH112" i="1"/>
  <c r="AF112" i="1"/>
  <c r="AI112" i="1"/>
  <c r="M41" i="2"/>
  <c r="AD113" i="1" l="1"/>
  <c r="AF113" i="1"/>
  <c r="AH113" i="1"/>
  <c r="AE113" i="1"/>
  <c r="AI113" i="1"/>
  <c r="AB113" i="1"/>
  <c r="AJ114" i="1"/>
  <c r="AG113" i="1"/>
  <c r="AC113" i="1"/>
  <c r="M42" i="2"/>
  <c r="AE114" i="1" l="1"/>
  <c r="AD114" i="1"/>
  <c r="AH114" i="1"/>
  <c r="AG114" i="1"/>
  <c r="AF114" i="1"/>
  <c r="AB114" i="1"/>
  <c r="AJ115" i="1"/>
  <c r="AI114" i="1"/>
  <c r="AC114" i="1"/>
  <c r="M43" i="2"/>
  <c r="AG115" i="1" l="1"/>
  <c r="AC115" i="1"/>
  <c r="AF115" i="1"/>
  <c r="AE115" i="1"/>
  <c r="AI115" i="1"/>
  <c r="AB115" i="1"/>
  <c r="AD115" i="1"/>
  <c r="AJ116" i="1"/>
  <c r="AH115" i="1"/>
  <c r="M44" i="2"/>
  <c r="AJ117" i="1" l="1"/>
  <c r="AD116" i="1"/>
  <c r="AC116" i="1"/>
  <c r="AF116" i="1"/>
  <c r="AG116" i="1"/>
  <c r="AH116" i="1"/>
  <c r="AE116" i="1"/>
  <c r="AI116" i="1"/>
  <c r="AB116" i="1"/>
  <c r="M45" i="2"/>
  <c r="AH117" i="1" l="1"/>
  <c r="AD117" i="1"/>
  <c r="AG117" i="1"/>
  <c r="AC117" i="1"/>
  <c r="AJ118" i="1"/>
  <c r="AF117" i="1"/>
  <c r="AI117" i="1"/>
  <c r="AB117" i="1"/>
  <c r="AE117" i="1"/>
  <c r="M46" i="2"/>
  <c r="AH118" i="1" l="1"/>
  <c r="AB118" i="1"/>
  <c r="AC118" i="1"/>
  <c r="AJ119" i="1"/>
  <c r="AD118" i="1"/>
  <c r="AF118" i="1"/>
  <c r="AE118" i="1"/>
  <c r="AG118" i="1"/>
  <c r="AI118" i="1"/>
  <c r="M47" i="2"/>
  <c r="AF119" i="1" l="1"/>
  <c r="AI119" i="1"/>
  <c r="AG119" i="1"/>
  <c r="AB119" i="1"/>
  <c r="AJ120" i="1"/>
  <c r="AH119" i="1"/>
  <c r="AC119" i="1"/>
  <c r="AD119" i="1"/>
  <c r="AE119" i="1"/>
  <c r="M48" i="2"/>
  <c r="AG120" i="1" l="1"/>
  <c r="AH120" i="1"/>
  <c r="AF120" i="1"/>
  <c r="AB120" i="1"/>
  <c r="AC120" i="1"/>
  <c r="AD120" i="1"/>
  <c r="AJ121" i="1"/>
  <c r="AE120" i="1"/>
  <c r="AI120" i="1"/>
  <c r="M49" i="2"/>
  <c r="AG121" i="1" l="1"/>
  <c r="AH121" i="1"/>
  <c r="AI121" i="1"/>
  <c r="AD121" i="1"/>
  <c r="AB121" i="1"/>
  <c r="AJ122" i="1"/>
  <c r="AE121" i="1"/>
  <c r="AF121" i="1"/>
  <c r="AC121" i="1"/>
  <c r="M50" i="2"/>
  <c r="AF122" i="1" l="1"/>
  <c r="AG122" i="1"/>
  <c r="AH122" i="1"/>
  <c r="AC122" i="1"/>
  <c r="AB122" i="1"/>
  <c r="AD122" i="1"/>
  <c r="AJ123" i="1"/>
  <c r="AI122" i="1"/>
  <c r="AE122" i="1"/>
  <c r="M51" i="2"/>
  <c r="AI123" i="1" l="1"/>
  <c r="AJ124" i="1"/>
  <c r="AG123" i="1"/>
  <c r="AB123" i="1"/>
  <c r="AC123" i="1"/>
  <c r="AE123" i="1"/>
  <c r="AH123" i="1"/>
  <c r="AF123" i="1"/>
  <c r="AD123" i="1"/>
  <c r="M52" i="2"/>
  <c r="AD124" i="1" l="1"/>
  <c r="AJ125" i="1"/>
  <c r="AF124" i="1"/>
  <c r="AE124" i="1"/>
  <c r="AG124" i="1"/>
  <c r="AC124" i="1"/>
  <c r="AI124" i="1"/>
  <c r="AH124" i="1"/>
  <c r="AB124" i="1"/>
  <c r="M53" i="2"/>
  <c r="AB125" i="1" l="1"/>
  <c r="AI125" i="1"/>
  <c r="AE125" i="1"/>
  <c r="AD125" i="1"/>
  <c r="AH125" i="1"/>
  <c r="AC125" i="1"/>
  <c r="AG125" i="1"/>
  <c r="AJ126" i="1"/>
  <c r="AF125" i="1"/>
  <c r="M54" i="2"/>
  <c r="AF126" i="1" l="1"/>
  <c r="AC126" i="1"/>
  <c r="AB126" i="1"/>
  <c r="AJ127" i="1"/>
  <c r="AE126" i="1"/>
  <c r="AD126" i="1"/>
  <c r="AG126" i="1"/>
  <c r="AI126" i="1"/>
  <c r="AH126" i="1"/>
  <c r="M55" i="2"/>
  <c r="Q41" i="7" s="1"/>
  <c r="AI127" i="1" l="1"/>
  <c r="AB127" i="1"/>
  <c r="AJ128" i="1"/>
  <c r="AC127" i="1"/>
  <c r="AD127" i="1"/>
  <c r="AE127" i="1"/>
  <c r="AH127" i="1"/>
  <c r="AF127" i="1"/>
  <c r="AG127" i="1"/>
  <c r="M56" i="2"/>
  <c r="Q42" i="7" s="1"/>
  <c r="AB128" i="1" l="1"/>
  <c r="AC128" i="1"/>
  <c r="AI128" i="1"/>
  <c r="AD128" i="1"/>
  <c r="AJ129" i="1"/>
  <c r="AE128" i="1"/>
  <c r="AG128" i="1"/>
  <c r="AF128" i="1"/>
  <c r="AH128" i="1"/>
  <c r="M57" i="2"/>
  <c r="Q43" i="7" s="1"/>
  <c r="AF129" i="1" l="1"/>
  <c r="AD129" i="1"/>
  <c r="AE129" i="1"/>
  <c r="AH129" i="1"/>
  <c r="AI129" i="1"/>
  <c r="AB129" i="1"/>
  <c r="AJ130" i="1"/>
  <c r="AC129" i="1"/>
  <c r="AG129" i="1"/>
  <c r="M58" i="2"/>
  <c r="Q44" i="7" s="1"/>
  <c r="AD130" i="1" l="1"/>
  <c r="AF130" i="1"/>
  <c r="AH130" i="1"/>
  <c r="AB130" i="1"/>
  <c r="AC130" i="1"/>
  <c r="AE130" i="1"/>
  <c r="AJ131" i="1"/>
  <c r="AG130" i="1"/>
  <c r="AI130" i="1"/>
  <c r="M59" i="2"/>
  <c r="Q45" i="7" s="1"/>
  <c r="AD131" i="1" l="1"/>
  <c r="AJ132" i="1"/>
  <c r="AE131" i="1"/>
  <c r="AG131" i="1"/>
  <c r="AI131" i="1"/>
  <c r="AF131" i="1"/>
  <c r="AH131" i="1"/>
  <c r="AC131" i="1"/>
  <c r="AB131" i="1"/>
  <c r="M60" i="2"/>
  <c r="Q46" i="7" s="1"/>
  <c r="AB132" i="1" l="1"/>
  <c r="AD132" i="1"/>
  <c r="AE132" i="1"/>
  <c r="AJ133" i="1"/>
  <c r="AF132" i="1"/>
  <c r="AH132" i="1"/>
  <c r="AG132" i="1"/>
  <c r="AI132" i="1"/>
  <c r="AC132" i="1"/>
  <c r="M61" i="2"/>
  <c r="Q47" i="7" s="1"/>
  <c r="AJ134" i="1" l="1"/>
  <c r="AD133" i="1"/>
  <c r="AC133" i="1"/>
  <c r="AF133" i="1"/>
  <c r="AG133" i="1"/>
  <c r="AB133" i="1"/>
  <c r="AH133" i="1"/>
  <c r="AI133" i="1"/>
  <c r="AE133" i="1"/>
  <c r="M62" i="2"/>
  <c r="Q48" i="7" s="1"/>
  <c r="AI134" i="1" l="1"/>
  <c r="AC134" i="1"/>
  <c r="AD134" i="1"/>
  <c r="AJ135" i="1"/>
  <c r="AE134" i="1"/>
  <c r="AH134" i="1"/>
  <c r="AF134" i="1"/>
  <c r="AB134" i="1"/>
  <c r="AG134" i="1"/>
  <c r="M63" i="2"/>
  <c r="Q49" i="7" s="1"/>
  <c r="AG135" i="1" l="1"/>
  <c r="AI135" i="1"/>
  <c r="AB135" i="1"/>
  <c r="AE135" i="1"/>
  <c r="AD135" i="1"/>
  <c r="AJ136" i="1"/>
  <c r="AF135" i="1"/>
  <c r="AC135" i="1"/>
  <c r="AH135" i="1"/>
  <c r="M64" i="2"/>
  <c r="Q50" i="7" s="1"/>
  <c r="AG136" i="1" l="1"/>
  <c r="AF136" i="1"/>
  <c r="AI136" i="1"/>
  <c r="AB136" i="1"/>
  <c r="AH136" i="1"/>
  <c r="AE136" i="1"/>
  <c r="AD136" i="1"/>
  <c r="AC136" i="1"/>
  <c r="AJ137" i="1"/>
  <c r="M65" i="2"/>
  <c r="Q51" i="7" s="1"/>
  <c r="AE137" i="1" l="1"/>
  <c r="AH137" i="1"/>
  <c r="AC137" i="1"/>
  <c r="AG137" i="1"/>
  <c r="AI137" i="1"/>
  <c r="AB137" i="1"/>
  <c r="AD137" i="1"/>
  <c r="AF137" i="1"/>
  <c r="AJ138" i="1"/>
  <c r="M66" i="2"/>
  <c r="Q52" i="7" s="1"/>
  <c r="AI138" i="1" l="1"/>
  <c r="AH138" i="1"/>
  <c r="AB138" i="1"/>
  <c r="AF138" i="1"/>
  <c r="AJ139" i="1"/>
  <c r="AE138" i="1"/>
  <c r="AC138" i="1"/>
  <c r="AD138" i="1"/>
  <c r="AG138" i="1"/>
  <c r="M67" i="2"/>
  <c r="Q53" i="7" s="1"/>
  <c r="AI139" i="1" l="1"/>
  <c r="AG139" i="1"/>
  <c r="AJ140" i="1"/>
  <c r="AH139" i="1"/>
  <c r="AB139" i="1"/>
  <c r="AE139" i="1"/>
  <c r="AC139" i="1"/>
  <c r="AD139" i="1"/>
  <c r="AF139" i="1"/>
  <c r="M68" i="2"/>
  <c r="Q54" i="7" s="1"/>
  <c r="AG140" i="1" l="1"/>
  <c r="AD140" i="1"/>
  <c r="AH140" i="1"/>
  <c r="AI140" i="1"/>
  <c r="AC140" i="1"/>
  <c r="AB140" i="1"/>
  <c r="AJ141" i="1"/>
  <c r="AE140" i="1"/>
  <c r="AF140" i="1"/>
  <c r="M69" i="2"/>
  <c r="Q55" i="7" s="1"/>
  <c r="AB141" i="1" l="1"/>
  <c r="AI141" i="1"/>
  <c r="AJ142" i="1"/>
  <c r="AC141" i="1"/>
  <c r="AD141" i="1"/>
  <c r="AE141" i="1"/>
  <c r="AG141" i="1"/>
  <c r="AF141" i="1"/>
  <c r="AH141" i="1"/>
  <c r="M70" i="2"/>
  <c r="Q56" i="7" s="1"/>
  <c r="AC142" i="1" l="1"/>
  <c r="AJ143" i="1"/>
  <c r="AE142" i="1"/>
  <c r="AD142" i="1"/>
  <c r="AH142" i="1"/>
  <c r="AB142" i="1"/>
  <c r="AF142" i="1"/>
  <c r="AG142" i="1"/>
  <c r="AI142" i="1"/>
  <c r="M71" i="2"/>
  <c r="Q57" i="7" s="1"/>
  <c r="AI143" i="1" l="1"/>
  <c r="AJ144" i="1"/>
  <c r="AB143" i="1"/>
  <c r="AE143" i="1"/>
  <c r="AC143" i="1"/>
  <c r="AD143" i="1"/>
  <c r="AF143" i="1"/>
  <c r="AH143" i="1"/>
  <c r="AG143" i="1"/>
  <c r="M72" i="2"/>
  <c r="Q58" i="7" s="1"/>
  <c r="AF144" i="1" l="1"/>
  <c r="AD144" i="1"/>
  <c r="AB144" i="1"/>
  <c r="AG144" i="1"/>
  <c r="AH144" i="1"/>
  <c r="AI144" i="1"/>
  <c r="AC144" i="1"/>
  <c r="AJ145" i="1"/>
  <c r="AE144" i="1"/>
  <c r="M73" i="2"/>
  <c r="Q59" i="7" s="1"/>
  <c r="AG145" i="1" l="1"/>
  <c r="AI145" i="1"/>
  <c r="AB145" i="1"/>
  <c r="AH145" i="1"/>
  <c r="AD145" i="1"/>
  <c r="AJ146" i="1"/>
  <c r="AC145" i="1"/>
  <c r="AF145" i="1"/>
  <c r="AE145" i="1"/>
  <c r="M74" i="2"/>
  <c r="Q60" i="7" s="1"/>
  <c r="AE146" i="1" l="1"/>
  <c r="AF146" i="1"/>
  <c r="AG146" i="1"/>
  <c r="AH146" i="1"/>
  <c r="AD146" i="1"/>
  <c r="AI146" i="1"/>
  <c r="AB146" i="1"/>
  <c r="AC146" i="1"/>
  <c r="AJ147" i="1"/>
  <c r="AD147" i="1" l="1"/>
  <c r="D3" i="11" s="1"/>
  <c r="AJ148" i="1"/>
  <c r="AF147" i="1"/>
  <c r="F3" i="11" s="1"/>
  <c r="AE147" i="1"/>
  <c r="E3" i="11" s="1"/>
  <c r="AG147" i="1"/>
  <c r="G3" i="11" s="1"/>
  <c r="AB147" i="1"/>
  <c r="B3" i="11" s="1"/>
  <c r="AH147" i="1"/>
  <c r="H3" i="11" s="1"/>
  <c r="AI147" i="1"/>
  <c r="I3" i="11" s="1"/>
  <c r="AC147" i="1"/>
  <c r="C3" i="11" s="1"/>
  <c r="J3" i="11" l="1"/>
  <c r="L3" i="11" s="1"/>
  <c r="AC148" i="1"/>
  <c r="C4" i="11" s="1"/>
  <c r="AB148" i="1"/>
  <c r="B4" i="11" s="1"/>
  <c r="AE148" i="1"/>
  <c r="E4" i="11" s="1"/>
  <c r="AJ149" i="1"/>
  <c r="AF148" i="1"/>
  <c r="F4" i="11" s="1"/>
  <c r="AG148" i="1"/>
  <c r="G4" i="11" s="1"/>
  <c r="AH148" i="1"/>
  <c r="H4" i="11" s="1"/>
  <c r="AD148" i="1"/>
  <c r="D4" i="11" s="1"/>
  <c r="AI148" i="1"/>
  <c r="I4" i="11" s="1"/>
  <c r="J4" i="11" l="1"/>
  <c r="L4" i="11" s="1"/>
  <c r="AB149" i="1"/>
  <c r="B5" i="11" s="1"/>
  <c r="AJ150" i="1"/>
  <c r="AI149" i="1"/>
  <c r="I5" i="11" s="1"/>
  <c r="AC149" i="1"/>
  <c r="C5" i="11" s="1"/>
  <c r="AD149" i="1"/>
  <c r="D5" i="11" s="1"/>
  <c r="AE149" i="1"/>
  <c r="E5" i="11" s="1"/>
  <c r="AG149" i="1"/>
  <c r="G5" i="11" s="1"/>
  <c r="AF149" i="1"/>
  <c r="F5" i="11" s="1"/>
  <c r="AH149" i="1"/>
  <c r="H5" i="11" s="1"/>
  <c r="J5" i="11" l="1"/>
  <c r="L5" i="11"/>
  <c r="AD150" i="1"/>
  <c r="D6" i="11" s="1"/>
  <c r="AE150" i="1"/>
  <c r="E6" i="11" s="1"/>
  <c r="AB150" i="1"/>
  <c r="B6" i="11" s="1"/>
  <c r="AC150" i="1"/>
  <c r="C6" i="11" s="1"/>
  <c r="AI150" i="1"/>
  <c r="I6" i="11" s="1"/>
  <c r="AJ151" i="1"/>
  <c r="AF150" i="1"/>
  <c r="F6" i="11" s="1"/>
  <c r="AG150" i="1"/>
  <c r="G6" i="11" s="1"/>
  <c r="AH150" i="1"/>
  <c r="H6" i="11" s="1"/>
  <c r="J6" i="11" l="1"/>
  <c r="L6" i="11" s="1"/>
  <c r="AB151" i="1"/>
  <c r="B7" i="11" s="1"/>
  <c r="AC151" i="1"/>
  <c r="C7" i="11" s="1"/>
  <c r="AI151" i="1"/>
  <c r="I7" i="11" s="1"/>
  <c r="AJ152" i="1"/>
  <c r="AE151" i="1"/>
  <c r="E7" i="11" s="1"/>
  <c r="AD151" i="1"/>
  <c r="D7" i="11" s="1"/>
  <c r="AF151" i="1"/>
  <c r="F7" i="11" s="1"/>
  <c r="AH151" i="1"/>
  <c r="H7" i="11" s="1"/>
  <c r="AG151" i="1"/>
  <c r="G7" i="11" s="1"/>
  <c r="J7" i="11" l="1"/>
  <c r="L7" i="11"/>
  <c r="AG152" i="1"/>
  <c r="G8" i="11" s="1"/>
  <c r="AF152" i="1"/>
  <c r="F8" i="11" s="1"/>
  <c r="AB152" i="1"/>
  <c r="B8" i="11" s="1"/>
  <c r="AC152" i="1"/>
  <c r="C8" i="11" s="1"/>
  <c r="AH152" i="1"/>
  <c r="H8" i="11" s="1"/>
  <c r="AI152" i="1"/>
  <c r="I8" i="11" s="1"/>
  <c r="AD152" i="1"/>
  <c r="D8" i="11" s="1"/>
  <c r="AE152" i="1"/>
  <c r="E8" i="11" s="1"/>
  <c r="AJ153" i="1"/>
  <c r="J8" i="11" l="1"/>
  <c r="L8" i="11" s="1"/>
  <c r="AE153" i="1"/>
  <c r="E9" i="11" s="1"/>
  <c r="AG153" i="1"/>
  <c r="G9" i="11" s="1"/>
  <c r="AH153" i="1"/>
  <c r="H9" i="11" s="1"/>
  <c r="AB153" i="1"/>
  <c r="B9" i="11" s="1"/>
  <c r="AI153" i="1"/>
  <c r="I9" i="11" s="1"/>
  <c r="AJ154" i="1"/>
  <c r="AC153" i="1"/>
  <c r="C9" i="11" s="1"/>
  <c r="AD153" i="1"/>
  <c r="D9" i="11" s="1"/>
  <c r="AF153" i="1"/>
  <c r="F9" i="11" s="1"/>
  <c r="J9" i="11" l="1"/>
  <c r="L9" i="11" s="1"/>
  <c r="AG154" i="1"/>
  <c r="AF154" i="1"/>
  <c r="AH154" i="1"/>
  <c r="AI154" i="1"/>
  <c r="AB154" i="1"/>
  <c r="AC154" i="1"/>
  <c r="AD154" i="1"/>
  <c r="AE154" i="1"/>
  <c r="D21" i="11" l="1"/>
  <c r="D17" i="11"/>
  <c r="D20" i="11"/>
  <c r="D13" i="11"/>
  <c r="D23" i="11"/>
  <c r="D18" i="11"/>
  <c r="D10" i="11"/>
  <c r="D11" i="11"/>
  <c r="D14" i="11"/>
  <c r="D22" i="11"/>
  <c r="D16" i="11"/>
  <c r="D19" i="11"/>
  <c r="D24" i="11"/>
  <c r="D12" i="11"/>
  <c r="D15" i="11"/>
  <c r="D26" i="11"/>
  <c r="D25" i="11"/>
  <c r="D27" i="11"/>
  <c r="D29" i="11"/>
  <c r="D28" i="11"/>
  <c r="D30" i="11"/>
  <c r="D33" i="11"/>
  <c r="D31" i="11"/>
  <c r="D34" i="11"/>
  <c r="D32" i="11"/>
  <c r="C21" i="11"/>
  <c r="C15" i="11"/>
  <c r="C16" i="11"/>
  <c r="C13" i="11"/>
  <c r="C23" i="11"/>
  <c r="C11" i="11"/>
  <c r="C22" i="11"/>
  <c r="C18" i="11"/>
  <c r="C17" i="11"/>
  <c r="C12" i="11"/>
  <c r="C10" i="11"/>
  <c r="C20" i="11"/>
  <c r="C19" i="11"/>
  <c r="C25" i="11"/>
  <c r="C24" i="11"/>
  <c r="C14" i="11"/>
  <c r="C26" i="11"/>
  <c r="C27" i="11"/>
  <c r="C31" i="11"/>
  <c r="C28" i="11"/>
  <c r="C30" i="11"/>
  <c r="C29" i="11"/>
  <c r="C33" i="11"/>
  <c r="C32" i="11"/>
  <c r="C34" i="11"/>
  <c r="F10" i="11"/>
  <c r="F12" i="11"/>
  <c r="F20" i="11"/>
  <c r="F19" i="11"/>
  <c r="F11" i="11"/>
  <c r="F14" i="11"/>
  <c r="F15" i="11"/>
  <c r="F13" i="11"/>
  <c r="F23" i="11"/>
  <c r="F21" i="11"/>
  <c r="F16" i="11"/>
  <c r="F24" i="11"/>
  <c r="F17" i="11"/>
  <c r="F22" i="11"/>
  <c r="F18" i="11"/>
  <c r="F26" i="11"/>
  <c r="F28" i="11"/>
  <c r="F29" i="11"/>
  <c r="F25" i="11"/>
  <c r="F30" i="11"/>
  <c r="F27" i="11"/>
  <c r="F31" i="11"/>
  <c r="F33" i="11"/>
  <c r="F32" i="11"/>
  <c r="F34" i="11"/>
  <c r="G23" i="11"/>
  <c r="G20" i="11"/>
  <c r="G12" i="11"/>
  <c r="G11" i="11"/>
  <c r="G13" i="11"/>
  <c r="G17" i="11"/>
  <c r="G22" i="11"/>
  <c r="G15" i="11"/>
  <c r="G19" i="11"/>
  <c r="G18" i="11"/>
  <c r="G10" i="11"/>
  <c r="G21" i="11"/>
  <c r="G14" i="11"/>
  <c r="G24" i="11"/>
  <c r="G16" i="11"/>
  <c r="G26" i="11"/>
  <c r="G28" i="11"/>
  <c r="G25" i="11"/>
  <c r="G30" i="11"/>
  <c r="G27" i="11"/>
  <c r="G31" i="11"/>
  <c r="G29" i="11"/>
  <c r="G32" i="11"/>
  <c r="G33" i="11"/>
  <c r="G34" i="11"/>
  <c r="B11" i="11"/>
  <c r="B19" i="11"/>
  <c r="B21" i="11"/>
  <c r="B16" i="11"/>
  <c r="B10" i="11"/>
  <c r="B13" i="11"/>
  <c r="B18" i="11"/>
  <c r="B15" i="11"/>
  <c r="B14" i="11"/>
  <c r="B12" i="11"/>
  <c r="B23" i="11"/>
  <c r="B20" i="11"/>
  <c r="B22" i="11"/>
  <c r="B17" i="11"/>
  <c r="B24" i="11"/>
  <c r="B25" i="11"/>
  <c r="B28" i="11"/>
  <c r="B26" i="11"/>
  <c r="B27" i="11"/>
  <c r="B30" i="11"/>
  <c r="B29" i="11"/>
  <c r="B32" i="11"/>
  <c r="B31" i="11"/>
  <c r="B33" i="11"/>
  <c r="B34" i="11"/>
  <c r="I14" i="11"/>
  <c r="I10" i="11"/>
  <c r="I13" i="11"/>
  <c r="I19" i="11"/>
  <c r="I21" i="11"/>
  <c r="I20" i="11"/>
  <c r="I23" i="11"/>
  <c r="I18" i="11"/>
  <c r="I12" i="11"/>
  <c r="I11" i="11"/>
  <c r="I22" i="11"/>
  <c r="I16" i="11"/>
  <c r="I24" i="11"/>
  <c r="I17" i="11"/>
  <c r="I15" i="11"/>
  <c r="I25" i="11"/>
  <c r="I27" i="11"/>
  <c r="I29" i="11"/>
  <c r="I26" i="11"/>
  <c r="I28" i="11"/>
  <c r="I32" i="11"/>
  <c r="I34" i="11"/>
  <c r="I31" i="11"/>
  <c r="I30" i="11"/>
  <c r="I33" i="11"/>
  <c r="H23" i="11"/>
  <c r="H21" i="11"/>
  <c r="H16" i="11"/>
  <c r="H15" i="11"/>
  <c r="H19" i="11"/>
  <c r="H18" i="11"/>
  <c r="H11" i="11"/>
  <c r="H22" i="11"/>
  <c r="H20" i="11"/>
  <c r="H13" i="11"/>
  <c r="H17" i="11"/>
  <c r="H12" i="11"/>
  <c r="H10" i="11"/>
  <c r="H14" i="11"/>
  <c r="H24" i="11"/>
  <c r="H26" i="11"/>
  <c r="H27" i="11"/>
  <c r="H25" i="11"/>
  <c r="H28" i="11"/>
  <c r="H29" i="11"/>
  <c r="H30" i="11"/>
  <c r="H31" i="11"/>
  <c r="H32" i="11"/>
  <c r="H34" i="11"/>
  <c r="H33" i="11"/>
  <c r="E16" i="11"/>
  <c r="E10" i="11"/>
  <c r="E17" i="11"/>
  <c r="E20" i="11"/>
  <c r="E22" i="11"/>
  <c r="E21" i="11"/>
  <c r="E23" i="11"/>
  <c r="E14" i="11"/>
  <c r="E19" i="11"/>
  <c r="E11" i="11"/>
  <c r="E18" i="11"/>
  <c r="E12" i="11"/>
  <c r="E15" i="11"/>
  <c r="E13" i="11"/>
  <c r="E24" i="11"/>
  <c r="E25" i="11"/>
  <c r="E30" i="11"/>
  <c r="E27" i="11"/>
  <c r="E26" i="11"/>
  <c r="E28" i="11"/>
  <c r="E29" i="11"/>
  <c r="E31" i="11"/>
  <c r="E33" i="11"/>
  <c r="E32" i="11"/>
  <c r="E34" i="11"/>
  <c r="J28" i="11" l="1"/>
  <c r="J19" i="11"/>
  <c r="J15" i="11"/>
  <c r="L15" i="11" s="1"/>
  <c r="J33" i="11"/>
  <c r="L33" i="11" s="1"/>
  <c r="N33" i="11" s="1"/>
  <c r="J30" i="11"/>
  <c r="L30" i="11" s="1"/>
  <c r="J20" i="11"/>
  <c r="L20" i="11" s="1"/>
  <c r="J16" i="11"/>
  <c r="L16" i="11" s="1"/>
  <c r="J27" i="11"/>
  <c r="L27" i="11" s="1"/>
  <c r="J23" i="11"/>
  <c r="L23" i="11" s="1"/>
  <c r="J21" i="11"/>
  <c r="L21" i="11" s="1"/>
  <c r="J12" i="11"/>
  <c r="L12" i="11" s="1"/>
  <c r="J14" i="11"/>
  <c r="L14" i="11" s="1"/>
  <c r="J26" i="11"/>
  <c r="L26" i="11" s="1"/>
  <c r="J11" i="11"/>
  <c r="L11" i="11" s="1"/>
  <c r="J31" i="11"/>
  <c r="L31" i="11" s="1"/>
  <c r="J24" i="11"/>
  <c r="L24" i="11" s="1"/>
  <c r="J18" i="11"/>
  <c r="L18" i="11" s="1"/>
  <c r="J32" i="11"/>
  <c r="L32" i="11" s="1"/>
  <c r="N32" i="11" s="1"/>
  <c r="J17" i="11"/>
  <c r="L17" i="11" s="1"/>
  <c r="J13" i="11"/>
  <c r="L13" i="11" s="1"/>
  <c r="J34" i="11"/>
  <c r="L34" i="11" s="1"/>
  <c r="N34" i="11" s="1"/>
  <c r="J25" i="11"/>
  <c r="L25" i="11" s="1"/>
  <c r="J29" i="11"/>
  <c r="L29" i="11" s="1"/>
  <c r="J22" i="11"/>
  <c r="L22" i="11" s="1"/>
  <c r="J10" i="11"/>
  <c r="L10" i="11" s="1"/>
  <c r="L19" i="11"/>
  <c r="L28" i="11"/>
  <c r="O34" i="11" l="1"/>
  <c r="O32" i="11"/>
  <c r="O33" i="11"/>
  <c r="M29" i="11"/>
  <c r="M30" i="11"/>
  <c r="M31" i="11"/>
  <c r="N31" i="11" l="1"/>
  <c r="N30" i="11"/>
  <c r="N29" i="11"/>
  <c r="O29" i="11" l="1"/>
  <c r="O30" i="11"/>
  <c r="O31" i="11"/>
  <c r="M27" i="11"/>
  <c r="M28" i="11"/>
  <c r="M26" i="11"/>
  <c r="N27" i="11" l="1"/>
  <c r="N28" i="11"/>
  <c r="N26" i="11"/>
  <c r="O26" i="11" l="1"/>
  <c r="O28" i="11"/>
  <c r="O27" i="11"/>
  <c r="M24" i="11"/>
  <c r="M25" i="11"/>
  <c r="M23" i="11"/>
  <c r="N25" i="11" l="1"/>
  <c r="N23" i="11"/>
  <c r="N24" i="11"/>
  <c r="O24" i="11" l="1"/>
  <c r="P24" i="11"/>
  <c r="Q24" i="11"/>
  <c r="R24" i="11"/>
  <c r="O23" i="11"/>
  <c r="R23" i="11"/>
  <c r="P23" i="11"/>
  <c r="Q23" i="11"/>
  <c r="O25" i="11"/>
  <c r="P25" i="11"/>
  <c r="Q25" i="11"/>
  <c r="R25" i="11"/>
  <c r="M21" i="11"/>
  <c r="M20" i="11"/>
  <c r="M22" i="11"/>
  <c r="S23" i="11" l="1"/>
  <c r="S25" i="11"/>
  <c r="S24" i="11"/>
  <c r="N20" i="11"/>
  <c r="N21" i="11"/>
  <c r="N22" i="11"/>
  <c r="O22" i="11" l="1"/>
  <c r="P22" i="11"/>
  <c r="Q22" i="11"/>
  <c r="R22" i="11"/>
  <c r="O21" i="11"/>
  <c r="P21" i="11"/>
  <c r="Q21" i="11"/>
  <c r="R21" i="11"/>
  <c r="O20" i="11"/>
  <c r="P20" i="11"/>
  <c r="Q20" i="11"/>
  <c r="R20" i="11"/>
  <c r="M19" i="11"/>
  <c r="M17" i="11"/>
  <c r="M18" i="11"/>
  <c r="S20" i="11" l="1"/>
  <c r="S22" i="11"/>
  <c r="S21" i="11"/>
  <c r="N19" i="11"/>
  <c r="N18" i="11"/>
  <c r="N17" i="11"/>
  <c r="O17" i="11" l="1"/>
  <c r="P17" i="11"/>
  <c r="Q17" i="11"/>
  <c r="R17" i="11"/>
  <c r="O18" i="11"/>
  <c r="Q18" i="11"/>
  <c r="R18" i="11"/>
  <c r="P18" i="11"/>
  <c r="O19" i="11"/>
  <c r="P19" i="11"/>
  <c r="Q19" i="11"/>
  <c r="R19" i="11"/>
  <c r="M15" i="11"/>
  <c r="M14" i="11"/>
  <c r="M16" i="11"/>
  <c r="S18" i="11" l="1"/>
  <c r="S19" i="11"/>
  <c r="S17" i="11"/>
  <c r="N15" i="11"/>
  <c r="N16" i="11"/>
  <c r="N14" i="11"/>
  <c r="O14" i="11" l="1"/>
  <c r="P14" i="11"/>
  <c r="Q14" i="11"/>
  <c r="R14" i="11"/>
  <c r="O16" i="11"/>
  <c r="P16" i="11"/>
  <c r="Q16" i="11"/>
  <c r="R16" i="11"/>
  <c r="O15" i="11"/>
  <c r="R15" i="11"/>
  <c r="P15" i="11"/>
  <c r="Q15" i="11"/>
  <c r="M13" i="11"/>
  <c r="M12" i="11"/>
  <c r="M11" i="11"/>
  <c r="S16" i="11" l="1"/>
  <c r="S15" i="11"/>
  <c r="S14" i="11"/>
  <c r="N11" i="11"/>
  <c r="N13" i="11"/>
  <c r="N12" i="11"/>
  <c r="O13" i="11" l="1"/>
  <c r="P13" i="11"/>
  <c r="Q13" i="11"/>
  <c r="R13" i="11"/>
  <c r="O12" i="11"/>
  <c r="P12" i="11"/>
  <c r="Q12" i="11"/>
  <c r="R12" i="11"/>
  <c r="O11" i="11"/>
  <c r="P11" i="11"/>
  <c r="Q11" i="11"/>
  <c r="R11" i="11"/>
  <c r="M10" i="11"/>
  <c r="M9" i="11"/>
  <c r="M8" i="11"/>
  <c r="B77" i="12" l="1"/>
  <c r="C77" i="12"/>
  <c r="D77" i="12"/>
  <c r="E77" i="12"/>
  <c r="G77" i="12"/>
  <c r="H77" i="12"/>
  <c r="F77" i="12"/>
  <c r="B65" i="12"/>
  <c r="C65" i="12"/>
  <c r="D65" i="12"/>
  <c r="E65" i="12"/>
  <c r="F65" i="12"/>
  <c r="G65" i="12"/>
  <c r="H65" i="12"/>
  <c r="S12" i="11"/>
  <c r="S11" i="11"/>
  <c r="S13" i="11"/>
  <c r="N9" i="11"/>
  <c r="N8" i="11"/>
  <c r="N10" i="11"/>
  <c r="I65" i="12" l="1"/>
  <c r="I77" i="12"/>
  <c r="O10" i="11"/>
  <c r="Q10" i="11"/>
  <c r="R10" i="11"/>
  <c r="P10" i="11"/>
  <c r="O8" i="11"/>
  <c r="P8" i="11"/>
  <c r="Q8" i="11"/>
  <c r="R8" i="11"/>
  <c r="O9" i="11"/>
  <c r="P9" i="11"/>
  <c r="Q9" i="11"/>
  <c r="R9" i="11"/>
  <c r="M6" i="11"/>
  <c r="M7" i="11"/>
  <c r="M5" i="11"/>
  <c r="B53" i="12" l="1"/>
  <c r="B58" i="12" s="1"/>
  <c r="C53" i="12"/>
  <c r="D53" i="12"/>
  <c r="E53" i="12"/>
  <c r="G53" i="12"/>
  <c r="H53" i="12"/>
  <c r="F53" i="12"/>
  <c r="B24" i="12"/>
  <c r="B29" i="12" s="1"/>
  <c r="B34" i="12" s="1"/>
  <c r="C24" i="12"/>
  <c r="C29" i="12" s="1"/>
  <c r="C34" i="12" s="1"/>
  <c r="D24" i="12"/>
  <c r="D29" i="12" s="1"/>
  <c r="D34" i="12" s="1"/>
  <c r="E24" i="12"/>
  <c r="E29" i="12" s="1"/>
  <c r="E34" i="12" s="1"/>
  <c r="G24" i="12"/>
  <c r="G29" i="12" s="1"/>
  <c r="G34" i="12" s="1"/>
  <c r="H24" i="12"/>
  <c r="H29" i="12" s="1"/>
  <c r="H34" i="12" s="1"/>
  <c r="F24" i="12"/>
  <c r="F29" i="12" s="1"/>
  <c r="F34" i="12" s="1"/>
  <c r="B41" i="12"/>
  <c r="B46" i="12" s="1"/>
  <c r="C41" i="12"/>
  <c r="C46" i="12" s="1"/>
  <c r="D41" i="12"/>
  <c r="D46" i="12" s="1"/>
  <c r="E41" i="12"/>
  <c r="E46" i="12" s="1"/>
  <c r="F41" i="12"/>
  <c r="F46" i="12" s="1"/>
  <c r="G41" i="12"/>
  <c r="G46" i="12" s="1"/>
  <c r="H41" i="12"/>
  <c r="H46" i="12" s="1"/>
  <c r="B7" i="12"/>
  <c r="B8" i="12" s="1"/>
  <c r="B10" i="12" s="1"/>
  <c r="B12" i="12" s="1"/>
  <c r="H7" i="12"/>
  <c r="H8" i="12" s="1"/>
  <c r="H10" i="12" s="1"/>
  <c r="H12" i="12" s="1"/>
  <c r="G7" i="12"/>
  <c r="G8" i="12" s="1"/>
  <c r="G10" i="12" s="1"/>
  <c r="G12" i="12" s="1"/>
  <c r="F7" i="12"/>
  <c r="F8" i="12" s="1"/>
  <c r="F10" i="12" s="1"/>
  <c r="F12" i="12" s="1"/>
  <c r="E7" i="12"/>
  <c r="E8" i="12" s="1"/>
  <c r="E10" i="12" s="1"/>
  <c r="E12" i="12" s="1"/>
  <c r="D7" i="12"/>
  <c r="D8" i="12" s="1"/>
  <c r="D10" i="12" s="1"/>
  <c r="D12" i="12" s="1"/>
  <c r="C7" i="12"/>
  <c r="C8" i="12" s="1"/>
  <c r="C10" i="12" s="1"/>
  <c r="C12" i="12" s="1"/>
  <c r="S8" i="11"/>
  <c r="S9" i="11"/>
  <c r="S10" i="11"/>
  <c r="N5" i="11"/>
  <c r="N7" i="11"/>
  <c r="N6" i="11"/>
  <c r="F70" i="12" l="1"/>
  <c r="F58" i="12"/>
  <c r="H70" i="12"/>
  <c r="H58" i="12"/>
  <c r="G70" i="12"/>
  <c r="G58" i="12"/>
  <c r="D70" i="12"/>
  <c r="D58" i="12"/>
  <c r="C70" i="12"/>
  <c r="C58" i="12"/>
  <c r="E70" i="12"/>
  <c r="E58" i="12"/>
  <c r="B70" i="12"/>
  <c r="I24" i="12"/>
  <c r="I41" i="12"/>
  <c r="I46" i="12" s="1"/>
  <c r="I53" i="12"/>
  <c r="I7" i="12"/>
  <c r="I8" i="12" s="1"/>
  <c r="I10" i="12" s="1"/>
  <c r="I12" i="12" s="1"/>
  <c r="O6" i="11"/>
  <c r="P6" i="11"/>
  <c r="Q6" i="11"/>
  <c r="R6" i="11"/>
  <c r="O7" i="11"/>
  <c r="R7" i="11"/>
  <c r="P7" i="11"/>
  <c r="Q7" i="11"/>
  <c r="O5" i="11"/>
  <c r="P5" i="11"/>
  <c r="Q5" i="11"/>
  <c r="R5" i="11"/>
  <c r="M3" i="11"/>
  <c r="M4" i="11"/>
  <c r="I29" i="12" l="1"/>
  <c r="I34" i="12" s="1"/>
  <c r="J24" i="12"/>
  <c r="I70" i="12"/>
  <c r="I58" i="12"/>
  <c r="N3" i="11"/>
  <c r="N4" i="11"/>
  <c r="S7" i="11"/>
  <c r="S6" i="11"/>
  <c r="S5" i="11"/>
  <c r="O4" i="11" l="1"/>
  <c r="P4" i="11"/>
  <c r="Q4" i="11"/>
  <c r="R4" i="11"/>
  <c r="S4" i="11" l="1"/>
</calcChain>
</file>

<file path=xl/sharedStrings.xml><?xml version="1.0" encoding="utf-8"?>
<sst xmlns="http://schemas.openxmlformats.org/spreadsheetml/2006/main" count="2825" uniqueCount="375">
  <si>
    <t>Year</t>
  </si>
  <si>
    <t>Total (Mt)</t>
  </si>
  <si>
    <t>NAFTA</t>
  </si>
  <si>
    <t>(Mt)</t>
  </si>
  <si>
    <t>Production (without fiber / fabric)</t>
    <phoneticPr fontId="1" type="noConversion"/>
  </si>
  <si>
    <t>World Fiber Production</t>
  </si>
  <si>
    <t>Polyester Staple Production in Million Metric Tons</t>
    <phoneticPr fontId="1" type="noConversion"/>
  </si>
  <si>
    <t>Polyester Filament Production in Million Metric Tons</t>
    <phoneticPr fontId="1" type="noConversion"/>
  </si>
  <si>
    <t>Acrylic Fiber Production in Million Metric Tons</t>
    <phoneticPr fontId="1" type="noConversion"/>
  </si>
  <si>
    <t>Polyproplyene Fiber Production in Million Metric Tons</t>
    <phoneticPr fontId="1" type="noConversion"/>
  </si>
  <si>
    <t>Polyamide Production in Million Metric Tons</t>
    <phoneticPr fontId="1" type="noConversion"/>
  </si>
  <si>
    <t>Sum - Synthetic Fiber Production in Million Metric Tons</t>
    <phoneticPr fontId="1" type="noConversion"/>
  </si>
  <si>
    <t>1000 tonnes</t>
  </si>
  <si>
    <t>Million Metric Tons</t>
  </si>
  <si>
    <t>% Fiber production / Resin Production</t>
    <phoneticPr fontId="1" type="noConversion"/>
  </si>
  <si>
    <t>America</t>
  </si>
  <si>
    <t>NAFTA*</t>
    <phoneticPr fontId="1" type="noConversion"/>
  </si>
  <si>
    <t>(% of total)</t>
  </si>
  <si>
    <t>Production of fiber / fabric</t>
    <phoneticPr fontId="1" type="noConversion"/>
  </si>
  <si>
    <t>Net import or plastic resin (3901-3909) (without fiber / fabric)</t>
  </si>
  <si>
    <t>Converter production (without additives and fiber / fabric)</t>
    <phoneticPr fontId="1" type="noConversion"/>
  </si>
  <si>
    <t>Converter production (with additives, without fiber / fabric)</t>
    <phoneticPr fontId="1" type="noConversion"/>
  </si>
  <si>
    <t>1. 2019 Finalized Global Market for Applications of Additives, by Industry in Percentage &amp; 2019 Global Market for Plastics Additives, by Region</t>
    <phoneticPr fontId="1" type="noConversion"/>
  </si>
  <si>
    <t>2019 Finalized Global Market for Applications of Additives, by Industry in Percentage</t>
    <phoneticPr fontId="1" type="noConversion"/>
  </si>
  <si>
    <t>Major Market Sector</t>
    <phoneticPr fontId="1" type="noConversion"/>
  </si>
  <si>
    <t>Plasticizer</t>
  </si>
  <si>
    <t>Flame Retardants</t>
  </si>
  <si>
    <t>Heat Stabilizers</t>
  </si>
  <si>
    <t>Fillers</t>
  </si>
  <si>
    <t>Impact Modifiers</t>
  </si>
  <si>
    <t>Antioxidants</t>
  </si>
  <si>
    <t>Plastic Colorants</t>
  </si>
  <si>
    <t>Lubricants</t>
  </si>
  <si>
    <t>Light Stabilizers</t>
  </si>
  <si>
    <t>Blowing Agents</t>
  </si>
  <si>
    <t>Biocides</t>
  </si>
  <si>
    <t>Anti-static Agents</t>
  </si>
  <si>
    <t>Miscellaneous</t>
  </si>
  <si>
    <t>Sum</t>
    <phoneticPr fontId="1" type="noConversion"/>
  </si>
  <si>
    <t>Transportation</t>
  </si>
  <si>
    <t>Packaging</t>
  </si>
  <si>
    <t>Building and Construction</t>
  </si>
  <si>
    <t>Electrical / Electronic</t>
  </si>
  <si>
    <t>Household / Leisure / Sports</t>
  </si>
  <si>
    <t>Agriculture</t>
  </si>
  <si>
    <t>Others</t>
  </si>
  <si>
    <t>2. Data Processing</t>
    <phoneticPr fontId="1" type="noConversion"/>
  </si>
  <si>
    <t>2019 Global Market for Applications of Additives, by Industry in Million Metric Tons</t>
    <phoneticPr fontId="1" type="noConversion"/>
  </si>
  <si>
    <t>Major Market Sector in Report</t>
    <phoneticPr fontId="1" type="noConversion"/>
  </si>
  <si>
    <t>Transportation/automotive industry</t>
  </si>
  <si>
    <t>Electrical / Electronic</t>
    <phoneticPr fontId="1" type="noConversion"/>
  </si>
  <si>
    <t>Wires and cables industry</t>
  </si>
  <si>
    <t>Construction industry</t>
  </si>
  <si>
    <t>Household / Leisure / Sports</t>
    <phoneticPr fontId="1" type="noConversion"/>
  </si>
  <si>
    <t>Recreational items and toy industry</t>
  </si>
  <si>
    <t>Others</t>
    <phoneticPr fontId="1" type="noConversion"/>
  </si>
  <si>
    <t>Medical device industry</t>
  </si>
  <si>
    <t>Other industrial applications</t>
  </si>
  <si>
    <t>2007 Price of Plastics Additives</t>
    <phoneticPr fontId="1" type="noConversion"/>
  </si>
  <si>
    <t>$/Lbs</t>
  </si>
  <si>
    <t>$/Metric Ton</t>
  </si>
  <si>
    <t>Datasource: PLS022B Year 2009</t>
    <phoneticPr fontId="1" type="noConversion"/>
  </si>
  <si>
    <t>2019 Global Market for Applications of Additives, by Industry in Percentage</t>
    <phoneticPr fontId="1" type="noConversion"/>
  </si>
  <si>
    <t>Total</t>
  </si>
  <si>
    <t>3. Original Data Collection and Source</t>
    <phoneticPr fontId="1" type="noConversion"/>
  </si>
  <si>
    <t>2019 Global Market for Applications of Additives, by Industry in $ Millions</t>
    <phoneticPr fontId="1" type="noConversion"/>
  </si>
  <si>
    <t>Net import of plastic articles (HS 3916-3926)</t>
  </si>
  <si>
    <t>By Plastic Article Type</t>
    <phoneticPr fontId="1" type="noConversion"/>
  </si>
  <si>
    <t>By HS Code</t>
    <phoneticPr fontId="1" type="noConversion"/>
  </si>
  <si>
    <t>Textiles</t>
  </si>
  <si>
    <t>Sum without Fiber / Fabric</t>
    <phoneticPr fontId="1" type="noConversion"/>
  </si>
  <si>
    <t>Net import of plastic in finished goods</t>
    <phoneticPr fontId="1" type="noConversion"/>
  </si>
  <si>
    <t>Fraction of Textiles</t>
    <phoneticPr fontId="1" type="noConversion"/>
  </si>
  <si>
    <t>Fraction pf Packaging</t>
    <phoneticPr fontId="1" type="noConversion"/>
  </si>
  <si>
    <t>Fraction of Other Plastics</t>
    <phoneticPr fontId="1" type="noConversion"/>
  </si>
  <si>
    <t>Net import of plastic waste</t>
    <phoneticPr fontId="1" type="noConversion"/>
  </si>
  <si>
    <t>China</t>
    <phoneticPr fontId="1" type="noConversion"/>
  </si>
  <si>
    <t>NAFTA</t>
    <phoneticPr fontId="1" type="noConversion"/>
  </si>
  <si>
    <t>Europe</t>
    <phoneticPr fontId="1" type="noConversion"/>
  </si>
  <si>
    <t>RoW</t>
    <phoneticPr fontId="1" type="noConversion"/>
  </si>
  <si>
    <t>Net import of plastic in finished goods (without fiber / fabric)</t>
    <phoneticPr fontId="1" type="noConversion"/>
  </si>
  <si>
    <t>Domestic consumption of plastic products and plastic in products (without fiber / fabric)</t>
    <phoneticPr fontId="1" type="noConversion"/>
  </si>
  <si>
    <t>Net import of fiber / fabric</t>
    <phoneticPr fontId="1" type="noConversion"/>
  </si>
  <si>
    <t>Domestic consumption of plastic products and plastic in products (with additives and fiber / fabric)</t>
    <phoneticPr fontId="1" type="noConversion"/>
  </si>
  <si>
    <t>1. 2020 NAFTA Plastic Demand by End-use and Product Type in Percentage</t>
    <phoneticPr fontId="1" type="noConversion"/>
  </si>
  <si>
    <t>2020 NAFTA Plastic Demand by End-use and Product Type in Percentage*</t>
    <phoneticPr fontId="1" type="noConversion"/>
  </si>
  <si>
    <t>LDPE, LLDPE</t>
    <phoneticPr fontId="1" type="noConversion"/>
  </si>
  <si>
    <t>HDPE</t>
  </si>
  <si>
    <t>PP</t>
  </si>
  <si>
    <t>PS</t>
  </si>
  <si>
    <t>PVC</t>
  </si>
  <si>
    <t>PET</t>
  </si>
  <si>
    <t>PUR</t>
  </si>
  <si>
    <t>Other Thermoplastics*</t>
    <phoneticPr fontId="1" type="noConversion"/>
  </si>
  <si>
    <t>Other Thermosets</t>
    <phoneticPr fontId="1" type="noConversion"/>
  </si>
  <si>
    <t>2. Original Data Collection and Source of 2020 Data</t>
    <phoneticPr fontId="1" type="noConversion"/>
  </si>
  <si>
    <t>2020 NAFTA PUR Production in Million Metric Tons</t>
    <phoneticPr fontId="1" type="noConversion"/>
  </si>
  <si>
    <t>NAFTA PUR Compounded Annual Growth Rate</t>
    <phoneticPr fontId="1" type="noConversion"/>
  </si>
  <si>
    <t>2016 NAFTA PUR Production in Million Metric Tons</t>
    <phoneticPr fontId="1" type="noConversion"/>
  </si>
  <si>
    <t>2016 US PUR Demand by Sector in Thousand Tonnes and Percentage</t>
    <phoneticPr fontId="0" type="noConversion"/>
  </si>
  <si>
    <t>Thousand Tonnes</t>
    <phoneticPr fontId="0" type="noConversion"/>
  </si>
  <si>
    <t>Percentage</t>
    <phoneticPr fontId="0" type="noConversion"/>
  </si>
  <si>
    <t>Furniture and Furnishings</t>
    <phoneticPr fontId="1" type="noConversion"/>
  </si>
  <si>
    <t>Household / Leisure / Sports (Exclude Furniture and Furnishings)</t>
    <phoneticPr fontId="0" type="noConversion"/>
  </si>
  <si>
    <t>2016 US PUR End-use Product to Use in Thousand Tonnes</t>
    <phoneticPr fontId="1" type="noConversion"/>
  </si>
  <si>
    <t>Building &amp; construction</t>
  </si>
  <si>
    <t>Electronics</t>
  </si>
  <si>
    <t>Appliances</t>
  </si>
  <si>
    <t>Machinery &amp; foundry</t>
  </si>
  <si>
    <t>Furniture</t>
  </si>
  <si>
    <t>Bedding</t>
  </si>
  <si>
    <t>Footwear</t>
  </si>
  <si>
    <t>Textile &amp; apparel</t>
  </si>
  <si>
    <t>Carpet underlayment</t>
  </si>
  <si>
    <t>2016 US PUR Use Data after Trade in Thousand Tonnes</t>
    <phoneticPr fontId="1" type="noConversion"/>
  </si>
  <si>
    <t>Building &amp; Construction</t>
  </si>
  <si>
    <t>EEE, Machinery &amp; Foundry</t>
  </si>
  <si>
    <t>EEE</t>
    <phoneticPr fontId="0" type="noConversion"/>
  </si>
  <si>
    <t>Machinery &amp; Foundry</t>
    <phoneticPr fontId="0" type="noConversion"/>
  </si>
  <si>
    <t>Furniture &amp; Bedding</t>
  </si>
  <si>
    <t>Textile, Apparel, &amp; Footwear</t>
  </si>
  <si>
    <t>Textile, Apparel</t>
    <phoneticPr fontId="0" type="noConversion"/>
  </si>
  <si>
    <t>Footwear</t>
    <phoneticPr fontId="0" type="noConversion"/>
  </si>
  <si>
    <t>Carpet Underlayment</t>
  </si>
  <si>
    <t>2015 US PET Production in Million Pounds</t>
    <phoneticPr fontId="1" type="noConversion"/>
  </si>
  <si>
    <t>2017 US Agricultural Plastic Production in Million Pounds</t>
    <phoneticPr fontId="1" type="noConversion"/>
  </si>
  <si>
    <t>Horticultural Film</t>
    <phoneticPr fontId="1" type="noConversion"/>
  </si>
  <si>
    <t>2020 NAFTA Plastic Demand by End-use and Product Type in Million Pounds</t>
    <phoneticPr fontId="1" type="noConversion"/>
  </si>
  <si>
    <t>Agriculture</t>
    <phoneticPr fontId="1" type="noConversion"/>
  </si>
  <si>
    <t>2020 NAFTA Plastic Demand by End-use and Product Type in Million Pounds (Addition of Agriculture)</t>
    <phoneticPr fontId="1" type="noConversion"/>
  </si>
  <si>
    <t>2020 NAFTA Plastic Demand by End-use and Product Type in Percentage</t>
    <phoneticPr fontId="1" type="noConversion"/>
  </si>
  <si>
    <t>2020 NAFTA Plastic Comsumption Data in Million Pounds, Million Metric Tonnes and Percentage</t>
    <phoneticPr fontId="1" type="noConversion"/>
  </si>
  <si>
    <t>Unit</t>
    <phoneticPr fontId="1" type="noConversion"/>
  </si>
  <si>
    <t>HDPE</t>
    <phoneticPr fontId="1" type="noConversion"/>
  </si>
  <si>
    <t>PP</t>
    <phoneticPr fontId="1" type="noConversion"/>
  </si>
  <si>
    <t>PS</t>
    <phoneticPr fontId="1" type="noConversion"/>
  </si>
  <si>
    <t>PVC</t>
    <phoneticPr fontId="1" type="noConversion"/>
  </si>
  <si>
    <t>PET</t>
    <phoneticPr fontId="1" type="noConversion"/>
  </si>
  <si>
    <t>PUR</t>
    <phoneticPr fontId="1" type="noConversion"/>
  </si>
  <si>
    <t>Other Thermoplastics</t>
    <phoneticPr fontId="1" type="noConversion"/>
  </si>
  <si>
    <t>Million Pounds</t>
    <phoneticPr fontId="1" type="noConversion"/>
  </si>
  <si>
    <t>Million Metric Tonnes</t>
    <phoneticPr fontId="1" type="noConversion"/>
  </si>
  <si>
    <t>Percentage</t>
    <phoneticPr fontId="1" type="noConversion"/>
  </si>
  <si>
    <t>2020 NAFTA Plastics Sales / Production Data in Million Pounds and Million Metric Tonnes -  LDPE, LLDPE, HDPE, PP, PS, PVC, PET, PUR, Others</t>
    <phoneticPr fontId="1" type="noConversion"/>
  </si>
  <si>
    <t>NAFTA Other Thermoplastics Sales Data in Million Pounds and Million Metric Tonnes</t>
    <phoneticPr fontId="1" type="noConversion"/>
  </si>
  <si>
    <t>2020 NAFTA Plastic Distribution by Major Market in Percentage (Sector Reconstruct) - LDPE, LLDPE, HDPE, PP, PS, PVC</t>
    <phoneticPr fontId="1" type="noConversion"/>
  </si>
  <si>
    <t>2020 NAFTA Plastic Distribution by Major Market in Percentage - LDPE, LLDPE, HDPE, PP, PS, PVC</t>
    <phoneticPr fontId="1" type="noConversion"/>
  </si>
  <si>
    <t>Transportation</t>
    <phoneticPr fontId="1" type="noConversion"/>
  </si>
  <si>
    <t xml:space="preserve">Packaging </t>
    <phoneticPr fontId="1" type="noConversion"/>
  </si>
  <si>
    <t>Building and Construction</t>
    <phoneticPr fontId="1" type="noConversion"/>
  </si>
  <si>
    <t>Consumer and Institutional</t>
    <phoneticPr fontId="1" type="noConversion"/>
  </si>
  <si>
    <t>Industrial / Machinery</t>
    <phoneticPr fontId="1" type="noConversion"/>
  </si>
  <si>
    <t>Adhesives / Inks / Coatings</t>
    <phoneticPr fontId="1" type="noConversion"/>
  </si>
  <si>
    <t>All Others</t>
  </si>
  <si>
    <t>2020 NAFTA Plastic Distribution by Major Market in Million Pounds - LDPE, LLDPE, HDPE, PP, PS, PVC</t>
    <phoneticPr fontId="1" type="noConversion"/>
  </si>
  <si>
    <t>Total</t>
    <phoneticPr fontId="1" type="noConversion"/>
  </si>
  <si>
    <t>2020 US Net Export in Million Pounds and Million Metric Tonnes</t>
    <phoneticPr fontId="1" type="noConversion"/>
  </si>
  <si>
    <t>2020 US Resin Trade Data in Million Pounds and Million Metric Tonnes</t>
    <phoneticPr fontId="1" type="noConversion"/>
  </si>
  <si>
    <t>Import kg</t>
    <phoneticPr fontId="1" type="noConversion"/>
  </si>
  <si>
    <t>Export kg</t>
  </si>
  <si>
    <t>Import Million Pounds</t>
    <phoneticPr fontId="1" type="noConversion"/>
  </si>
  <si>
    <t>Export Million Pound</t>
    <phoneticPr fontId="1" type="noConversion"/>
  </si>
  <si>
    <t>Net Export Million Pound</t>
    <phoneticPr fontId="1" type="noConversion"/>
  </si>
  <si>
    <t>LDPE</t>
  </si>
  <si>
    <t>LLDPE</t>
  </si>
  <si>
    <t>EPS</t>
  </si>
  <si>
    <t>SAN</t>
  </si>
  <si>
    <t>ABS</t>
  </si>
  <si>
    <t>PTFE</t>
  </si>
  <si>
    <t>PMMA</t>
  </si>
  <si>
    <t>POM</t>
  </si>
  <si>
    <t>PC</t>
  </si>
  <si>
    <t>PBT</t>
  </si>
  <si>
    <t>PA</t>
  </si>
  <si>
    <t>2020 Thermosets Consumption in Mt</t>
    <phoneticPr fontId="1" type="noConversion"/>
  </si>
  <si>
    <t>Total Thermoplastics Consumption</t>
    <phoneticPr fontId="1" type="noConversion"/>
  </si>
  <si>
    <t>Total Thermosets Production</t>
    <phoneticPr fontId="1" type="noConversion"/>
  </si>
  <si>
    <t>2020 Thermosets Trade in kg</t>
    <phoneticPr fontId="1" type="noConversion"/>
  </si>
  <si>
    <t>HS Code of Thermosets</t>
    <phoneticPr fontId="1" type="noConversion"/>
  </si>
  <si>
    <t>Import</t>
    <phoneticPr fontId="1" type="noConversion"/>
  </si>
  <si>
    <t>Export</t>
    <phoneticPr fontId="1" type="noConversion"/>
  </si>
  <si>
    <t>Net Import</t>
    <phoneticPr fontId="1" type="noConversion"/>
  </si>
  <si>
    <t>-</t>
    <phoneticPr fontId="1" type="noConversion"/>
  </si>
  <si>
    <t>LLDPE, LDPE</t>
  </si>
  <si>
    <t>Other Thermoplastics</t>
  </si>
  <si>
    <t>Other Thermosets</t>
  </si>
  <si>
    <t xml:space="preserve"> </t>
  </si>
  <si>
    <t>Textiles</t>
    <phoneticPr fontId="1" type="noConversion"/>
  </si>
  <si>
    <t>Other</t>
  </si>
  <si>
    <t>Converter consumption by  sector (in Mt) (without additives and fiber / fabric)</t>
  </si>
  <si>
    <t>check</t>
  </si>
  <si>
    <t xml:space="preserve">Total converter consumption by sector (in Mt) </t>
  </si>
  <si>
    <t>Plastic Article &amp; Product Trade (Net Import)</t>
    <phoneticPr fontId="1" type="noConversion"/>
  </si>
  <si>
    <t>Product Consumption by Sector</t>
  </si>
  <si>
    <t>Year</t>
    <phoneticPr fontId="1" type="noConversion"/>
  </si>
  <si>
    <t>Resin Production</t>
    <phoneticPr fontId="1" type="noConversion"/>
  </si>
  <si>
    <t>Additives Production</t>
    <phoneticPr fontId="1" type="noConversion"/>
  </si>
  <si>
    <t>Fiber / Fabric Production</t>
    <phoneticPr fontId="1" type="noConversion"/>
  </si>
  <si>
    <t>Total Production (Resin + Additives + Fiber / Fabric)</t>
    <phoneticPr fontId="1" type="noConversion"/>
  </si>
  <si>
    <t>Total Waste Generation</t>
    <phoneticPr fontId="1" type="noConversion"/>
  </si>
  <si>
    <t>Plastic Europe China Resin Production</t>
    <phoneticPr fontId="1" type="noConversion"/>
  </si>
  <si>
    <t>Global-China</t>
    <phoneticPr fontId="1" type="noConversion"/>
  </si>
  <si>
    <t>Global</t>
    <phoneticPr fontId="1" type="noConversion"/>
  </si>
  <si>
    <t>Resin Production of China Plastic Industry Yearbook</t>
    <phoneticPr fontId="1" type="noConversion"/>
  </si>
  <si>
    <t>Recycled Plastics</t>
    <phoneticPr fontId="1" type="noConversion"/>
  </si>
  <si>
    <t>Final Resin Production (Exclude Recycled Include Thermosets)</t>
    <phoneticPr fontId="1" type="noConversion"/>
  </si>
  <si>
    <t>Millions of Pounds</t>
    <phoneticPr fontId="1" type="noConversion"/>
  </si>
  <si>
    <t>Mt</t>
    <phoneticPr fontId="1" type="noConversion"/>
  </si>
  <si>
    <t>Plastic Europe</t>
    <phoneticPr fontId="1" type="noConversion"/>
  </si>
  <si>
    <t>Modified Global</t>
    <phoneticPr fontId="1" type="noConversion"/>
  </si>
  <si>
    <t xml:space="preserve"> </t>
    <phoneticPr fontId="1" type="noConversion"/>
  </si>
  <si>
    <t>Product Comsumption by Sector in Percentage 2005-2007</t>
    <phoneticPr fontId="1" type="noConversion"/>
  </si>
  <si>
    <t>Average</t>
  </si>
  <si>
    <t>* copy pasted raw values, not going to touch for now</t>
  </si>
  <si>
    <t>Use NAFTA for now</t>
  </si>
  <si>
    <t>Could be improved on at some point</t>
  </si>
  <si>
    <t>* from Global EoL Treatment v29_2 Constant Consumption DataAnalysis Clean</t>
  </si>
  <si>
    <t>1. 2020 Europe (EU27+3) Plastic Demand by End-use and Product Type in Percentage</t>
  </si>
  <si>
    <t>2020 Europe (EU27+3) Plastic Demand by End-use and Product Type in Percentage</t>
  </si>
  <si>
    <t>Major Market Sector</t>
  </si>
  <si>
    <t>LDPE, LLDPE</t>
  </si>
  <si>
    <t>Sum</t>
  </si>
  <si>
    <t>2020 Europe (EU27+3) Plastic Demand by End-use and Product Type in Percentage - Independent Segment Furniture and Furnishings</t>
  </si>
  <si>
    <t>Furniture and Furnishings</t>
  </si>
  <si>
    <t>Others (Exclude Furniture and Furnishings)</t>
    <phoneticPr fontId="1" type="noConversion"/>
  </si>
  <si>
    <t>Others (Include Furniture and Furnishings)</t>
    <phoneticPr fontId="1" type="noConversion"/>
  </si>
  <si>
    <t>2. Original Data Collection and Source</t>
    <phoneticPr fontId="1" type="noConversion"/>
  </si>
  <si>
    <t>2020 Europe (EU27+3) Plastic Demand by End-use and Product Type in Percentage (Besides Other Plastics)</t>
  </si>
  <si>
    <t>Sector</t>
  </si>
  <si>
    <t>LDPE/LLDPE</t>
  </si>
  <si>
    <t>PS-E</t>
  </si>
  <si>
    <t>ABS/SAN</t>
  </si>
  <si>
    <t>Automobile</t>
  </si>
  <si>
    <t>Other Plastics</t>
    <phoneticPr fontId="1" type="noConversion"/>
  </si>
  <si>
    <t>2020 Europe (EU27+3) Plastic Demand by End-use and Product Type in Kilotonnes</t>
  </si>
  <si>
    <t>PE-LD, -LLD</t>
  </si>
  <si>
    <t>PE-HD, -MD</t>
  </si>
  <si>
    <t>ABS, SAN</t>
  </si>
  <si>
    <t>PA (PA6, PA66)</t>
  </si>
  <si>
    <t>Other Plastics</t>
  </si>
  <si>
    <t>Automotive</t>
  </si>
  <si>
    <t xml:space="preserve">Electrical and Electronics </t>
  </si>
  <si>
    <t>Household, Leisure, Sports</t>
  </si>
  <si>
    <t>Regional Additives Production</t>
  </si>
  <si>
    <t>Lifetime Model</t>
    <phoneticPr fontId="1" type="noConversion"/>
  </si>
  <si>
    <t>Standard Deviation</t>
  </si>
  <si>
    <t>Variance</t>
  </si>
  <si>
    <t>𝛍</t>
  </si>
  <si>
    <t>𝜎</t>
  </si>
  <si>
    <t>Primary Waste Generation</t>
    <phoneticPr fontId="1" type="noConversion"/>
  </si>
  <si>
    <t>EoL Fates</t>
  </si>
  <si>
    <t>Recycling</t>
  </si>
  <si>
    <t>Incineration</t>
  </si>
  <si>
    <t>Landfill</t>
  </si>
  <si>
    <t>Mismanaged</t>
  </si>
  <si>
    <t>Net Import Plastic Waste</t>
  </si>
  <si>
    <t xml:space="preserve">Total Domestic </t>
  </si>
  <si>
    <t>Net Total Primary</t>
  </si>
  <si>
    <t>Average Lifetime of secondary use (yrs)</t>
  </si>
  <si>
    <t>Total Waste Generation</t>
  </si>
  <si>
    <t xml:space="preserve">Recycling </t>
  </si>
  <si>
    <t>Waste Fate</t>
  </si>
  <si>
    <t xml:space="preserve">Secondary </t>
  </si>
  <si>
    <t xml:space="preserve">Additive consumption by sector (in Mt) </t>
  </si>
  <si>
    <t>% CA Population</t>
  </si>
  <si>
    <t>PS/EPS</t>
  </si>
  <si>
    <t>CA Population 2019</t>
  </si>
  <si>
    <t>Canada Population 2019</t>
  </si>
  <si>
    <t>US Population 2019</t>
  </si>
  <si>
    <t>Mexico Population 2019</t>
  </si>
  <si>
    <t>NAFTA Population 2019</t>
  </si>
  <si>
    <t>% Difference</t>
  </si>
  <si>
    <t xml:space="preserve">Bottom-Up Approach Milbrandt (2022) </t>
  </si>
  <si>
    <t xml:space="preserve">California (Year 2019) </t>
  </si>
  <si>
    <t>NAFTA Secondary Waste (Mt)</t>
  </si>
  <si>
    <t>NAFTA Primary Waste (Mt)</t>
  </si>
  <si>
    <t>NAFTA Total Waste (Mt)</t>
  </si>
  <si>
    <t>CA Total Waste (Mt)</t>
  </si>
  <si>
    <t>CA Waste (tons)</t>
  </si>
  <si>
    <t>CA Waste (Mt)</t>
  </si>
  <si>
    <t>Recycled</t>
  </si>
  <si>
    <t>Total Plastic Waste Managed (kt)</t>
  </si>
  <si>
    <t>Landfilled (kt)</t>
  </si>
  <si>
    <t>Combusted (kt)</t>
  </si>
  <si>
    <t>Recycled (kt)</t>
  </si>
  <si>
    <t>Landfilled (Mt)</t>
  </si>
  <si>
    <t>Combusted (Mt)</t>
  </si>
  <si>
    <t>Recycled (Mt)</t>
  </si>
  <si>
    <t>Converter consumption by polymer type (in Mt) (without additives and fiber / fabric)</t>
  </si>
  <si>
    <t xml:space="preserve">Total Plastic Waste Managed </t>
  </si>
  <si>
    <t xml:space="preserve">Landfilled </t>
  </si>
  <si>
    <t xml:space="preserve">Combusted </t>
  </si>
  <si>
    <t xml:space="preserve">% US Population </t>
  </si>
  <si>
    <t>US Adjusted (2019)</t>
  </si>
  <si>
    <t>US Adjusted (2018) (kt)</t>
  </si>
  <si>
    <t xml:space="preserve">2018 NAFTA Converter consumption by polymer type (in Mt) (without additives and fiber / fabric) </t>
  </si>
  <si>
    <t xml:space="preserve">2019 NAFTA Converter consumption by polymer type (in Mt) (without additives and fiber / fabric) </t>
  </si>
  <si>
    <t xml:space="preserve">2017 NAFTA Converter consumption by polymer type (in Mt) (without additives and fiber / fabric) </t>
  </si>
  <si>
    <t>US Adjusted (2017) (kt)</t>
  </si>
  <si>
    <t xml:space="preserve">2016 NAFTA Converter consumption by polymer type (in Mt) (without additives and fiber / fabric) </t>
  </si>
  <si>
    <t>US Adjusted (2016) (kt)</t>
  </si>
  <si>
    <t xml:space="preserve">2015 NAFTA Converter consumption by polymer type (in Mt) (without additives and fiber / fabric) </t>
  </si>
  <si>
    <t>US Adjusted (2015) (kt)</t>
  </si>
  <si>
    <t>County</t>
  </si>
  <si>
    <t>Population</t>
  </si>
  <si>
    <t xml:space="preserve">Alameda             </t>
  </si>
  <si>
    <t xml:space="preserve">Alpine              </t>
  </si>
  <si>
    <t xml:space="preserve">Amador              </t>
  </si>
  <si>
    <t xml:space="preserve">Butte               </t>
  </si>
  <si>
    <t xml:space="preserve">Calaveras           </t>
  </si>
  <si>
    <t xml:space="preserve">Colusa              </t>
  </si>
  <si>
    <t xml:space="preserve">Contra Costa        </t>
  </si>
  <si>
    <t>Del Norte</t>
  </si>
  <si>
    <t xml:space="preserve">El Dorado           </t>
  </si>
  <si>
    <t xml:space="preserve">Fresno              </t>
  </si>
  <si>
    <t xml:space="preserve">Glenn               </t>
  </si>
  <si>
    <t xml:space="preserve">Humboldt            </t>
  </si>
  <si>
    <t xml:space="preserve">Imperial            </t>
  </si>
  <si>
    <t xml:space="preserve">Inyo                </t>
  </si>
  <si>
    <t xml:space="preserve">Kern                </t>
  </si>
  <si>
    <t xml:space="preserve">Kings               </t>
  </si>
  <si>
    <t xml:space="preserve">Lake                </t>
  </si>
  <si>
    <t xml:space="preserve">Lassen              </t>
  </si>
  <si>
    <t xml:space="preserve">Los Angeles </t>
  </si>
  <si>
    <t xml:space="preserve">Madera              </t>
  </si>
  <si>
    <t xml:space="preserve">Marin               </t>
  </si>
  <si>
    <t xml:space="preserve">Mariposa            </t>
  </si>
  <si>
    <t xml:space="preserve">Mendocino           </t>
  </si>
  <si>
    <t xml:space="preserve">Merced              </t>
  </si>
  <si>
    <t xml:space="preserve">Modoc               </t>
  </si>
  <si>
    <t xml:space="preserve">Mono                </t>
  </si>
  <si>
    <t xml:space="preserve">Monterey            </t>
  </si>
  <si>
    <t xml:space="preserve">Napa                </t>
  </si>
  <si>
    <t xml:space="preserve">Nevada              </t>
  </si>
  <si>
    <t xml:space="preserve">Orange              </t>
  </si>
  <si>
    <t xml:space="preserve">Placer              </t>
  </si>
  <si>
    <t xml:space="preserve">Plumas              </t>
  </si>
  <si>
    <t xml:space="preserve">Riverside           </t>
  </si>
  <si>
    <t>Sacramento</t>
  </si>
  <si>
    <t xml:space="preserve">San Benito  </t>
  </si>
  <si>
    <t xml:space="preserve">San Bernardino    </t>
  </si>
  <si>
    <t xml:space="preserve">San Diego           </t>
  </si>
  <si>
    <t>San Francisco</t>
  </si>
  <si>
    <t>San Joaquin</t>
  </si>
  <si>
    <t xml:space="preserve">San Luis Obispo     </t>
  </si>
  <si>
    <t xml:space="preserve">San Mateo           </t>
  </si>
  <si>
    <t xml:space="preserve">Santa Barbara       </t>
  </si>
  <si>
    <t xml:space="preserve">Santa Clara         </t>
  </si>
  <si>
    <t xml:space="preserve">Santa Cruz          </t>
  </si>
  <si>
    <t xml:space="preserve">Shasta              </t>
  </si>
  <si>
    <t xml:space="preserve">Sierra              </t>
  </si>
  <si>
    <t xml:space="preserve">Siskiyou            </t>
  </si>
  <si>
    <t xml:space="preserve">Solano              </t>
  </si>
  <si>
    <t xml:space="preserve">Sonoma              </t>
  </si>
  <si>
    <t xml:space="preserve">Stanislaus          </t>
  </si>
  <si>
    <t xml:space="preserve">Sutter              </t>
  </si>
  <si>
    <t xml:space="preserve">Tehama              </t>
  </si>
  <si>
    <t xml:space="preserve">Trinity             </t>
  </si>
  <si>
    <t xml:space="preserve">Tulare              </t>
  </si>
  <si>
    <t xml:space="preserve">Tuolumne            </t>
  </si>
  <si>
    <t xml:space="preserve">Ventura             </t>
  </si>
  <si>
    <t xml:space="preserve">Yolo                </t>
  </si>
  <si>
    <t xml:space="preserve">Yuba                </t>
  </si>
  <si>
    <t>Statewide</t>
  </si>
  <si>
    <t>California Population Data</t>
  </si>
  <si>
    <t>US</t>
  </si>
  <si>
    <t>Canada</t>
  </si>
  <si>
    <t>Mexico</t>
  </si>
  <si>
    <t>NA Total</t>
  </si>
  <si>
    <t>North America Population Data</t>
  </si>
  <si>
    <t>Fraction of NA</t>
  </si>
  <si>
    <t>Product Consumption by Sector (Tons)</t>
  </si>
  <si>
    <t>Check</t>
  </si>
  <si>
    <t>Product Consumption by Sector (Mt)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</si>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</sst>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_ "/>
    <numFmt numFmtId="165" formatCode="0.0"/>
    <numFmt numFmtId="166" formatCode="0_ "/>
    <numFmt numFmtId="167" formatCode="0.00_);[Red]\(0.00\)"/>
    <numFmt numFmtId="168" formatCode="0_);[Red]\(0\)"/>
    <numFmt numFmtId="169" formatCode="0.0_);[Red]\(0.0\)"/>
    <numFmt numFmtId="170" formatCode="0.0%"/>
    <numFmt numFmtId="171" formatCode="0.000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4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theme="7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4"/>
      <charset val="134"/>
      <scheme val="minor"/>
    </font>
    <font>
      <sz val="12"/>
      <color rgb="FF000000"/>
      <name val="Calibri"/>
      <family val="4"/>
      <charset val="134"/>
    </font>
    <font>
      <b/>
      <sz val="16"/>
      <color theme="1"/>
      <name val="Calibri"/>
      <family val="4"/>
      <charset val="134"/>
      <scheme val="minor"/>
    </font>
    <font>
      <sz val="12"/>
      <color theme="1"/>
      <name val="Calibri"/>
      <family val="2"/>
      <charset val="134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Aptos Narrow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>
      <alignment vertical="center"/>
    </xf>
    <xf numFmtId="0" fontId="16" fillId="0" borderId="0"/>
  </cellStyleXfs>
  <cellXfs count="205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/>
    <xf numFmtId="0" fontId="3" fillId="0" borderId="0" xfId="0" applyFont="1" applyAlignment="1">
      <alignment vertical="center"/>
    </xf>
    <xf numFmtId="0" fontId="5" fillId="0" borderId="1" xfId="2" applyBorder="1" applyAlignment="1">
      <alignment horizontal="center" vertical="center"/>
    </xf>
    <xf numFmtId="0" fontId="5" fillId="0" borderId="0" xfId="2" applyAlignment="1">
      <alignment horizontal="center" vertical="center"/>
    </xf>
    <xf numFmtId="0" fontId="5" fillId="0" borderId="5" xfId="2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166" fontId="5" fillId="0" borderId="0" xfId="2" applyNumberFormat="1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10" fontId="5" fillId="0" borderId="6" xfId="2" applyNumberFormat="1" applyBorder="1" applyAlignment="1">
      <alignment horizontal="center" vertical="center"/>
    </xf>
    <xf numFmtId="164" fontId="5" fillId="0" borderId="5" xfId="2" applyNumberForma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0" fontId="5" fillId="0" borderId="0" xfId="2">
      <alignment vertical="center"/>
    </xf>
    <xf numFmtId="10" fontId="5" fillId="0" borderId="0" xfId="2" applyNumberFormat="1">
      <alignment vertical="center"/>
    </xf>
    <xf numFmtId="164" fontId="7" fillId="0" borderId="6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5" fillId="0" borderId="8" xfId="2" applyBorder="1" applyAlignment="1">
      <alignment horizontal="center" vertical="center"/>
    </xf>
    <xf numFmtId="0" fontId="5" fillId="0" borderId="9" xfId="2" applyBorder="1" applyAlignment="1">
      <alignment horizontal="center" vertical="center"/>
    </xf>
    <xf numFmtId="164" fontId="6" fillId="0" borderId="9" xfId="2" applyNumberFormat="1" applyFont="1" applyBorder="1" applyAlignment="1">
      <alignment horizontal="center" vertical="center"/>
    </xf>
    <xf numFmtId="0" fontId="5" fillId="0" borderId="10" xfId="2" applyBorder="1" applyAlignment="1">
      <alignment horizontal="center" vertical="center"/>
    </xf>
    <xf numFmtId="164" fontId="6" fillId="0" borderId="10" xfId="2" applyNumberFormat="1" applyFont="1" applyBorder="1" applyAlignment="1">
      <alignment horizontal="center" vertical="center"/>
    </xf>
    <xf numFmtId="164" fontId="5" fillId="0" borderId="0" xfId="2" applyNumberFormat="1">
      <alignment vertical="center"/>
    </xf>
    <xf numFmtId="0" fontId="6" fillId="0" borderId="0" xfId="2" applyFont="1">
      <alignment vertical="center"/>
    </xf>
    <xf numFmtId="0" fontId="3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165" fontId="0" fillId="0" borderId="7" xfId="0" applyNumberFormat="1" applyBorder="1"/>
    <xf numFmtId="165" fontId="0" fillId="0" borderId="11" xfId="0" applyNumberFormat="1" applyBorder="1"/>
    <xf numFmtId="2" fontId="0" fillId="0" borderId="0" xfId="0" applyNumberFormat="1"/>
    <xf numFmtId="0" fontId="3" fillId="2" borderId="12" xfId="0" applyFont="1" applyFill="1" applyBorder="1" applyAlignment="1">
      <alignment vertical="center"/>
    </xf>
    <xf numFmtId="0" fontId="3" fillId="0" borderId="4" xfId="0" applyFont="1" applyBorder="1"/>
    <xf numFmtId="0" fontId="9" fillId="0" borderId="0" xfId="2" applyFont="1">
      <alignment vertical="center"/>
    </xf>
    <xf numFmtId="0" fontId="8" fillId="0" borderId="0" xfId="2" applyFont="1">
      <alignment vertical="center"/>
    </xf>
    <xf numFmtId="0" fontId="4" fillId="0" borderId="0" xfId="2" applyFont="1">
      <alignment vertical="center"/>
    </xf>
    <xf numFmtId="10" fontId="8" fillId="0" borderId="0" xfId="2" applyNumberFormat="1" applyFont="1">
      <alignment vertical="center"/>
    </xf>
    <xf numFmtId="0" fontId="8" fillId="0" borderId="0" xfId="2" applyFont="1" applyAlignment="1">
      <alignment horizontal="left" vertical="center"/>
    </xf>
    <xf numFmtId="0" fontId="3" fillId="0" borderId="0" xfId="2" applyFont="1">
      <alignment vertical="center"/>
    </xf>
    <xf numFmtId="0" fontId="1" fillId="0" borderId="0" xfId="2" applyFont="1">
      <alignment vertical="center"/>
    </xf>
    <xf numFmtId="10" fontId="1" fillId="0" borderId="0" xfId="2" applyNumberFormat="1" applyFont="1">
      <alignment vertical="center"/>
    </xf>
    <xf numFmtId="168" fontId="1" fillId="0" borderId="0" xfId="2" applyNumberFormat="1" applyFont="1">
      <alignment vertical="center"/>
    </xf>
    <xf numFmtId="0" fontId="10" fillId="0" borderId="0" xfId="2" applyFont="1">
      <alignment vertical="center"/>
    </xf>
    <xf numFmtId="166" fontId="1" fillId="0" borderId="0" xfId="2" applyNumberFormat="1" applyFont="1">
      <alignment vertical="center"/>
    </xf>
    <xf numFmtId="10" fontId="1" fillId="0" borderId="0" xfId="2" applyNumberFormat="1" applyFont="1" applyAlignment="1">
      <alignment horizontal="right" vertical="center"/>
    </xf>
    <xf numFmtId="164" fontId="1" fillId="0" borderId="0" xfId="2" applyNumberFormat="1" applyFont="1">
      <alignment vertical="center"/>
    </xf>
    <xf numFmtId="0" fontId="3" fillId="0" borderId="0" xfId="2" applyFont="1" applyAlignment="1">
      <alignment horizontal="left" vertical="center"/>
    </xf>
    <xf numFmtId="0" fontId="2" fillId="0" borderId="0" xfId="2" applyFont="1">
      <alignment vertical="center"/>
    </xf>
    <xf numFmtId="166" fontId="1" fillId="0" borderId="0" xfId="2" applyNumberFormat="1" applyFont="1" applyAlignment="1">
      <alignment horizontal="right" vertical="center"/>
    </xf>
    <xf numFmtId="164" fontId="1" fillId="0" borderId="0" xfId="2" applyNumberFormat="1" applyFont="1" applyAlignment="1">
      <alignment horizontal="right" vertical="center"/>
    </xf>
    <xf numFmtId="3" fontId="11" fillId="0" borderId="0" xfId="2" applyNumberFormat="1" applyFont="1">
      <alignment vertical="center"/>
    </xf>
    <xf numFmtId="3" fontId="1" fillId="0" borderId="0" xfId="2" applyNumberFormat="1" applyFont="1">
      <alignment vertical="center"/>
    </xf>
    <xf numFmtId="0" fontId="4" fillId="0" borderId="4" xfId="0" applyFont="1" applyBorder="1" applyAlignment="1">
      <alignment horizontal="center" vertical="center"/>
    </xf>
    <xf numFmtId="165" fontId="0" fillId="0" borderId="7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0" fontId="0" fillId="2" borderId="13" xfId="0" applyFill="1" applyBorder="1"/>
    <xf numFmtId="0" fontId="4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4" xfId="0" applyBorder="1"/>
    <xf numFmtId="2" fontId="0" fillId="0" borderId="7" xfId="0" applyNumberFormat="1" applyBorder="1"/>
    <xf numFmtId="2" fontId="0" fillId="0" borderId="11" xfId="0" applyNumberFormat="1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0" fillId="0" borderId="0" xfId="0" applyNumberFormat="1" applyAlignment="1">
      <alignment vertical="center"/>
    </xf>
    <xf numFmtId="10" fontId="0" fillId="0" borderId="0" xfId="1" applyNumberFormat="1" applyFont="1"/>
    <xf numFmtId="10" fontId="0" fillId="0" borderId="0" xfId="0" applyNumberFormat="1"/>
    <xf numFmtId="0" fontId="5" fillId="0" borderId="0" xfId="2" applyAlignment="1">
      <alignment horizontal="left" vertical="center"/>
    </xf>
    <xf numFmtId="0" fontId="6" fillId="0" borderId="0" xfId="2" applyFont="1" applyAlignment="1">
      <alignment horizontal="left" vertical="center"/>
    </xf>
    <xf numFmtId="10" fontId="13" fillId="7" borderId="0" xfId="0" applyNumberFormat="1" applyFont="1" applyFill="1" applyAlignment="1">
      <alignment vertical="center"/>
    </xf>
    <xf numFmtId="0" fontId="14" fillId="0" borderId="0" xfId="2" applyFont="1">
      <alignment vertical="center"/>
    </xf>
    <xf numFmtId="164" fontId="1" fillId="0" borderId="0" xfId="0" applyNumberFormat="1" applyFont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7" fontId="12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6" fontId="15" fillId="0" borderId="12" xfId="0" applyNumberFormat="1" applyFont="1" applyBorder="1" applyAlignment="1">
      <alignment vertical="center"/>
    </xf>
    <xf numFmtId="166" fontId="15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  <xf numFmtId="0" fontId="0" fillId="0" borderId="14" xfId="0" applyBorder="1" applyAlignment="1">
      <alignment horizontal="left" vertical="center"/>
    </xf>
    <xf numFmtId="0" fontId="12" fillId="0" borderId="0" xfId="2" applyFont="1">
      <alignment vertical="center"/>
    </xf>
    <xf numFmtId="11" fontId="5" fillId="0" borderId="0" xfId="2" applyNumberForma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0" fontId="0" fillId="0" borderId="5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6" xfId="0" applyNumberFormat="1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9" xfId="0" applyNumberFormat="1" applyBorder="1"/>
    <xf numFmtId="0" fontId="0" fillId="0" borderId="2" xfId="0" applyBorder="1" applyAlignment="1">
      <alignment vertical="center"/>
    </xf>
    <xf numFmtId="2" fontId="3" fillId="0" borderId="7" xfId="0" applyNumberFormat="1" applyFont="1" applyBorder="1"/>
    <xf numFmtId="2" fontId="3" fillId="0" borderId="11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6" xfId="0" applyFont="1" applyBorder="1" applyAlignment="1">
      <alignment vertical="center"/>
    </xf>
    <xf numFmtId="2" fontId="0" fillId="0" borderId="6" xfId="0" applyNumberFormat="1" applyBorder="1"/>
    <xf numFmtId="0" fontId="3" fillId="0" borderId="0" xfId="0" applyFont="1" applyAlignment="1">
      <alignment horizontal="center"/>
    </xf>
    <xf numFmtId="2" fontId="0" fillId="0" borderId="5" xfId="0" applyNumberFormat="1" applyBorder="1"/>
    <xf numFmtId="2" fontId="0" fillId="10" borderId="5" xfId="0" applyNumberFormat="1" applyFill="1" applyBorder="1"/>
    <xf numFmtId="2" fontId="0" fillId="11" borderId="5" xfId="0" applyNumberForma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4" borderId="5" xfId="0" applyNumberFormat="1" applyFill="1" applyBorder="1"/>
    <xf numFmtId="0" fontId="3" fillId="0" borderId="7" xfId="0" applyFont="1" applyBorder="1" applyAlignment="1">
      <alignment vertical="center"/>
    </xf>
    <xf numFmtId="0" fontId="0" fillId="0" borderId="1" xfId="0" applyBorder="1"/>
    <xf numFmtId="4" fontId="0" fillId="0" borderId="0" xfId="0" applyNumberFormat="1"/>
    <xf numFmtId="4" fontId="0" fillId="0" borderId="6" xfId="0" applyNumberFormat="1" applyBorder="1"/>
    <xf numFmtId="10" fontId="0" fillId="3" borderId="9" xfId="1" applyNumberFormat="1" applyFont="1" applyFill="1" applyBorder="1"/>
    <xf numFmtId="170" fontId="0" fillId="0" borderId="9" xfId="1" applyNumberFormat="1" applyFont="1" applyBorder="1"/>
    <xf numFmtId="170" fontId="0" fillId="0" borderId="10" xfId="1" applyNumberFormat="1" applyFont="1" applyBorder="1"/>
    <xf numFmtId="0" fontId="0" fillId="2" borderId="5" xfId="0" applyFill="1" applyBorder="1"/>
    <xf numFmtId="0" fontId="0" fillId="15" borderId="1" xfId="0" applyFill="1" applyBorder="1"/>
    <xf numFmtId="4" fontId="3" fillId="0" borderId="0" xfId="0" applyNumberFormat="1" applyFont="1"/>
    <xf numFmtId="4" fontId="3" fillId="0" borderId="6" xfId="0" applyNumberFormat="1" applyFont="1" applyBorder="1"/>
    <xf numFmtId="0" fontId="16" fillId="0" borderId="0" xfId="0" applyFont="1"/>
    <xf numFmtId="0" fontId="17" fillId="0" borderId="0" xfId="0" applyFont="1"/>
    <xf numFmtId="9" fontId="0" fillId="3" borderId="0" xfId="1" applyFont="1" applyFill="1"/>
    <xf numFmtId="0" fontId="18" fillId="15" borderId="13" xfId="0" applyFont="1" applyFill="1" applyBorder="1"/>
    <xf numFmtId="0" fontId="18" fillId="15" borderId="12" xfId="0" applyFont="1" applyFill="1" applyBorder="1"/>
    <xf numFmtId="0" fontId="0" fillId="15" borderId="0" xfId="0" applyFill="1"/>
    <xf numFmtId="0" fontId="18" fillId="15" borderId="5" xfId="0" applyFont="1" applyFill="1" applyBorder="1"/>
    <xf numFmtId="3" fontId="0" fillId="0" borderId="0" xfId="0" applyNumberFormat="1"/>
    <xf numFmtId="3" fontId="0" fillId="3" borderId="7" xfId="0" applyNumberFormat="1" applyFill="1" applyBorder="1"/>
    <xf numFmtId="3" fontId="0" fillId="3" borderId="11" xfId="0" applyNumberFormat="1" applyFill="1" applyBorder="1"/>
    <xf numFmtId="0" fontId="18" fillId="15" borderId="0" xfId="0" applyFont="1" applyFill="1"/>
    <xf numFmtId="0" fontId="0" fillId="15" borderId="7" xfId="0" applyFill="1" applyBorder="1"/>
    <xf numFmtId="0" fontId="0" fillId="15" borderId="11" xfId="0" applyFill="1" applyBorder="1"/>
    <xf numFmtId="0" fontId="18" fillId="15" borderId="4" xfId="0" applyFont="1" applyFill="1" applyBorder="1"/>
    <xf numFmtId="3" fontId="19" fillId="3" borderId="7" xfId="0" applyNumberFormat="1" applyFont="1" applyFill="1" applyBorder="1"/>
    <xf numFmtId="3" fontId="19" fillId="3" borderId="11" xfId="0" applyNumberFormat="1" applyFont="1" applyFill="1" applyBorder="1"/>
    <xf numFmtId="171" fontId="0" fillId="18" borderId="7" xfId="1" applyNumberFormat="1" applyFont="1" applyFill="1" applyBorder="1"/>
    <xf numFmtId="171" fontId="0" fillId="18" borderId="11" xfId="1" applyNumberFormat="1" applyFont="1" applyFill="1" applyBorder="1"/>
    <xf numFmtId="3" fontId="0" fillId="3" borderId="0" xfId="0" applyNumberFormat="1" applyFill="1"/>
    <xf numFmtId="3" fontId="0" fillId="18" borderId="0" xfId="0" applyNumberFormat="1" applyFill="1"/>
    <xf numFmtId="0" fontId="3" fillId="17" borderId="0" xfId="0" applyFont="1" applyFill="1" applyAlignment="1">
      <alignment horizontal="center"/>
    </xf>
    <xf numFmtId="0" fontId="0" fillId="18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5" fillId="0" borderId="1" xfId="2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5" fillId="0" borderId="3" xfId="2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0" fontId="4" fillId="0" borderId="0" xfId="2" applyNumberFormat="1" applyFont="1" applyAlignment="1">
      <alignment horizontal="left" vertical="center"/>
    </xf>
    <xf numFmtId="0" fontId="10" fillId="0" borderId="0" xfId="2" applyFont="1" applyAlignment="1">
      <alignment horizontal="center" vertical="center"/>
    </xf>
    <xf numFmtId="0" fontId="3" fillId="3" borderId="0" xfId="2" applyFont="1" applyFill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3" fillId="4" borderId="0" xfId="2" applyFont="1" applyFill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horizontal="center" vertical="center"/>
    </xf>
    <xf numFmtId="0" fontId="10" fillId="5" borderId="0" xfId="2" applyFont="1" applyFill="1" applyAlignment="1">
      <alignment horizontal="center" vertical="center"/>
    </xf>
    <xf numFmtId="0" fontId="1" fillId="0" borderId="0" xfId="2" applyFont="1" applyAlignment="1">
      <alignment horizontal="right" vertical="center"/>
    </xf>
    <xf numFmtId="10" fontId="1" fillId="0" borderId="0" xfId="2" applyNumberFormat="1" applyFont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10" fillId="6" borderId="0" xfId="2" applyFont="1" applyFill="1" applyAlignment="1">
      <alignment horizontal="center" vertical="center"/>
    </xf>
    <xf numFmtId="0" fontId="3" fillId="0" borderId="0" xfId="2" applyFont="1" applyAlignment="1">
      <alignment horizontal="left" vertical="center"/>
    </xf>
    <xf numFmtId="164" fontId="1" fillId="0" borderId="0" xfId="2" applyNumberFormat="1" applyFont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8" borderId="0" xfId="2" applyFont="1" applyFill="1" applyAlignment="1">
      <alignment horizontal="center" vertical="center"/>
    </xf>
    <xf numFmtId="0" fontId="17" fillId="9" borderId="0" xfId="0" applyFont="1" applyFill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9" borderId="6" xfId="0" applyNumberFormat="1" applyFill="1" applyBorder="1" applyAlignment="1">
      <alignment horizontal="center"/>
    </xf>
  </cellXfs>
  <cellStyles count="4">
    <cellStyle name="Normal" xfId="0" builtinId="0"/>
    <cellStyle name="Normal 2" xfId="2" xr:uid="{30A34CF8-43E7-4248-A001-41BDFE921FBE}"/>
    <cellStyle name="Normal 4" xfId="3" xr:uid="{40C16B75-0061-874B-A1DA-21F6D712EF9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 Consumption by Sector (Scaled</a:t>
            </a:r>
            <a:r>
              <a:rPr lang="en-US" baseline="0"/>
              <a:t> from NA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Scaled Consumption'!$B$2</c:f>
              <c:strCache>
                <c:ptCount val="1"/>
                <c:pt idx="0">
                  <c:v>Transportation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Consumption'!$B$3:$B$18</c:f>
              <c:numCache>
                <c:formatCode>General</c:formatCode>
                <c:ptCount val="16"/>
                <c:pt idx="0">
                  <c:v>0.49116763007418257</c:v>
                </c:pt>
                <c:pt idx="1">
                  <c:v>0.51950300234111746</c:v>
                </c:pt>
                <c:pt idx="2">
                  <c:v>0.51210831694470405</c:v>
                </c:pt>
                <c:pt idx="3">
                  <c:v>0.51709258545593417</c:v>
                </c:pt>
                <c:pt idx="4">
                  <c:v>0.46247386741837077</c:v>
                </c:pt>
                <c:pt idx="5">
                  <c:v>0.47689035707309485</c:v>
                </c:pt>
                <c:pt idx="6">
                  <c:v>0.46041237419118203</c:v>
                </c:pt>
                <c:pt idx="7">
                  <c:v>0.45366448978394958</c:v>
                </c:pt>
                <c:pt idx="8">
                  <c:v>0.44624678057275124</c:v>
                </c:pt>
                <c:pt idx="9">
                  <c:v>0.392252724945024</c:v>
                </c:pt>
                <c:pt idx="10">
                  <c:v>0.39384577156250034</c:v>
                </c:pt>
                <c:pt idx="11">
                  <c:v>0.4137451739260633</c:v>
                </c:pt>
                <c:pt idx="12">
                  <c:v>0.43745984455873649</c:v>
                </c:pt>
                <c:pt idx="13">
                  <c:v>0.48075813728964722</c:v>
                </c:pt>
                <c:pt idx="14">
                  <c:v>0.48473839055608647</c:v>
                </c:pt>
                <c:pt idx="15">
                  <c:v>0.45777546480631165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6B40-8234-41F10E02B149}"/>
            </c:ext>
          </c:extLst>
        </c:ser>
        <c:ser>
          <c:idx val="1"/>
          <c:order val="1"/>
          <c:tx>
            <c:strRef>
              <c:f>'CA Scaled Consumption'!$C$2</c:f>
              <c:strCache>
                <c:ptCount val="1"/>
                <c:pt idx="0">
                  <c:v>Packaging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Consumption'!$C$3:$C$18</c:f>
              <c:numCache>
                <c:formatCode>General</c:formatCode>
                <c:ptCount val="16"/>
                <c:pt idx="0">
                  <c:v>2.010702583536029</c:v>
                </c:pt>
                <c:pt idx="1">
                  <c:v>2.0295320502084997</c:v>
                </c:pt>
                <c:pt idx="2">
                  <c:v>1.9670202701048007</c:v>
                </c:pt>
                <c:pt idx="3">
                  <c:v>1.9317284387137752</c:v>
                </c:pt>
                <c:pt idx="4">
                  <c:v>1.7710744417100734</c:v>
                </c:pt>
                <c:pt idx="5">
                  <c:v>1.8630558812165032</c:v>
                </c:pt>
                <c:pt idx="6">
                  <c:v>1.7958030730758148</c:v>
                </c:pt>
                <c:pt idx="7">
                  <c:v>1.8388822224281718</c:v>
                </c:pt>
                <c:pt idx="8">
                  <c:v>1.9931548747296062</c:v>
                </c:pt>
                <c:pt idx="9">
                  <c:v>1.6425563497140914</c:v>
                </c:pt>
                <c:pt idx="10">
                  <c:v>1.6590331075415137</c:v>
                </c:pt>
                <c:pt idx="11">
                  <c:v>1.6814005095882647</c:v>
                </c:pt>
                <c:pt idx="12">
                  <c:v>1.7317790362123422</c:v>
                </c:pt>
                <c:pt idx="13">
                  <c:v>1.8209503655334982</c:v>
                </c:pt>
                <c:pt idx="14">
                  <c:v>1.8843978715385175</c:v>
                </c:pt>
                <c:pt idx="15">
                  <c:v>1.8012178422546341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6B40-8234-41F10E02B149}"/>
            </c:ext>
          </c:extLst>
        </c:ser>
        <c:ser>
          <c:idx val="2"/>
          <c:order val="2"/>
          <c:tx>
            <c:strRef>
              <c:f>'CA Scaled Consumption'!$D$2</c:f>
              <c:strCache>
                <c:ptCount val="1"/>
                <c:pt idx="0">
                  <c:v>Building and Construction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Consumption'!$D$3:$D$18</c:f>
              <c:numCache>
                <c:formatCode>General</c:formatCode>
                <c:ptCount val="16"/>
                <c:pt idx="0">
                  <c:v>1.2068093884362647</c:v>
                </c:pt>
                <c:pt idx="1">
                  <c:v>1.2344834849442499</c:v>
                </c:pt>
                <c:pt idx="2">
                  <c:v>1.1944058813340148</c:v>
                </c:pt>
                <c:pt idx="3">
                  <c:v>1.1385349773403162</c:v>
                </c:pt>
                <c:pt idx="4">
                  <c:v>0.92640639652273304</c:v>
                </c:pt>
                <c:pt idx="5">
                  <c:v>1.0254919836642356</c:v>
                </c:pt>
                <c:pt idx="6">
                  <c:v>0.98715802265460306</c:v>
                </c:pt>
                <c:pt idx="7">
                  <c:v>1.0916056175533675</c:v>
                </c:pt>
                <c:pt idx="8">
                  <c:v>0.92847226676988415</c:v>
                </c:pt>
                <c:pt idx="9">
                  <c:v>0.85464146447208222</c:v>
                </c:pt>
                <c:pt idx="10">
                  <c:v>0.9666427792192489</c:v>
                </c:pt>
                <c:pt idx="11">
                  <c:v>0.84194687923592604</c:v>
                </c:pt>
                <c:pt idx="12">
                  <c:v>0.9003265423829635</c:v>
                </c:pt>
                <c:pt idx="13">
                  <c:v>0.91952799333370527</c:v>
                </c:pt>
                <c:pt idx="14">
                  <c:v>0.92598011797937674</c:v>
                </c:pt>
                <c:pt idx="15">
                  <c:v>1.1139595943897627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6B40-8234-41F10E02B149}"/>
            </c:ext>
          </c:extLst>
        </c:ser>
        <c:ser>
          <c:idx val="3"/>
          <c:order val="3"/>
          <c:tx>
            <c:strRef>
              <c:f>'CA Scaled Consumption'!$E$2</c:f>
              <c:strCache>
                <c:ptCount val="1"/>
                <c:pt idx="0">
                  <c:v>Electrical / Electronic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Consumption'!$E$3:$E$18</c:f>
              <c:numCache>
                <c:formatCode>General</c:formatCode>
                <c:ptCount val="16"/>
                <c:pt idx="0">
                  <c:v>0.62045336357657299</c:v>
                </c:pt>
                <c:pt idx="1">
                  <c:v>0.3553928237234682</c:v>
                </c:pt>
                <c:pt idx="2">
                  <c:v>0.35251137364088814</c:v>
                </c:pt>
                <c:pt idx="3">
                  <c:v>0.33749218153322569</c:v>
                </c:pt>
                <c:pt idx="4">
                  <c:v>0.32228909117613758</c:v>
                </c:pt>
                <c:pt idx="5">
                  <c:v>0.59466664549822856</c:v>
                </c:pt>
                <c:pt idx="6">
                  <c:v>0.31634881204846688</c:v>
                </c:pt>
                <c:pt idx="7">
                  <c:v>0.30179088740014981</c:v>
                </c:pt>
                <c:pt idx="8">
                  <c:v>0.4204661758419776</c:v>
                </c:pt>
                <c:pt idx="9">
                  <c:v>0.34521774984742459</c:v>
                </c:pt>
                <c:pt idx="10">
                  <c:v>0.50949879946359078</c:v>
                </c:pt>
                <c:pt idx="11">
                  <c:v>0.39168275981768158</c:v>
                </c:pt>
                <c:pt idx="12">
                  <c:v>0.42824806188541392</c:v>
                </c:pt>
                <c:pt idx="13">
                  <c:v>0.42646727710955001</c:v>
                </c:pt>
                <c:pt idx="14">
                  <c:v>0.22036756702864305</c:v>
                </c:pt>
                <c:pt idx="15">
                  <c:v>0.30756035418743088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6B40-8234-41F10E02B149}"/>
            </c:ext>
          </c:extLst>
        </c:ser>
        <c:ser>
          <c:idx val="4"/>
          <c:order val="4"/>
          <c:tx>
            <c:strRef>
              <c:f>'CA Scaled Consumption'!$F$2</c:f>
              <c:strCache>
                <c:ptCount val="1"/>
                <c:pt idx="0">
                  <c:v>Household / Leisure / Sports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Consumption'!$F$3:$F$18</c:f>
              <c:numCache>
                <c:formatCode>General</c:formatCode>
                <c:ptCount val="16"/>
                <c:pt idx="0">
                  <c:v>1.3715702728322767</c:v>
                </c:pt>
                <c:pt idx="1">
                  <c:v>1.3725181939920243</c:v>
                </c:pt>
                <c:pt idx="2">
                  <c:v>1.3274411240196164</c:v>
                </c:pt>
                <c:pt idx="3">
                  <c:v>1.2950419866583458</c:v>
                </c:pt>
                <c:pt idx="4">
                  <c:v>1.2068140753807175</c:v>
                </c:pt>
                <c:pt idx="5">
                  <c:v>1.24213867292822</c:v>
                </c:pt>
                <c:pt idx="6">
                  <c:v>1.2054461117607307</c:v>
                </c:pt>
                <c:pt idx="7">
                  <c:v>1.1862863520358709</c:v>
                </c:pt>
                <c:pt idx="8">
                  <c:v>1.1524793030668081</c:v>
                </c:pt>
                <c:pt idx="9">
                  <c:v>1.1235197817613454</c:v>
                </c:pt>
                <c:pt idx="10">
                  <c:v>1.0934559965045045</c:v>
                </c:pt>
                <c:pt idx="11">
                  <c:v>1.1158077331353513</c:v>
                </c:pt>
                <c:pt idx="12">
                  <c:v>1.1425717000021318</c:v>
                </c:pt>
                <c:pt idx="13">
                  <c:v>1.1991856663542544</c:v>
                </c:pt>
                <c:pt idx="14">
                  <c:v>1.227329898796627</c:v>
                </c:pt>
                <c:pt idx="15">
                  <c:v>1.1557480834340212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A-6B40-8234-41F10E02B149}"/>
            </c:ext>
          </c:extLst>
        </c:ser>
        <c:ser>
          <c:idx val="5"/>
          <c:order val="5"/>
          <c:tx>
            <c:strRef>
              <c:f>'CA Scaled Consumption'!$G$2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Consumption'!$G$3:$G$18</c:f>
              <c:numCache>
                <c:formatCode>General</c:formatCode>
                <c:ptCount val="16"/>
                <c:pt idx="0">
                  <c:v>3.5972905888730575E-2</c:v>
                </c:pt>
                <c:pt idx="1">
                  <c:v>3.7059042184088821E-2</c:v>
                </c:pt>
                <c:pt idx="2">
                  <c:v>3.6110755013660803E-2</c:v>
                </c:pt>
                <c:pt idx="3">
                  <c:v>3.5337978533064252E-2</c:v>
                </c:pt>
                <c:pt idx="4">
                  <c:v>3.3092764202208316E-2</c:v>
                </c:pt>
                <c:pt idx="5">
                  <c:v>3.4091523567952489E-2</c:v>
                </c:pt>
                <c:pt idx="6">
                  <c:v>3.3617919076642508E-2</c:v>
                </c:pt>
                <c:pt idx="7">
                  <c:v>3.2063711459438413E-2</c:v>
                </c:pt>
                <c:pt idx="8">
                  <c:v>3.1805518340592871E-2</c:v>
                </c:pt>
                <c:pt idx="9">
                  <c:v>2.9917340769913481E-2</c:v>
                </c:pt>
                <c:pt idx="10">
                  <c:v>2.9366676157715745E-2</c:v>
                </c:pt>
                <c:pt idx="11">
                  <c:v>3.1182773064578204E-2</c:v>
                </c:pt>
                <c:pt idx="12">
                  <c:v>3.162668000367256E-2</c:v>
                </c:pt>
                <c:pt idx="13">
                  <c:v>3.3249155400077578E-2</c:v>
                </c:pt>
                <c:pt idx="14">
                  <c:v>3.4011627453400826E-2</c:v>
                </c:pt>
                <c:pt idx="15">
                  <c:v>3.2249272250006566E-2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A-6B40-8234-41F10E02B149}"/>
            </c:ext>
          </c:extLst>
        </c:ser>
        <c:ser>
          <c:idx val="6"/>
          <c:order val="6"/>
          <c:tx>
            <c:strRef>
              <c:f>'CA Scaled Consumption'!$H$2</c:f>
              <c:strCache>
                <c:ptCount val="1"/>
                <c:pt idx="0">
                  <c:v>Textiles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Consumption'!$H$3:$H$18</c:f>
              <c:numCache>
                <c:formatCode>General</c:formatCode>
                <c:ptCount val="16"/>
                <c:pt idx="0">
                  <c:v>0.75588191362786483</c:v>
                </c:pt>
                <c:pt idx="1">
                  <c:v>0.60716102142235884</c:v>
                </c:pt>
                <c:pt idx="2">
                  <c:v>0.68923077296453505</c:v>
                </c:pt>
                <c:pt idx="3">
                  <c:v>0.70013324294228052</c:v>
                </c:pt>
                <c:pt idx="4">
                  <c:v>0.65987975608459259</c:v>
                </c:pt>
                <c:pt idx="5">
                  <c:v>0.69544085753922902</c:v>
                </c:pt>
                <c:pt idx="6">
                  <c:v>0.60943322294443014</c:v>
                </c:pt>
                <c:pt idx="7">
                  <c:v>0.67512130466943931</c:v>
                </c:pt>
                <c:pt idx="8">
                  <c:v>0.63543254718049591</c:v>
                </c:pt>
                <c:pt idx="9">
                  <c:v>0.54432194170847192</c:v>
                </c:pt>
                <c:pt idx="10">
                  <c:v>0.58026049448752648</c:v>
                </c:pt>
                <c:pt idx="11">
                  <c:v>0.53633050190009668</c:v>
                </c:pt>
                <c:pt idx="12">
                  <c:v>0.51581532848326161</c:v>
                </c:pt>
                <c:pt idx="13">
                  <c:v>0.62916595379917728</c:v>
                </c:pt>
                <c:pt idx="14">
                  <c:v>0.62035728898777143</c:v>
                </c:pt>
                <c:pt idx="15">
                  <c:v>0.62527118264961401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A-6B40-8234-41F10E02B149}"/>
            </c:ext>
          </c:extLst>
        </c:ser>
        <c:ser>
          <c:idx val="7"/>
          <c:order val="7"/>
          <c:tx>
            <c:strRef>
              <c:f>'CA Scaled Consumption'!$I$2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Consumption'!$I$3:$I$18</c:f>
              <c:numCache>
                <c:formatCode>General</c:formatCode>
                <c:ptCount val="16"/>
                <c:pt idx="0">
                  <c:v>0.52059559979009251</c:v>
                </c:pt>
                <c:pt idx="1">
                  <c:v>0.48204474073196629</c:v>
                </c:pt>
                <c:pt idx="2">
                  <c:v>0.46957195273833735</c:v>
                </c:pt>
                <c:pt idx="3">
                  <c:v>0.44880836149380376</c:v>
                </c:pt>
                <c:pt idx="4">
                  <c:v>0.40606819586305543</c:v>
                </c:pt>
                <c:pt idx="5">
                  <c:v>0.42969312157711048</c:v>
                </c:pt>
                <c:pt idx="6">
                  <c:v>0.42122665730816111</c:v>
                </c:pt>
                <c:pt idx="7">
                  <c:v>0.4710001315001538</c:v>
                </c:pt>
                <c:pt idx="8">
                  <c:v>0.4086211487731371</c:v>
                </c:pt>
                <c:pt idx="9">
                  <c:v>0.36744559171991148</c:v>
                </c:pt>
                <c:pt idx="10">
                  <c:v>0.42628969567991831</c:v>
                </c:pt>
                <c:pt idx="11">
                  <c:v>0.41569695761255088</c:v>
                </c:pt>
                <c:pt idx="12">
                  <c:v>0.56976407027042808</c:v>
                </c:pt>
                <c:pt idx="13">
                  <c:v>0.43620129157729554</c:v>
                </c:pt>
                <c:pt idx="14">
                  <c:v>0.43024142269122101</c:v>
                </c:pt>
                <c:pt idx="15">
                  <c:v>0.40768141614810482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A-6B40-8234-41F10E02B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16639"/>
        <c:axId val="1202235071"/>
      </c:lineChart>
      <c:dateAx>
        <c:axId val="1201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35071"/>
        <c:crosses val="autoZero"/>
        <c:auto val="0"/>
        <c:lblOffset val="100"/>
        <c:baseTimeUnit val="days"/>
      </c:dateAx>
      <c:valAx>
        <c:axId val="12022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Plastic Consumption by Polymer (Scaled</a:t>
            </a:r>
            <a:r>
              <a:rPr lang="en-US" baseline="0"/>
              <a:t> from NA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Scaled Consumption'!$B$22</c:f>
              <c:strCache>
                <c:ptCount val="1"/>
                <c:pt idx="0">
                  <c:v>LLDPE, LDPE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Consumption'!$B$23:$B$38</c:f>
              <c:numCache>
                <c:formatCode>General</c:formatCode>
                <c:ptCount val="16"/>
                <c:pt idx="0">
                  <c:v>1.1480912478421088</c:v>
                </c:pt>
                <c:pt idx="1">
                  <c:v>1.1827557694829667</c:v>
                </c:pt>
                <c:pt idx="2">
                  <c:v>1.1524907638096156</c:v>
                </c:pt>
                <c:pt idx="3">
                  <c:v>1.127827259653031</c:v>
                </c:pt>
                <c:pt idx="4">
                  <c:v>1.0561702483801967</c:v>
                </c:pt>
                <c:pt idx="5">
                  <c:v>1.0880460965548764</c:v>
                </c:pt>
                <c:pt idx="6">
                  <c:v>1.0729307991392723</c:v>
                </c:pt>
                <c:pt idx="7">
                  <c:v>1.0233275736405905</c:v>
                </c:pt>
                <c:pt idx="8">
                  <c:v>1.0150872257266208</c:v>
                </c:pt>
                <c:pt idx="9">
                  <c:v>0.95482520102463797</c:v>
                </c:pt>
                <c:pt idx="10">
                  <c:v>0.93725049566955454</c:v>
                </c:pt>
                <c:pt idx="11">
                  <c:v>0.99521203401319736</c:v>
                </c:pt>
                <c:pt idx="12">
                  <c:v>1.0093795208769782</c:v>
                </c:pt>
                <c:pt idx="13">
                  <c:v>1.061161542830209</c:v>
                </c:pt>
                <c:pt idx="14">
                  <c:v>1.0854961766196596</c:v>
                </c:pt>
                <c:pt idx="15">
                  <c:v>1.0292498285802645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3-2D4B-BA7F-4FA82C2D168D}"/>
            </c:ext>
          </c:extLst>
        </c:ser>
        <c:ser>
          <c:idx val="1"/>
          <c:order val="1"/>
          <c:tx>
            <c:strRef>
              <c:f>'CA Scaled Consumption'!$C$22</c:f>
              <c:strCache>
                <c:ptCount val="1"/>
                <c:pt idx="0">
                  <c:v>HDPE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Consumption'!$C$23:$C$38</c:f>
              <c:numCache>
                <c:formatCode>General</c:formatCode>
                <c:ptCount val="16"/>
                <c:pt idx="0">
                  <c:v>0.76397561936529879</c:v>
                </c:pt>
                <c:pt idx="1">
                  <c:v>0.78704247005364969</c:v>
                </c:pt>
                <c:pt idx="2">
                  <c:v>0.76690319410511221</c:v>
                </c:pt>
                <c:pt idx="3">
                  <c:v>0.75049133145990854</c:v>
                </c:pt>
                <c:pt idx="4">
                  <c:v>0.70280852778735714</c:v>
                </c:pt>
                <c:pt idx="5">
                  <c:v>0.72401970842985108</c:v>
                </c:pt>
                <c:pt idx="6">
                  <c:v>0.71396151947781306</c:v>
                </c:pt>
                <c:pt idx="7">
                  <c:v>0.68095399068243323</c:v>
                </c:pt>
                <c:pt idx="8">
                  <c:v>0.67547060692422323</c:v>
                </c:pt>
                <c:pt idx="9">
                  <c:v>0.63537038167432591</c:v>
                </c:pt>
                <c:pt idx="10">
                  <c:v>0.62367562619731265</c:v>
                </c:pt>
                <c:pt idx="11">
                  <c:v>0.66224503628442788</c:v>
                </c:pt>
                <c:pt idx="12">
                  <c:v>0.67167252262050958</c:v>
                </c:pt>
                <c:pt idx="13">
                  <c:v>0.70612989033240747</c:v>
                </c:pt>
                <c:pt idx="14">
                  <c:v>0.72232291240819269</c:v>
                </c:pt>
                <c:pt idx="15">
                  <c:v>0.68489484328807815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3-2D4B-BA7F-4FA82C2D168D}"/>
            </c:ext>
          </c:extLst>
        </c:ser>
        <c:ser>
          <c:idx val="2"/>
          <c:order val="2"/>
          <c:tx>
            <c:strRef>
              <c:f>'CA Scaled Consumption'!$D$22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Consumption'!$D$23:$D$38</c:f>
              <c:numCache>
                <c:formatCode>General</c:formatCode>
                <c:ptCount val="16"/>
                <c:pt idx="0">
                  <c:v>0.70273643359872495</c:v>
                </c:pt>
                <c:pt idx="1">
                  <c:v>0.72395427874482121</c:v>
                </c:pt>
                <c:pt idx="2">
                  <c:v>0.70542933816217079</c:v>
                </c:pt>
                <c:pt idx="3">
                  <c:v>0.69033302679874764</c:v>
                </c:pt>
                <c:pt idx="4">
                  <c:v>0.6464724080205263</c:v>
                </c:pt>
                <c:pt idx="5">
                  <c:v>0.66598333096006734</c:v>
                </c:pt>
                <c:pt idx="6">
                  <c:v>0.65673139195383379</c:v>
                </c:pt>
                <c:pt idx="7">
                  <c:v>0.6263696991463551</c:v>
                </c:pt>
                <c:pt idx="8">
                  <c:v>0.62132585553587572</c:v>
                </c:pt>
                <c:pt idx="9">
                  <c:v>0.58444000661044815</c:v>
                </c:pt>
                <c:pt idx="10">
                  <c:v>0.57368268589574634</c:v>
                </c:pt>
                <c:pt idx="11">
                  <c:v>0.60916042759795375</c:v>
                </c:pt>
                <c:pt idx="12">
                  <c:v>0.61783222020191519</c:v>
                </c:pt>
                <c:pt idx="13">
                  <c:v>0.64952753492567028</c:v>
                </c:pt>
                <c:pt idx="14">
                  <c:v>0.6644225476646588</c:v>
                </c:pt>
                <c:pt idx="15">
                  <c:v>0.62999465868070492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3-2D4B-BA7F-4FA82C2D168D}"/>
            </c:ext>
          </c:extLst>
        </c:ser>
        <c:ser>
          <c:idx val="3"/>
          <c:order val="3"/>
          <c:tx>
            <c:strRef>
              <c:f>'CA Scaled Consumption'!$E$22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Consumption'!$E$23:$E$38</c:f>
              <c:numCache>
                <c:formatCode>General</c:formatCode>
                <c:ptCount val="16"/>
                <c:pt idx="0">
                  <c:v>0.21037216955123547</c:v>
                </c:pt>
                <c:pt idx="1">
                  <c:v>0.21672397358924164</c:v>
                </c:pt>
                <c:pt idx="2">
                  <c:v>0.21117832125807867</c:v>
                </c:pt>
                <c:pt idx="3">
                  <c:v>0.20665906820401295</c:v>
                </c:pt>
                <c:pt idx="4">
                  <c:v>0.19352889152741432</c:v>
                </c:pt>
                <c:pt idx="5">
                  <c:v>0.19936970892707398</c:v>
                </c:pt>
                <c:pt idx="6">
                  <c:v>0.19660003542184562</c:v>
                </c:pt>
                <c:pt idx="7">
                  <c:v>0.18751091625600391</c:v>
                </c:pt>
                <c:pt idx="8">
                  <c:v>0.18600098412144836</c:v>
                </c:pt>
                <c:pt idx="9">
                  <c:v>0.17495878438172022</c:v>
                </c:pt>
                <c:pt idx="10">
                  <c:v>0.17173845768580495</c:v>
                </c:pt>
                <c:pt idx="11">
                  <c:v>0.18235912446189748</c:v>
                </c:pt>
                <c:pt idx="12">
                  <c:v>0.18495512452219243</c:v>
                </c:pt>
                <c:pt idx="13">
                  <c:v>0.19444347862516609</c:v>
                </c:pt>
                <c:pt idx="14">
                  <c:v>0.19890247063920988</c:v>
                </c:pt>
                <c:pt idx="15">
                  <c:v>0.18859608925304264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3-2D4B-BA7F-4FA82C2D168D}"/>
            </c:ext>
          </c:extLst>
        </c:ser>
        <c:ser>
          <c:idx val="4"/>
          <c:order val="4"/>
          <c:tx>
            <c:strRef>
              <c:f>'CA Scaled Consumption'!$F$22</c:f>
              <c:strCache>
                <c:ptCount val="1"/>
                <c:pt idx="0">
                  <c:v>PVC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Consumption'!$F$23:$F$38</c:f>
              <c:numCache>
                <c:formatCode>General</c:formatCode>
                <c:ptCount val="16"/>
                <c:pt idx="0">
                  <c:v>0.45251506790274687</c:v>
                </c:pt>
                <c:pt idx="1">
                  <c:v>0.46617793519976014</c:v>
                </c:pt>
                <c:pt idx="2">
                  <c:v>0.45424911758783715</c:v>
                </c:pt>
                <c:pt idx="3">
                  <c:v>0.44452810692852468</c:v>
                </c:pt>
                <c:pt idx="4">
                  <c:v>0.41628481408679235</c:v>
                </c:pt>
                <c:pt idx="5">
                  <c:v>0.42884853811860085</c:v>
                </c:pt>
                <c:pt idx="6">
                  <c:v>0.42289091075296398</c:v>
                </c:pt>
                <c:pt idx="7">
                  <c:v>0.40334001965705157</c:v>
                </c:pt>
                <c:pt idx="8">
                  <c:v>0.4000921231132526</c:v>
                </c:pt>
                <c:pt idx="9">
                  <c:v>0.37634011363558345</c:v>
                </c:pt>
                <c:pt idx="10">
                  <c:v>0.36941312155017725</c:v>
                </c:pt>
                <c:pt idx="11">
                  <c:v>0.39225840454368405</c:v>
                </c:pt>
                <c:pt idx="12">
                  <c:v>0.39784245658852352</c:v>
                </c:pt>
                <c:pt idx="13">
                  <c:v>0.41825211063331269</c:v>
                </c:pt>
                <c:pt idx="14">
                  <c:v>0.42784349849757775</c:v>
                </c:pt>
                <c:pt idx="15">
                  <c:v>0.40567425014718111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3-2D4B-BA7F-4FA82C2D168D}"/>
            </c:ext>
          </c:extLst>
        </c:ser>
        <c:ser>
          <c:idx val="5"/>
          <c:order val="5"/>
          <c:tx>
            <c:strRef>
              <c:f>'CA Scaled Consumption'!$G$22</c:f>
              <c:strCache>
                <c:ptCount val="1"/>
                <c:pt idx="0">
                  <c:v>PET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Consumption'!$G$23:$G$38</c:f>
              <c:numCache>
                <c:formatCode>General</c:formatCode>
                <c:ptCount val="16"/>
                <c:pt idx="0">
                  <c:v>0.3096006381935858</c:v>
                </c:pt>
                <c:pt idx="1">
                  <c:v>0.31894846489538897</c:v>
                </c:pt>
                <c:pt idx="2">
                  <c:v>0.31078703601156676</c:v>
                </c:pt>
                <c:pt idx="3">
                  <c:v>0.30413613901943254</c:v>
                </c:pt>
                <c:pt idx="4">
                  <c:v>0.28481271288687354</c:v>
                </c:pt>
                <c:pt idx="5">
                  <c:v>0.2934085304722715</c:v>
                </c:pt>
                <c:pt idx="6">
                  <c:v>0.28933245573940281</c:v>
                </c:pt>
                <c:pt idx="7">
                  <c:v>0.27595617550060053</c:v>
                </c:pt>
                <c:pt idx="8">
                  <c:v>0.27373403768890892</c:v>
                </c:pt>
                <c:pt idx="9">
                  <c:v>0.25748344668262918</c:v>
                </c:pt>
                <c:pt idx="10">
                  <c:v>0.2527441543970857</c:v>
                </c:pt>
                <c:pt idx="11">
                  <c:v>0.26837438352356163</c:v>
                </c:pt>
                <c:pt idx="12">
                  <c:v>0.27219486641886281</c:v>
                </c:pt>
                <c:pt idx="13">
                  <c:v>0.2861586929647118</c:v>
                </c:pt>
                <c:pt idx="14">
                  <c:v>0.29272090495403025</c:v>
                </c:pt>
                <c:pt idx="15">
                  <c:v>0.27755320353501367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3-2D4B-BA7F-4FA82C2D168D}"/>
            </c:ext>
          </c:extLst>
        </c:ser>
        <c:ser>
          <c:idx val="6"/>
          <c:order val="6"/>
          <c:tx>
            <c:strRef>
              <c:f>'CA Scaled Consumption'!$H$22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Consumption'!$H$23:$H$38</c:f>
              <c:numCache>
                <c:formatCode>General</c:formatCode>
                <c:ptCount val="16"/>
                <c:pt idx="0">
                  <c:v>0.43634435596622628</c:v>
                </c:pt>
                <c:pt idx="1">
                  <c:v>0.44951897810421998</c:v>
                </c:pt>
                <c:pt idx="2">
                  <c:v>0.43801643905632293</c:v>
                </c:pt>
                <c:pt idx="3">
                  <c:v>0.42864281056006676</c:v>
                </c:pt>
                <c:pt idx="4">
                  <c:v>0.40140879715470579</c:v>
                </c:pt>
                <c:pt idx="5">
                  <c:v>0.41352355412093145</c:v>
                </c:pt>
                <c:pt idx="6">
                  <c:v>0.40777882370124896</c:v>
                </c:pt>
                <c:pt idx="7">
                  <c:v>0.38892658741362734</c:v>
                </c:pt>
                <c:pt idx="8">
                  <c:v>0.38579475506997274</c:v>
                </c:pt>
                <c:pt idx="9">
                  <c:v>0.3628915281642453</c:v>
                </c:pt>
                <c:pt idx="10">
                  <c:v>0.35621207345724915</c:v>
                </c:pt>
                <c:pt idx="11">
                  <c:v>0.37824097592201805</c:v>
                </c:pt>
                <c:pt idx="12">
                  <c:v>0.38362548080597697</c:v>
                </c:pt>
                <c:pt idx="13">
                  <c:v>0.4033057919853188</c:v>
                </c:pt>
                <c:pt idx="14">
                  <c:v>0.41255442978173895</c:v>
                </c:pt>
                <c:pt idx="15">
                  <c:v>0.39117740373365145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53-2D4B-BA7F-4FA82C2D168D}"/>
            </c:ext>
          </c:extLst>
        </c:ser>
        <c:ser>
          <c:idx val="7"/>
          <c:order val="7"/>
          <c:tx>
            <c:strRef>
              <c:f>'CA Scaled Consumption'!$I$22</c:f>
              <c:strCache>
                <c:ptCount val="1"/>
                <c:pt idx="0">
                  <c:v>Other Thermoplastics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Consumption'!$I$23:$I$38</c:f>
              <c:numCache>
                <c:formatCode>General</c:formatCode>
                <c:ptCount val="16"/>
                <c:pt idx="0">
                  <c:v>0.39556779022681782</c:v>
                </c:pt>
                <c:pt idx="1">
                  <c:v>0.40751123831991715</c:v>
                </c:pt>
                <c:pt idx="2">
                  <c:v>0.39708361644063594</c:v>
                </c:pt>
                <c:pt idx="3">
                  <c:v>0.38858595751604513</c:v>
                </c:pt>
                <c:pt idx="4">
                  <c:v>0.36389697425210216</c:v>
                </c:pt>
                <c:pt idx="5">
                  <c:v>0.37487960202473164</c:v>
                </c:pt>
                <c:pt idx="6">
                  <c:v>0.36967171910728092</c:v>
                </c:pt>
                <c:pt idx="7">
                  <c:v>0.35258123232278921</c:v>
                </c:pt>
                <c:pt idx="8">
                  <c:v>0.34974207104431443</c:v>
                </c:pt>
                <c:pt idx="9">
                  <c:v>0.3289791604387669</c:v>
                </c:pt>
                <c:pt idx="10">
                  <c:v>0.32292390361639811</c:v>
                </c:pt>
                <c:pt idx="11">
                  <c:v>0.3428941957720395</c:v>
                </c:pt>
                <c:pt idx="12">
                  <c:v>0.34777551638336424</c:v>
                </c:pt>
                <c:pt idx="13">
                  <c:v>0.36561669410858022</c:v>
                </c:pt>
                <c:pt idx="14">
                  <c:v>0.37400104276742097</c:v>
                </c:pt>
                <c:pt idx="15">
                  <c:v>0.35462170889993394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53-2D4B-BA7F-4FA82C2D168D}"/>
            </c:ext>
          </c:extLst>
        </c:ser>
        <c:ser>
          <c:idx val="8"/>
          <c:order val="8"/>
          <c:tx>
            <c:strRef>
              <c:f>'CA Scaled Consumption'!$J$22</c:f>
              <c:strCache>
                <c:ptCount val="1"/>
                <c:pt idx="0">
                  <c:v>Other Thermosets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 Scaled Consumption'!$A$23:$A$38</c:f>
              <c:numCache>
                <c:formatCode>General</c:formatCode>
                <c:ptCount val="16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</c:numCache>
            </c:numRef>
          </c:cat>
          <c:val>
            <c:numRef>
              <c:f>'CA Scaled Consumption'!$J$23:$J$38</c:f>
              <c:numCache>
                <c:formatCode>General</c:formatCode>
                <c:ptCount val="16"/>
                <c:pt idx="0">
                  <c:v>0.27335108844684741</c:v>
                </c:pt>
                <c:pt idx="1">
                  <c:v>0.28160442609647029</c:v>
                </c:pt>
                <c:pt idx="2">
                  <c:v>0.27439857703333181</c:v>
                </c:pt>
                <c:pt idx="3">
                  <c:v>0.26852639943526441</c:v>
                </c:pt>
                <c:pt idx="4">
                  <c:v>0.25146545409394855</c:v>
                </c:pt>
                <c:pt idx="5">
                  <c:v>0.25905483151503089</c:v>
                </c:pt>
                <c:pt idx="6">
                  <c:v>0.25545600345278491</c:v>
                </c:pt>
                <c:pt idx="7">
                  <c:v>0.24364588321536995</c:v>
                </c:pt>
                <c:pt idx="8">
                  <c:v>0.24168392411525663</c:v>
                </c:pt>
                <c:pt idx="9">
                  <c:v>0.22733603140615447</c:v>
                </c:pt>
                <c:pt idx="10">
                  <c:v>0.22315163853061062</c:v>
                </c:pt>
                <c:pt idx="11">
                  <c:v>0.23695180434849986</c:v>
                </c:pt>
                <c:pt idx="12">
                  <c:v>0.24032496650965196</c:v>
                </c:pt>
                <c:pt idx="13">
                  <c:v>0.25265384027251581</c:v>
                </c:pt>
                <c:pt idx="14">
                  <c:v>0.25844771653958454</c:v>
                </c:pt>
                <c:pt idx="15">
                  <c:v>0.24505592343374311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53-2D4B-BA7F-4FA82C2D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716639"/>
        <c:axId val="1202235071"/>
      </c:lineChart>
      <c:dateAx>
        <c:axId val="12017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35071"/>
        <c:crosses val="autoZero"/>
        <c:auto val="0"/>
        <c:lblOffset val="100"/>
        <c:baseTimeUnit val="days"/>
      </c:dateAx>
      <c:valAx>
        <c:axId val="12022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514633</xdr:colOff>
      <xdr:row>0</xdr:row>
      <xdr:rowOff>163772</xdr:rowOff>
    </xdr:from>
    <xdr:to>
      <xdr:col>19</xdr:col>
      <xdr:colOff>511790</xdr:colOff>
      <xdr:row>19</xdr:row>
      <xdr:rowOff>18954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1DE87-53DE-1F53-85FF-7566A1C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502314</xdr:colOff>
      <xdr:row>20</xdr:row>
      <xdr:rowOff>28433</xdr:rowOff>
    </xdr:from>
    <xdr:to>
      <xdr:col>19</xdr:col>
      <xdr:colOff>499471</xdr:colOff>
      <xdr:row>38</xdr:row>
      <xdr:rowOff>82645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CE31F-BC4D-F540-A1BE-3275B06DF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leanor/Documents/CA-MFA/20230227%20Global%20EoL%20Treatment%20v29_2%20Constant%20Consumption%20DataAnalysis%20Clean_OG.xlsx" TargetMode="External"/><Relationship Id="rId1" Type="http://schemas.openxmlformats.org/officeDocument/2006/relationships/externalLinkPath" Target="20230227%20Global%20EoL%20Treatment%20v29_2%20Constant%20Consumption%20DataAnalysis%20Clean_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L"/>
      <sheetName val="Prdct Cnsmp"/>
      <sheetName val="S1 BAU GDP"/>
      <sheetName val="S2 50% Recycling"/>
      <sheetName val="S3 90% Package Recycle"/>
      <sheetName val="S4 Ultimate Package Replace"/>
      <sheetName val="Trade"/>
      <sheetName val="1950~2004"/>
      <sheetName val="Lifetime"/>
      <sheetName val="Additives"/>
      <sheetName val="China"/>
      <sheetName val="NAFTA"/>
      <sheetName val="Europe"/>
      <sheetName val="Rest of World"/>
      <sheetName val="Fiber Fabric"/>
      <sheetName val="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0">
          <cell r="C90">
            <v>127.25794467321923</v>
          </cell>
          <cell r="D90">
            <v>25.816045405828778</v>
          </cell>
          <cell r="E90">
            <v>654.03346612738574</v>
          </cell>
          <cell r="F90">
            <v>94.204447333475855</v>
          </cell>
          <cell r="G90">
            <v>176.63454519160368</v>
          </cell>
          <cell r="I90">
            <v>2404.5753150955134</v>
          </cell>
        </row>
        <row r="93">
          <cell r="C93">
            <v>724.15464042584006</v>
          </cell>
          <cell r="D93">
            <v>346.59173240018373</v>
          </cell>
          <cell r="E93">
            <v>1047.8541246549216</v>
          </cell>
          <cell r="F93">
            <v>38.234048523169456</v>
          </cell>
          <cell r="G93">
            <v>520.45744754016141</v>
          </cell>
          <cell r="I93">
            <v>1621.0218677168509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D538-C55B-3D40-BE81-1F905DBC5AC5}">
  <dimension ref="A1:AT154"/>
  <sheetViews>
    <sheetView topLeftCell="O1" zoomScale="114" workbookViewId="0">
      <selection activeCell="P1" sqref="P1:Y2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0.5" bestFit="1" customWidth="1"/>
    <col min="5" max="5" width="24.1640625" bestFit="1" customWidth="1"/>
    <col min="6" max="6" width="53.5" bestFit="1" customWidth="1"/>
    <col min="7" max="7" width="52.5" bestFit="1" customWidth="1"/>
    <col min="8" max="8" width="51.1640625" bestFit="1" customWidth="1"/>
    <col min="9" max="9" width="38.83203125" bestFit="1" customWidth="1"/>
    <col min="10" max="10" width="52.83203125" bestFit="1" customWidth="1"/>
    <col min="11" max="11" width="79" bestFit="1" customWidth="1"/>
    <col min="12" max="12" width="23.5" bestFit="1" customWidth="1"/>
    <col min="13" max="13" width="88.33203125" bestFit="1" customWidth="1"/>
    <col min="14" max="14" width="27.5" bestFit="1" customWidth="1"/>
    <col min="16" max="16" width="5.1640625" bestFit="1" customWidth="1"/>
    <col min="17" max="17" width="11.33203125" bestFit="1" customWidth="1"/>
    <col min="24" max="24" width="19" bestFit="1" customWidth="1"/>
    <col min="25" max="25" width="16" bestFit="1" customWidth="1"/>
    <col min="27" max="27" width="5.1640625" bestFit="1" customWidth="1"/>
    <col min="28" max="28" width="14.1640625" bestFit="1" customWidth="1"/>
    <col min="30" max="30" width="23.83203125" bestFit="1" customWidth="1"/>
    <col min="31" max="31" width="18.6640625" bestFit="1" customWidth="1"/>
    <col min="32" max="32" width="26.1640625" bestFit="1" customWidth="1"/>
    <col min="33" max="33" width="10.1640625" bestFit="1" customWidth="1"/>
    <col min="34" max="34" width="7.6640625" bestFit="1" customWidth="1"/>
    <col min="35" max="35" width="6.6640625" bestFit="1" customWidth="1"/>
  </cols>
  <sheetData>
    <row r="1" spans="1:35" x14ac:dyDescent="0.2">
      <c r="A1" s="25"/>
      <c r="B1" s="146" t="s">
        <v>4</v>
      </c>
      <c r="C1" s="147"/>
      <c r="D1" s="148"/>
      <c r="E1" s="34" t="s">
        <v>18</v>
      </c>
      <c r="F1" s="34" t="s">
        <v>19</v>
      </c>
      <c r="G1" s="34" t="s">
        <v>20</v>
      </c>
      <c r="H1" s="34" t="s">
        <v>21</v>
      </c>
      <c r="I1" s="34" t="s">
        <v>66</v>
      </c>
      <c r="J1" s="34" t="s">
        <v>80</v>
      </c>
      <c r="K1" s="34" t="s">
        <v>81</v>
      </c>
      <c r="L1" s="34" t="s">
        <v>82</v>
      </c>
      <c r="M1" s="34" t="s">
        <v>83</v>
      </c>
      <c r="N1" s="34" t="s">
        <v>243</v>
      </c>
      <c r="P1" s="58"/>
      <c r="Q1" s="149" t="s">
        <v>288</v>
      </c>
      <c r="R1" s="149"/>
      <c r="S1" s="149"/>
      <c r="T1" s="149"/>
      <c r="U1" s="149"/>
      <c r="V1" s="149"/>
      <c r="W1" s="149"/>
      <c r="X1" s="149"/>
      <c r="Y1" s="150"/>
      <c r="AA1" s="58"/>
      <c r="AB1" s="149" t="s">
        <v>189</v>
      </c>
      <c r="AC1" s="149"/>
      <c r="AD1" s="149"/>
      <c r="AE1" s="149"/>
      <c r="AF1" s="149"/>
      <c r="AG1" s="149"/>
      <c r="AH1" s="149"/>
      <c r="AI1" s="150"/>
    </row>
    <row r="2" spans="1:35" x14ac:dyDescent="0.2">
      <c r="A2" s="26" t="s">
        <v>0</v>
      </c>
      <c r="B2" s="29" t="s">
        <v>1</v>
      </c>
      <c r="C2" s="29" t="s">
        <v>2</v>
      </c>
      <c r="D2" s="29" t="s">
        <v>2</v>
      </c>
      <c r="E2" s="35" t="s">
        <v>2</v>
      </c>
      <c r="F2" s="35" t="s">
        <v>2</v>
      </c>
      <c r="G2" s="35" t="s">
        <v>2</v>
      </c>
      <c r="H2" s="35" t="s">
        <v>2</v>
      </c>
      <c r="I2" s="35" t="s">
        <v>2</v>
      </c>
      <c r="J2" s="35" t="s">
        <v>2</v>
      </c>
      <c r="K2" s="35" t="s">
        <v>2</v>
      </c>
      <c r="L2" s="35" t="s">
        <v>2</v>
      </c>
      <c r="M2" s="35" t="s">
        <v>2</v>
      </c>
      <c r="N2" s="35"/>
      <c r="P2" s="59" t="s">
        <v>0</v>
      </c>
      <c r="Q2" s="59" t="s">
        <v>183</v>
      </c>
      <c r="R2" s="59" t="s">
        <v>87</v>
      </c>
      <c r="S2" s="59" t="s">
        <v>88</v>
      </c>
      <c r="T2" s="59" t="s">
        <v>89</v>
      </c>
      <c r="U2" s="59" t="s">
        <v>90</v>
      </c>
      <c r="V2" s="59" t="s">
        <v>91</v>
      </c>
      <c r="W2" s="59" t="s">
        <v>92</v>
      </c>
      <c r="X2" s="59" t="s">
        <v>184</v>
      </c>
      <c r="Y2" s="59" t="s">
        <v>185</v>
      </c>
      <c r="AA2" s="59" t="s">
        <v>0</v>
      </c>
      <c r="AB2" s="25" t="s">
        <v>39</v>
      </c>
      <c r="AC2" s="25" t="s">
        <v>40</v>
      </c>
      <c r="AD2" s="25" t="s">
        <v>41</v>
      </c>
      <c r="AE2" s="25" t="s">
        <v>42</v>
      </c>
      <c r="AF2" s="25" t="s">
        <v>43</v>
      </c>
      <c r="AG2" s="25" t="s">
        <v>44</v>
      </c>
      <c r="AH2" s="25" t="s">
        <v>187</v>
      </c>
      <c r="AI2" s="25" t="s">
        <v>188</v>
      </c>
    </row>
    <row r="3" spans="1:35" x14ac:dyDescent="0.2">
      <c r="A3" s="27"/>
      <c r="B3" s="27"/>
      <c r="C3" s="27" t="s">
        <v>17</v>
      </c>
      <c r="D3" s="30" t="s">
        <v>3</v>
      </c>
      <c r="E3" s="30" t="s">
        <v>3</v>
      </c>
      <c r="F3" s="30" t="s">
        <v>3</v>
      </c>
      <c r="G3" s="30" t="s">
        <v>3</v>
      </c>
      <c r="H3" s="30" t="s">
        <v>3</v>
      </c>
      <c r="I3" s="30" t="s">
        <v>3</v>
      </c>
      <c r="J3" s="30" t="s">
        <v>3</v>
      </c>
      <c r="K3" s="30" t="s">
        <v>3</v>
      </c>
      <c r="L3" s="30" t="s">
        <v>3</v>
      </c>
      <c r="M3" s="30" t="s">
        <v>3</v>
      </c>
      <c r="N3" s="30"/>
      <c r="P3" s="26">
        <v>2021</v>
      </c>
      <c r="Q3" s="27"/>
      <c r="R3" s="27"/>
      <c r="S3" s="27"/>
      <c r="T3" s="27"/>
      <c r="U3" s="27"/>
      <c r="V3" s="27"/>
      <c r="W3" s="27"/>
      <c r="X3" s="27"/>
      <c r="Y3" s="27"/>
      <c r="AA3" s="26">
        <v>2021</v>
      </c>
      <c r="AB3" s="61"/>
      <c r="AC3" s="61"/>
      <c r="AD3" s="61"/>
      <c r="AE3" s="61"/>
      <c r="AF3" s="61"/>
      <c r="AG3" s="61"/>
      <c r="AH3" s="61"/>
      <c r="AI3" s="61"/>
    </row>
    <row r="4" spans="1:35" x14ac:dyDescent="0.2">
      <c r="A4" s="26">
        <v>2021</v>
      </c>
      <c r="B4" s="27"/>
      <c r="C4" s="27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P4" s="26">
        <v>2020</v>
      </c>
      <c r="Q4" s="56">
        <f>$G5*NAFTA!C$13</f>
        <v>14.473258068061895</v>
      </c>
      <c r="R4" s="56">
        <f>$G5*NAFTA!D$13</f>
        <v>9.6309560042060678</v>
      </c>
      <c r="S4" s="56">
        <f>$G5*NAFTA!E$13</f>
        <v>8.8589524364204006</v>
      </c>
      <c r="T4" s="56">
        <f>$G5*NAFTA!F$13</f>
        <v>2.6520284916167531</v>
      </c>
      <c r="U4" s="56">
        <f>$G5*NAFTA!G$13</f>
        <v>5.7045704074069459</v>
      </c>
      <c r="V4" s="56">
        <f>$G5*NAFTA!H$13</f>
        <v>3.9029388500561644</v>
      </c>
      <c r="W4" s="56">
        <f>$G5*NAFTA!I$13</f>
        <v>5.5007164999397071</v>
      </c>
      <c r="X4" s="56">
        <f>$G5*NAFTA!J$13</f>
        <v>4.9866722023414098</v>
      </c>
      <c r="Y4" s="56">
        <f>$G5*NAFTA!K$13</f>
        <v>3.4459637713577642</v>
      </c>
      <c r="AA4" s="26">
        <v>2020</v>
      </c>
      <c r="AB4" s="31">
        <f>$G5*NAFTA!$L$6</f>
        <v>4.4335152841811407</v>
      </c>
      <c r="AC4" s="31">
        <f>$G5*NAFTA!$L$7</f>
        <v>23.202448522527572</v>
      </c>
      <c r="AD4" s="31">
        <f>$G5*NAFTA!$L$8</f>
        <v>10.486117223163928</v>
      </c>
      <c r="AE4" s="31">
        <f>$G5*NAFTA!$L$9</f>
        <v>2.6575923951224762</v>
      </c>
      <c r="AF4" s="31">
        <f>$G5*NAFTA!$L$10</f>
        <v>13.697466391158382</v>
      </c>
      <c r="AG4" s="31">
        <f>$G5*NAFTA!$L$11</f>
        <v>0.45348760506996111</v>
      </c>
      <c r="AH4" s="31">
        <f t="shared" ref="AH4:AH19" si="0">E5</f>
        <v>2.9837415294558709</v>
      </c>
      <c r="AI4" s="31">
        <f>$G5*NAFTA!$L$12</f>
        <v>4.2254293101836522</v>
      </c>
    </row>
    <row r="5" spans="1:35" x14ac:dyDescent="0.2">
      <c r="A5" s="26">
        <v>2020</v>
      </c>
      <c r="B5" s="76">
        <v>365.88470960652808</v>
      </c>
      <c r="C5" s="76">
        <v>0.19057915832281583</v>
      </c>
      <c r="D5" s="31">
        <f>B5*C5</f>
        <v>69.73</v>
      </c>
      <c r="E5" s="31">
        <f>'Fiber Fabric'!M4</f>
        <v>2.9837415294558709</v>
      </c>
      <c r="F5" s="31">
        <v>-10.573943268592913</v>
      </c>
      <c r="G5" s="31">
        <f>F5+D5</f>
        <v>59.156056731407091</v>
      </c>
      <c r="H5" s="31">
        <f>G5+G5*SUM(Additives!$D$6:$P$12)</f>
        <v>64.163836961883618</v>
      </c>
      <c r="I5" s="31">
        <f>Trade!K7</f>
        <v>8.4242225279171183</v>
      </c>
      <c r="J5" s="31">
        <f>Trade!K30</f>
        <v>6.2933960783545499</v>
      </c>
      <c r="K5" s="31">
        <f t="shared" ref="K5:K20" si="1">H5+I5+J5</f>
        <v>78.881455568155289</v>
      </c>
      <c r="L5" s="31">
        <f>Trade!I30</f>
        <v>6.5451822607732941</v>
      </c>
      <c r="M5" s="31">
        <f>E5+H5+I5+J5+L5</f>
        <v>88.410379358384446</v>
      </c>
      <c r="N5" s="31">
        <f>G5*Additives!$R$12</f>
        <v>5.0077802304765306</v>
      </c>
      <c r="P5" s="26">
        <v>2019</v>
      </c>
      <c r="Q5" s="56">
        <f>$G6*NAFTA!C$13</f>
        <v>14.840009808309228</v>
      </c>
      <c r="R5" s="56">
        <f>$G6*NAFTA!D$13</f>
        <v>9.8750040173194744</v>
      </c>
      <c r="S5" s="56">
        <f>$G6*NAFTA!E$13</f>
        <v>9.0834379121541033</v>
      </c>
      <c r="T5" s="56">
        <f>$G6*NAFTA!F$13</f>
        <v>2.7192307801347937</v>
      </c>
      <c r="U5" s="56">
        <f>$G6*NAFTA!G$13</f>
        <v>5.8491239774767498</v>
      </c>
      <c r="V5" s="56">
        <f>$G6*NAFTA!H$13</f>
        <v>4.001839153540403</v>
      </c>
      <c r="W5" s="56">
        <f>$G6*NAFTA!I$13</f>
        <v>5.6401044207156028</v>
      </c>
      <c r="X5" s="56">
        <f>$G6*NAFTA!J$13</f>
        <v>5.1130342626080942</v>
      </c>
      <c r="Y5" s="56">
        <f>$G6*NAFTA!K$13</f>
        <v>3.5332843458981698</v>
      </c>
      <c r="AA5" s="26">
        <v>2019</v>
      </c>
      <c r="AB5" s="31">
        <f>$G6*NAFTA!$L$6</f>
        <v>4.5458603718068966</v>
      </c>
      <c r="AC5" s="31">
        <f>$G6*NAFTA!$L$7</f>
        <v>23.790397575437375</v>
      </c>
      <c r="AD5" s="31">
        <f>$G6*NAFTA!$L$8</f>
        <v>10.751834984980077</v>
      </c>
      <c r="AE5" s="31">
        <f>$G6*NAFTA!$L$9</f>
        <v>2.724935672717316</v>
      </c>
      <c r="AF5" s="31">
        <f>$G6*NAFTA!$L$10</f>
        <v>14.04455960350303</v>
      </c>
      <c r="AG5" s="31">
        <f>$G6*NAFTA!$L$11</f>
        <v>0.46497896158125113</v>
      </c>
      <c r="AH5" s="31">
        <f t="shared" si="0"/>
        <v>2.9875199949492912</v>
      </c>
      <c r="AI5" s="31">
        <f>$G6*NAFTA!$L$12</f>
        <v>4.3325015081306804</v>
      </c>
    </row>
    <row r="6" spans="1:35" ht="17" customHeight="1" x14ac:dyDescent="0.2">
      <c r="A6" s="26">
        <v>2019</v>
      </c>
      <c r="B6" s="76">
        <v>361.43335174419457</v>
      </c>
      <c r="C6" s="76">
        <v>0.1934519868257373</v>
      </c>
      <c r="D6" s="31">
        <f t="shared" ref="D6:D20" si="2">B6*C6</f>
        <v>69.92</v>
      </c>
      <c r="E6" s="31">
        <f>'Fiber Fabric'!M5</f>
        <v>2.9875199949492912</v>
      </c>
      <c r="F6" s="31">
        <v>-9.2649313218433971</v>
      </c>
      <c r="G6" s="31">
        <f t="shared" ref="G6:G20" si="3">F6+D6</f>
        <v>60.655068678156603</v>
      </c>
      <c r="H6" s="31">
        <f>G6+G6*SUM(Additives!$D$6:$P$12)</f>
        <v>65.789745845429721</v>
      </c>
      <c r="I6" s="31">
        <f>Trade!K8</f>
        <v>7.1173440621139115</v>
      </c>
      <c r="J6" s="31">
        <f>Trade!K31</f>
        <v>2.7578750803153862</v>
      </c>
      <c r="K6" s="31">
        <f t="shared" si="1"/>
        <v>75.664964987859022</v>
      </c>
      <c r="L6" s="31">
        <f>Trade!I31</f>
        <v>4.630515567092087</v>
      </c>
      <c r="M6" s="31">
        <f>E6+H6+I6+J6+L6</f>
        <v>83.283000549900407</v>
      </c>
      <c r="N6" s="31">
        <f>G6*Additives!$R$12</f>
        <v>5.1346771672731126</v>
      </c>
      <c r="P6" s="26">
        <v>2018</v>
      </c>
      <c r="Q6" s="56">
        <f>$G7*NAFTA!C$13</f>
        <v>14.382657652502656</v>
      </c>
      <c r="R6" s="56">
        <f>$G7*NAFTA!D$13</f>
        <v>9.5706676702241484</v>
      </c>
      <c r="S6" s="56">
        <f>$G7*NAFTA!E$13</f>
        <v>8.8034967284944585</v>
      </c>
      <c r="T6" s="56">
        <f>$G7*NAFTA!F$13</f>
        <v>2.6354271927049595</v>
      </c>
      <c r="U6" s="56">
        <f>$G7*NAFTA!G$13</f>
        <v>5.6688606558729422</v>
      </c>
      <c r="V6" s="56">
        <f>$G7*NAFTA!H$13</f>
        <v>3.878507040711336</v>
      </c>
      <c r="W6" s="56">
        <f>$G7*NAFTA!I$13</f>
        <v>5.4662828431621877</v>
      </c>
      <c r="X6" s="56">
        <f>$G7*NAFTA!J$13</f>
        <v>4.9554563854420479</v>
      </c>
      <c r="Y6" s="56">
        <f>$G7*NAFTA!K$13</f>
        <v>3.4243925571764846</v>
      </c>
      <c r="AA6" s="26">
        <v>2018</v>
      </c>
      <c r="AB6" s="31">
        <f>$G7*NAFTA!$L$6</f>
        <v>4.4057621462735517</v>
      </c>
      <c r="AC6" s="31">
        <f>$G7*NAFTA!$L$7</f>
        <v>23.057204689504811</v>
      </c>
      <c r="AD6" s="31">
        <f>$G7*NAFTA!$L$8</f>
        <v>10.420475708754811</v>
      </c>
      <c r="AE6" s="31">
        <f>$G7*NAFTA!$L$9</f>
        <v>2.6409562670127662</v>
      </c>
      <c r="AF6" s="31">
        <f>$G7*NAFTA!$L$10</f>
        <v>13.611722314647636</v>
      </c>
      <c r="AG6" s="31">
        <f>$G7*NAFTA!$L$11</f>
        <v>0.45064884096604679</v>
      </c>
      <c r="AH6" s="31">
        <f t="shared" si="0"/>
        <v>2.8612865189885652</v>
      </c>
      <c r="AI6" s="31">
        <f>$G7*NAFTA!$L$12</f>
        <v>4.1989787591315979</v>
      </c>
    </row>
    <row r="7" spans="1:35" x14ac:dyDescent="0.2">
      <c r="A7" s="26">
        <v>2018</v>
      </c>
      <c r="B7" s="76">
        <v>345.73087698078768</v>
      </c>
      <c r="C7" s="76">
        <v>0.18690838540172086</v>
      </c>
      <c r="D7" s="31">
        <f t="shared" si="2"/>
        <v>64.62</v>
      </c>
      <c r="E7" s="31">
        <f>'Fiber Fabric'!M6</f>
        <v>2.8612865189885652</v>
      </c>
      <c r="F7" s="31">
        <v>-5.8342512737088015</v>
      </c>
      <c r="G7" s="31">
        <f t="shared" si="3"/>
        <v>58.785748726291203</v>
      </c>
      <c r="H7" s="31">
        <f>G7+G7*SUM(Additives!$D$6:$P$12)</f>
        <v>63.762181006791515</v>
      </c>
      <c r="I7" s="31">
        <f>Trade!K9</f>
        <v>6.456942384749107</v>
      </c>
      <c r="J7" s="31">
        <f>Trade!K32</f>
        <v>2.901142898120332</v>
      </c>
      <c r="K7" s="31">
        <f t="shared" si="1"/>
        <v>73.120266289660947</v>
      </c>
      <c r="L7" s="31">
        <f>Trade!I32</f>
        <v>5.7400581185605244</v>
      </c>
      <c r="M7" s="31">
        <f t="shared" ref="M7:M20" si="4">E7+H7+I7+J7+L7</f>
        <v>81.721610927210051</v>
      </c>
      <c r="N7" s="31">
        <f>G7*Additives!$R$12</f>
        <v>4.9764322805003118</v>
      </c>
      <c r="P7" s="26">
        <v>2017</v>
      </c>
      <c r="Q7" s="56">
        <f>$G8*NAFTA!C$13</f>
        <v>14.019882452335551</v>
      </c>
      <c r="R7" s="56">
        <f>$G8*NAFTA!D$13</f>
        <v>9.3292657705415643</v>
      </c>
      <c r="S7" s="56">
        <f>$G8*NAFTA!E$13</f>
        <v>8.5814452575485234</v>
      </c>
      <c r="T7" s="56">
        <f>$G8*NAFTA!F$13</f>
        <v>2.5689535512918922</v>
      </c>
      <c r="U7" s="56">
        <f>$G8*NAFTA!G$13</f>
        <v>5.5258744214202373</v>
      </c>
      <c r="V7" s="56">
        <f>$G8*NAFTA!H$13</f>
        <v>3.7806790730270223</v>
      </c>
      <c r="W7" s="56">
        <f>$G8*NAFTA!I$13</f>
        <v>5.3284062489672959</v>
      </c>
      <c r="X7" s="56">
        <f>$G8*NAFTA!J$13</f>
        <v>4.8304644176442677</v>
      </c>
      <c r="Y7" s="56">
        <f>$G8*NAFTA!K$13</f>
        <v>3.338018764140795</v>
      </c>
      <c r="AA7" s="26">
        <v>2017</v>
      </c>
      <c r="AB7" s="31">
        <f>$G8*NAFTA!$L$6</f>
        <v>4.2946351707785233</v>
      </c>
      <c r="AC7" s="31">
        <f>$G8*NAFTA!$L$7</f>
        <v>22.475630529247056</v>
      </c>
      <c r="AD7" s="31">
        <f>$G8*NAFTA!$L$8</f>
        <v>10.157639016648593</v>
      </c>
      <c r="AE7" s="31">
        <f>$G8*NAFTA!$L$9</f>
        <v>2.5743431652101645</v>
      </c>
      <c r="AF7" s="31">
        <f>$G8*NAFTA!$L$10</f>
        <v>13.268392492953931</v>
      </c>
      <c r="AG7" s="31">
        <f>$G8*NAFTA!$L$11</f>
        <v>0.43928208056359191</v>
      </c>
      <c r="AH7" s="31">
        <f t="shared" si="0"/>
        <v>2.9992585871777737</v>
      </c>
      <c r="AI7" s="31">
        <f>$G8*NAFTA!$L$12</f>
        <v>4.0930675015152884</v>
      </c>
    </row>
    <row r="8" spans="1:35" x14ac:dyDescent="0.2">
      <c r="A8" s="26">
        <v>2017</v>
      </c>
      <c r="B8" s="76">
        <v>339.01611935163277</v>
      </c>
      <c r="C8" s="76">
        <v>0.18169047571484845</v>
      </c>
      <c r="D8" s="31">
        <f t="shared" si="2"/>
        <v>61.595999999999997</v>
      </c>
      <c r="E8" s="31">
        <f>'Fiber Fabric'!M7</f>
        <v>2.9992585871777737</v>
      </c>
      <c r="F8" s="31">
        <v>-4.293010043082865</v>
      </c>
      <c r="G8" s="31">
        <f t="shared" si="3"/>
        <v>57.302989956917131</v>
      </c>
      <c r="H8" s="31">
        <f>G8+G8*SUM(Additives!$D$6:$P$12)</f>
        <v>62.153901192538619</v>
      </c>
      <c r="I8" s="31">
        <f>Trade!K10</f>
        <v>5.8633608610008601</v>
      </c>
      <c r="J8" s="31">
        <f>Trade!K33</f>
        <v>2.8889167834799925</v>
      </c>
      <c r="K8" s="31">
        <f t="shared" si="1"/>
        <v>70.906178837019482</v>
      </c>
      <c r="L8" s="31">
        <f>Trade!I33</f>
        <v>5.7040119562590164</v>
      </c>
      <c r="M8" s="31">
        <f t="shared" si="4"/>
        <v>79.609449380456255</v>
      </c>
      <c r="N8" s="31">
        <f>G8*Additives!$R$12</f>
        <v>4.8509112356214876</v>
      </c>
      <c r="P8" s="26">
        <v>2016</v>
      </c>
      <c r="Q8" s="56">
        <f>$G9*NAFTA!C$13</f>
        <v>13.095389432766297</v>
      </c>
      <c r="R8" s="56">
        <f>$G9*NAFTA!D$13</f>
        <v>8.7140793656701554</v>
      </c>
      <c r="S8" s="56">
        <f>$G9*NAFTA!E$13</f>
        <v>8.0155713092189735</v>
      </c>
      <c r="T8" s="56">
        <f>$G9*NAFTA!F$13</f>
        <v>2.3995527282934543</v>
      </c>
      <c r="U8" s="56">
        <f>$G9*NAFTA!G$13</f>
        <v>5.1614896024328099</v>
      </c>
      <c r="V8" s="56">
        <f>$G9*NAFTA!H$13</f>
        <v>3.5313751702212768</v>
      </c>
      <c r="W8" s="56">
        <f>$G9*NAFTA!I$13</f>
        <v>4.9770427907252595</v>
      </c>
      <c r="X8" s="56">
        <f>$G9*NAFTA!J$13</f>
        <v>4.5119360240880262</v>
      </c>
      <c r="Y8" s="56">
        <f>$G9*NAFTA!K$13</f>
        <v>3.1179045757992752</v>
      </c>
      <c r="AA8" s="26">
        <v>2016</v>
      </c>
      <c r="AB8" s="31">
        <f>$G9*NAFTA!$L$6</f>
        <v>4.0114401974626137</v>
      </c>
      <c r="AC8" s="31">
        <f>$G9*NAFTA!$L$7</f>
        <v>20.993552230420445</v>
      </c>
      <c r="AD8" s="31">
        <f>$G9*NAFTA!$L$8</f>
        <v>9.4878283817790017</v>
      </c>
      <c r="AE8" s="31">
        <f>$G9*NAFTA!$L$9</f>
        <v>2.4045869426238515</v>
      </c>
      <c r="AF8" s="31">
        <f>$G9*NAFTA!$L$10</f>
        <v>12.393453898971815</v>
      </c>
      <c r="AG8" s="31">
        <f>$G9*NAFTA!$L$11</f>
        <v>0.4103151317690073</v>
      </c>
      <c r="AH8" s="31">
        <f t="shared" si="0"/>
        <v>3</v>
      </c>
      <c r="AI8" s="31">
        <f>$G9*NAFTA!$L$12</f>
        <v>3.8231642161887929</v>
      </c>
    </row>
    <row r="9" spans="1:35" x14ac:dyDescent="0.2">
      <c r="A9" s="26">
        <v>2016</v>
      </c>
      <c r="B9" s="76">
        <v>329.52001059704895</v>
      </c>
      <c r="C9" s="76">
        <v>0.18299343912603047</v>
      </c>
      <c r="D9" s="31">
        <f t="shared" si="2"/>
        <v>60.29999999999999</v>
      </c>
      <c r="E9" s="31">
        <f>'Fiber Fabric'!M8</f>
        <v>3</v>
      </c>
      <c r="F9" s="31">
        <v>-6.7756590007844828</v>
      </c>
      <c r="G9" s="31">
        <f t="shared" si="3"/>
        <v>53.524340999215511</v>
      </c>
      <c r="H9" s="31">
        <f>G9+G9*SUM(Additives!$D$6:$P$12)</f>
        <v>58.055375546060979</v>
      </c>
      <c r="I9" s="31">
        <f>Trade!K11</f>
        <v>3.0455609904573544</v>
      </c>
      <c r="J9" s="31">
        <f>Trade!K34</f>
        <v>2.4835308427315157</v>
      </c>
      <c r="K9" s="31">
        <f t="shared" si="1"/>
        <v>63.584467379249851</v>
      </c>
      <c r="L9" s="31">
        <f>Trade!I34</f>
        <v>5.181808186681546</v>
      </c>
      <c r="M9" s="31">
        <f>E9+H9+I9+J9+L9</f>
        <v>71.766275565931394</v>
      </c>
      <c r="N9" s="31">
        <f>G9*Additives!$R$12</f>
        <v>4.5310345468454676</v>
      </c>
      <c r="P9" s="26">
        <v>2015</v>
      </c>
      <c r="Q9" s="56">
        <f>$G10*NAFTA!C$13</f>
        <v>13.451380267646591</v>
      </c>
      <c r="R9" s="56">
        <f>$G10*NAFTA!D$13</f>
        <v>8.950966737712422</v>
      </c>
      <c r="S9" s="56">
        <f>$G10*NAFTA!E$13</f>
        <v>8.2334701305607556</v>
      </c>
      <c r="T9" s="56">
        <f>$G10*NAFTA!F$13</f>
        <v>2.4647832266661958</v>
      </c>
      <c r="U9" s="56">
        <f>$G10*NAFTA!G$13</f>
        <v>5.3018018094297634</v>
      </c>
      <c r="V9" s="56">
        <f>$G10*NAFTA!H$13</f>
        <v>3.6273736284249787</v>
      </c>
      <c r="W9" s="56">
        <f>$G10*NAFTA!I$13</f>
        <v>5.1123409143436396</v>
      </c>
      <c r="X9" s="56">
        <f>$G10*NAFTA!J$13</f>
        <v>4.6345904804818652</v>
      </c>
      <c r="Y9" s="56">
        <f>$G10*NAFTA!K$13</f>
        <v>3.2026630672297518</v>
      </c>
      <c r="AA9" s="26">
        <v>2015</v>
      </c>
      <c r="AB9" s="31">
        <f>$G10*NAFTA!$L$6</f>
        <v>4.1204889548362562</v>
      </c>
      <c r="AC9" s="31">
        <f>$G10*NAFTA!$L$7</f>
        <v>21.564250201945509</v>
      </c>
      <c r="AD9" s="31">
        <f>$G10*NAFTA!$L$8</f>
        <v>9.7457496879128502</v>
      </c>
      <c r="AE9" s="31">
        <f>$G10*NAFTA!$L$9</f>
        <v>2.4699542932965302</v>
      </c>
      <c r="AF9" s="31">
        <f>$G10*NAFTA!$L$10</f>
        <v>12.730363009097717</v>
      </c>
      <c r="AG9" s="31">
        <f>$G10*NAFTA!$L$11</f>
        <v>0.4214693190554874</v>
      </c>
      <c r="AH9" s="31">
        <f t="shared" si="0"/>
        <v>2.9863005003357914</v>
      </c>
      <c r="AI9" s="31">
        <f>$G10*NAFTA!$L$12</f>
        <v>3.927094796351617</v>
      </c>
    </row>
    <row r="10" spans="1:35" x14ac:dyDescent="0.2">
      <c r="A10" s="26">
        <v>2015</v>
      </c>
      <c r="B10" s="76">
        <v>318.63525706271042</v>
      </c>
      <c r="C10" s="76">
        <v>0.18695357365389123</v>
      </c>
      <c r="D10" s="31">
        <f t="shared" si="2"/>
        <v>59.57</v>
      </c>
      <c r="E10" s="31">
        <f>'Fiber Fabric'!M9</f>
        <v>2.9863005003357914</v>
      </c>
      <c r="F10" s="31">
        <v>-4.5906297375040497</v>
      </c>
      <c r="G10" s="31">
        <f t="shared" si="3"/>
        <v>54.979370262495948</v>
      </c>
      <c r="H10" s="31">
        <f>G10+G10*SUM(Additives!$D$6:$P$12)</f>
        <v>59.633578448390821</v>
      </c>
      <c r="I10" s="31">
        <f>Trade!K12</f>
        <v>4.2085369849426018</v>
      </c>
      <c r="J10" s="31">
        <f>Trade!K35</f>
        <v>6.2062951735613252</v>
      </c>
      <c r="K10" s="31">
        <f t="shared" si="1"/>
        <v>70.048410606894748</v>
      </c>
      <c r="L10" s="31">
        <f>Trade!I35</f>
        <v>5.611349413613973</v>
      </c>
      <c r="M10" s="31">
        <f t="shared" si="4"/>
        <v>78.646060520844529</v>
      </c>
      <c r="N10" s="31">
        <f>G10*Additives!$R$12</f>
        <v>4.6542081858948752</v>
      </c>
      <c r="P10" s="26">
        <v>2014</v>
      </c>
      <c r="Q10" s="56">
        <f>$G11*NAFTA!C$13</f>
        <v>13.251219389957189</v>
      </c>
      <c r="R10" s="56">
        <f>$G11*NAFTA!D$13</f>
        <v>8.8177734651455584</v>
      </c>
      <c r="S10" s="56">
        <f>$G11*NAFTA!E$13</f>
        <v>8.1109534389669307</v>
      </c>
      <c r="T10" s="56">
        <f>$G11*NAFTA!F$13</f>
        <v>2.4281064571342061</v>
      </c>
      <c r="U10" s="56">
        <f>$G11*NAFTA!G$13</f>
        <v>5.2229092881869308</v>
      </c>
      <c r="V10" s="56">
        <f>$G11*NAFTA!H$13</f>
        <v>3.5733971386725285</v>
      </c>
      <c r="W10" s="56">
        <f>$G11*NAFTA!I$13</f>
        <v>5.0362676323382454</v>
      </c>
      <c r="X10" s="56">
        <f>$G11*NAFTA!J$13</f>
        <v>4.5656262790507736</v>
      </c>
      <c r="Y10" s="56">
        <f>$G11*NAFTA!K$13</f>
        <v>3.1550064076360895</v>
      </c>
      <c r="AA10" s="26">
        <v>2014</v>
      </c>
      <c r="AB10" s="31">
        <f>$G11*NAFTA!$L$6</f>
        <v>4.0591747499517776</v>
      </c>
      <c r="AC10" s="31">
        <f>$G11*NAFTA!$L$7</f>
        <v>21.24336720248731</v>
      </c>
      <c r="AD10" s="31">
        <f>$G11*NAFTA!$L$8</f>
        <v>9.6007297886564338</v>
      </c>
      <c r="AE10" s="31">
        <f>$G11*NAFTA!$L$9</f>
        <v>2.4332005766249369</v>
      </c>
      <c r="AF10" s="31">
        <f>$G11*NAFTA!$L$10</f>
        <v>12.540931100809876</v>
      </c>
      <c r="AG10" s="31">
        <f>$G11*NAFTA!$L$11</f>
        <v>0.41519771962533752</v>
      </c>
      <c r="AH10" s="31">
        <f t="shared" si="0"/>
        <v>3.0334186483055561</v>
      </c>
      <c r="AI10" s="31">
        <f>$G11*NAFTA!$L$12</f>
        <v>3.8686583589327865</v>
      </c>
    </row>
    <row r="11" spans="1:35" x14ac:dyDescent="0.2">
      <c r="A11" s="26">
        <v>2014</v>
      </c>
      <c r="B11" s="76">
        <v>308.35965571200893</v>
      </c>
      <c r="C11" s="76">
        <v>0.19162688407976053</v>
      </c>
      <c r="D11" s="31">
        <f t="shared" si="2"/>
        <v>59.09</v>
      </c>
      <c r="E11" s="31">
        <f>'Fiber Fabric'!M10</f>
        <v>3.0334186483055561</v>
      </c>
      <c r="F11" s="31">
        <v>-4.9287405029115643</v>
      </c>
      <c r="G11" s="31">
        <f t="shared" si="3"/>
        <v>54.161259497088437</v>
      </c>
      <c r="H11" s="31">
        <f>G11+G11*SUM(Additives!$D$6:$P$12)</f>
        <v>58.746211563767162</v>
      </c>
      <c r="I11" s="31">
        <f>Trade!K13</f>
        <v>3.677925164988487</v>
      </c>
      <c r="J11" s="31">
        <f>Trade!K36</f>
        <v>2.0455729122712611</v>
      </c>
      <c r="K11" s="31">
        <f t="shared" si="1"/>
        <v>64.46970964102691</v>
      </c>
      <c r="L11" s="31">
        <f>Trade!I36</f>
        <v>4.493379302917262</v>
      </c>
      <c r="M11" s="31">
        <f t="shared" si="4"/>
        <v>71.996507592249728</v>
      </c>
      <c r="N11" s="31">
        <f>G11*Additives!$R$12</f>
        <v>4.5849520666787233</v>
      </c>
      <c r="P11" s="26">
        <v>2013</v>
      </c>
      <c r="Q11" s="56">
        <f>$G12*NAFTA!C$13</f>
        <v>12.613942099527049</v>
      </c>
      <c r="R11" s="56">
        <f>$G12*NAFTA!D$13</f>
        <v>8.3937093382053956</v>
      </c>
      <c r="S11" s="56">
        <f>$G12*NAFTA!E$13</f>
        <v>7.7208816819249106</v>
      </c>
      <c r="T11" s="56">
        <f>$G12*NAFTA!F$13</f>
        <v>2.3113340259833692</v>
      </c>
      <c r="U11" s="56">
        <f>$G12*NAFTA!G$13</f>
        <v>4.971729273624593</v>
      </c>
      <c r="V11" s="56">
        <f>$G12*NAFTA!H$13</f>
        <v>3.4015454185289529</v>
      </c>
      <c r="W11" s="56">
        <f>$G12*NAFTA!I$13</f>
        <v>4.7940635833244665</v>
      </c>
      <c r="X11" s="56">
        <f>$G12*NAFTA!J$13</f>
        <v>4.3460563014806164</v>
      </c>
      <c r="Y11" s="56">
        <f>$G12*NAFTA!K$13</f>
        <v>3.0032759234006643</v>
      </c>
      <c r="AA11" s="26">
        <v>2013</v>
      </c>
      <c r="AB11" s="31">
        <f>$G12*NAFTA!$L$6</f>
        <v>3.8639610258478507</v>
      </c>
      <c r="AC11" s="31">
        <f>$G12*NAFTA!$L$7</f>
        <v>20.221731752041613</v>
      </c>
      <c r="AD11" s="31">
        <f>$G12*NAFTA!$L$8</f>
        <v>9.1390117470319883</v>
      </c>
      <c r="AE11" s="31">
        <f>$G12*NAFTA!$L$9</f>
        <v>2.316183159215051</v>
      </c>
      <c r="AF11" s="31">
        <f>$G12*NAFTA!$L$10</f>
        <v>11.937812975888315</v>
      </c>
      <c r="AG11" s="31">
        <f>$G12*NAFTA!$L$11</f>
        <v>0.39523004193703815</v>
      </c>
      <c r="AH11" s="31">
        <f t="shared" si="0"/>
        <v>3.0847183208635998</v>
      </c>
      <c r="AI11" s="31">
        <f>$G12*NAFTA!$L$12</f>
        <v>3.682606944038163</v>
      </c>
    </row>
    <row r="12" spans="1:35" x14ac:dyDescent="0.2">
      <c r="A12" s="26">
        <v>2013</v>
      </c>
      <c r="B12" s="76">
        <v>294.28653154893374</v>
      </c>
      <c r="C12" s="76">
        <v>0.19710721960224947</v>
      </c>
      <c r="D12" s="31">
        <f t="shared" si="2"/>
        <v>58.006</v>
      </c>
      <c r="E12" s="31">
        <f>'Fiber Fabric'!M11</f>
        <v>3.0847183208635998</v>
      </c>
      <c r="F12" s="31">
        <v>-6.4494623539999996</v>
      </c>
      <c r="G12" s="31">
        <f t="shared" si="3"/>
        <v>51.556537646000002</v>
      </c>
      <c r="H12" s="31">
        <f>G12+G12*SUM(Additives!$D$6:$P$12)</f>
        <v>55.920990319844016</v>
      </c>
      <c r="I12" s="31">
        <f>Trade!K14</f>
        <v>7.9866599892000005</v>
      </c>
      <c r="J12" s="31">
        <f>Trade!K37</f>
        <v>2.3503511515743583</v>
      </c>
      <c r="K12" s="31">
        <f t="shared" si="1"/>
        <v>66.258001460618374</v>
      </c>
      <c r="L12" s="31">
        <f>Trade!I37</f>
        <v>5.2370950130243497</v>
      </c>
      <c r="M12" s="31">
        <f t="shared" si="4"/>
        <v>74.579814794506319</v>
      </c>
      <c r="N12" s="31">
        <f>G12*Additives!$R$12</f>
        <v>4.3644526738440135</v>
      </c>
      <c r="P12" s="26">
        <v>2012</v>
      </c>
      <c r="Q12" s="56">
        <f>$G13*NAFTA!C$13</f>
        <v>12.502322372218416</v>
      </c>
      <c r="R12" s="56">
        <f>$G13*NAFTA!D$13</f>
        <v>8.3194341005321917</v>
      </c>
      <c r="S12" s="56">
        <f>$G13*NAFTA!E$13</f>
        <v>7.652560240370887</v>
      </c>
      <c r="T12" s="56">
        <f>$G13*NAFTA!F$13</f>
        <v>2.2908812229132565</v>
      </c>
      <c r="U12" s="56">
        <f>$G13*NAFTA!G$13</f>
        <v>4.9277348536886452</v>
      </c>
      <c r="V12" s="56">
        <f>$G13*NAFTA!H$13</f>
        <v>3.3714454252795494</v>
      </c>
      <c r="W12" s="56">
        <f>$G13*NAFTA!I$13</f>
        <v>4.7516413123445647</v>
      </c>
      <c r="X12" s="56">
        <f>$G13*NAFTA!J$13</f>
        <v>4.3075984097754203</v>
      </c>
      <c r="Y12" s="56">
        <f>$G13*NAFTA!K$13</f>
        <v>2.9767001838770835</v>
      </c>
      <c r="AA12" s="26">
        <v>2012</v>
      </c>
      <c r="AB12" s="31">
        <f>$G13*NAFTA!$L$6</f>
        <v>3.8297691552467885</v>
      </c>
      <c r="AC12" s="31">
        <f>$G13*NAFTA!$L$7</f>
        <v>20.042791325166196</v>
      </c>
      <c r="AD12" s="31">
        <f>$G13*NAFTA!$L$8</f>
        <v>9.0581413901661243</v>
      </c>
      <c r="AE12" s="31">
        <f>$G13*NAFTA!$L$9</f>
        <v>2.2956874465672081</v>
      </c>
      <c r="AF12" s="31">
        <f>$G13*NAFTA!$L$10</f>
        <v>11.83217625910966</v>
      </c>
      <c r="AG12" s="31">
        <f>$G13*NAFTA!$L$11</f>
        <v>0.39173268408038164</v>
      </c>
      <c r="AH12" s="31">
        <f t="shared" si="0"/>
        <v>3.1198400117084604</v>
      </c>
      <c r="AI12" s="31">
        <f>$G13*NAFTA!$L$12</f>
        <v>3.650019860663662</v>
      </c>
    </row>
    <row r="13" spans="1:35" x14ac:dyDescent="0.2">
      <c r="A13" s="26">
        <v>2012</v>
      </c>
      <c r="B13" s="76">
        <v>277.99042045641636</v>
      </c>
      <c r="C13" s="76">
        <v>0.20616537759071968</v>
      </c>
      <c r="D13" s="31">
        <f t="shared" si="2"/>
        <v>57.312000000000005</v>
      </c>
      <c r="E13" s="31">
        <f>'Fiber Fabric'!M12</f>
        <v>3.1198400117084604</v>
      </c>
      <c r="F13" s="31">
        <v>-6.2116818790000004</v>
      </c>
      <c r="G13" s="31">
        <f t="shared" si="3"/>
        <v>51.100318121000001</v>
      </c>
      <c r="H13" s="31">
        <f>G13+G13*SUM(Additives!$D$6:$P$12)</f>
        <v>55.426150115165761</v>
      </c>
      <c r="I13" s="31">
        <f>Trade!K15</f>
        <v>6.9792790202999999</v>
      </c>
      <c r="J13" s="31">
        <f>Trade!K38</f>
        <v>3.8726910126765652</v>
      </c>
      <c r="K13" s="31">
        <f t="shared" si="1"/>
        <v>66.278120148142321</v>
      </c>
      <c r="L13" s="31">
        <f>Trade!I38</f>
        <v>4.7064653040378692</v>
      </c>
      <c r="M13" s="31">
        <f t="shared" si="4"/>
        <v>74.10442546388866</v>
      </c>
      <c r="N13" s="31">
        <f>G13*Additives!$R$12</f>
        <v>4.3258319941657577</v>
      </c>
      <c r="P13" s="26">
        <v>2011</v>
      </c>
      <c r="Q13" s="56">
        <f>$G14*NAFTA!C$13</f>
        <v>11.75306008295504</v>
      </c>
      <c r="R13" s="56">
        <f>$G14*NAFTA!D$13</f>
        <v>7.8208516728872324</v>
      </c>
      <c r="S13" s="56">
        <f>$G14*NAFTA!E$13</f>
        <v>7.1939434623259313</v>
      </c>
      <c r="T13" s="56">
        <f>$G14*NAFTA!F$13</f>
        <v>2.1535890576332553</v>
      </c>
      <c r="U13" s="56">
        <f>$G14*NAFTA!G$13</f>
        <v>4.632416449040714</v>
      </c>
      <c r="V13" s="56">
        <f>$G14*NAFTA!H$13</f>
        <v>3.1693952107462269</v>
      </c>
      <c r="W13" s="56">
        <f>$G14*NAFTA!I$13</f>
        <v>4.4668761670018924</v>
      </c>
      <c r="X13" s="56">
        <f>$G14*NAFTA!J$13</f>
        <v>4.0494446884390127</v>
      </c>
      <c r="Y13" s="56">
        <f>$G14*NAFTA!K$13</f>
        <v>2.7983069919707142</v>
      </c>
      <c r="AA13" s="26">
        <v>2011</v>
      </c>
      <c r="AB13" s="31">
        <f>$G14*NAFTA!$L$6</f>
        <v>3.6002516688806687</v>
      </c>
      <c r="AC13" s="31">
        <f>$G14*NAFTA!$L$7</f>
        <v>18.841629871763558</v>
      </c>
      <c r="AD13" s="31">
        <f>$G14*NAFTA!$L$8</f>
        <v>8.5152883463549571</v>
      </c>
      <c r="AE13" s="31">
        <f>$G14*NAFTA!$L$9</f>
        <v>2.1581072450303851</v>
      </c>
      <c r="AF13" s="31">
        <f>$G14*NAFTA!$L$10</f>
        <v>11.123075725070624</v>
      </c>
      <c r="AG13" s="31">
        <f>$G14*NAFTA!$L$11</f>
        <v>0.36825620355820543</v>
      </c>
      <c r="AH13" s="31">
        <f t="shared" si="0"/>
        <v>3.0645692607415183</v>
      </c>
      <c r="AI13" s="31">
        <f>$G14*NAFTA!$L$12</f>
        <v>3.4312747223416227</v>
      </c>
    </row>
    <row r="14" spans="1:35" x14ac:dyDescent="0.2">
      <c r="A14" s="26">
        <v>2011</v>
      </c>
      <c r="B14" s="76">
        <v>269.91613107470602</v>
      </c>
      <c r="C14" s="76">
        <v>0.20673088258128583</v>
      </c>
      <c r="D14" s="31">
        <f t="shared" si="2"/>
        <v>55.800000000000004</v>
      </c>
      <c r="E14" s="31">
        <f>'Fiber Fabric'!M13</f>
        <v>3.0645692607415183</v>
      </c>
      <c r="F14" s="31">
        <v>-7.762116217</v>
      </c>
      <c r="G14" s="31">
        <f t="shared" si="3"/>
        <v>48.037883783000005</v>
      </c>
      <c r="H14" s="31">
        <f>G14+G14*SUM(Additives!$D$6:$P$12)</f>
        <v>52.104469319873985</v>
      </c>
      <c r="I14" s="31">
        <f>Trade!K16</f>
        <v>3.6648470239294979</v>
      </c>
      <c r="J14" s="31">
        <f>Trade!K39</f>
        <v>2.7673421027247143</v>
      </c>
      <c r="K14" s="31">
        <f t="shared" si="1"/>
        <v>58.536658446528193</v>
      </c>
      <c r="L14" s="31">
        <f>Trade!I39</f>
        <v>3.6355560381144603</v>
      </c>
      <c r="M14" s="31">
        <f t="shared" si="4"/>
        <v>65.236783745384173</v>
      </c>
      <c r="N14" s="31">
        <f>G14*Additives!$R$12</f>
        <v>4.0665855368739772</v>
      </c>
      <c r="P14" s="26">
        <v>2010</v>
      </c>
      <c r="Q14" s="56">
        <f>$G15*NAFTA!C$13</f>
        <v>11.514469740284133</v>
      </c>
      <c r="R14" s="56">
        <f>$G15*NAFTA!D$13</f>
        <v>7.6620862392518978</v>
      </c>
      <c r="S14" s="56">
        <f>$G15*NAFTA!E$13</f>
        <v>7.0479044372791089</v>
      </c>
      <c r="T14" s="56">
        <f>$G15*NAFTA!F$13</f>
        <v>2.1098706091946045</v>
      </c>
      <c r="U14" s="56">
        <f>$G15*NAFTA!G$13</f>
        <v>4.5383771247992026</v>
      </c>
      <c r="V14" s="56">
        <f>$G15*NAFTA!H$13</f>
        <v>3.105055618839593</v>
      </c>
      <c r="W14" s="56">
        <f>$G15*NAFTA!I$13</f>
        <v>4.3761973558811098</v>
      </c>
      <c r="X14" s="56">
        <f>$G15*NAFTA!J$13</f>
        <v>3.9672398508033462</v>
      </c>
      <c r="Y14" s="56">
        <f>$G15*NAFTA!K$13</f>
        <v>2.7415005926670166</v>
      </c>
      <c r="AA14" s="26">
        <v>2010</v>
      </c>
      <c r="AB14" s="31">
        <f>$G15*NAFTA!$L$6</f>
        <v>3.5271655727221458</v>
      </c>
      <c r="AC14" s="31">
        <f>$G15*NAFTA!$L$7</f>
        <v>18.459139618514364</v>
      </c>
      <c r="AD14" s="31">
        <f>$G15*NAFTA!$L$8</f>
        <v>8.3424256578160936</v>
      </c>
      <c r="AE14" s="31">
        <f>$G15*NAFTA!$L$9</f>
        <v>2.1142970761485711</v>
      </c>
      <c r="AF14" s="31">
        <f>$G15*NAFTA!$L$10</f>
        <v>10.897274237622446</v>
      </c>
      <c r="AG14" s="31">
        <f>$G15*NAFTA!$L$11</f>
        <v>0.36078050164079051</v>
      </c>
      <c r="AH14" s="31">
        <f t="shared" si="0"/>
        <v>3.0668731681189612</v>
      </c>
      <c r="AI14" s="31">
        <f>$G15*NAFTA!$L$12</f>
        <v>3.3616189045356037</v>
      </c>
    </row>
    <row r="15" spans="1:35" x14ac:dyDescent="0.2">
      <c r="A15" s="26">
        <v>2010</v>
      </c>
      <c r="B15" s="76">
        <v>254.69507043641744</v>
      </c>
      <c r="C15" s="76">
        <v>0.21651380965289038</v>
      </c>
      <c r="D15" s="31">
        <f t="shared" si="2"/>
        <v>55.144999999999996</v>
      </c>
      <c r="E15" s="31">
        <f>'Fiber Fabric'!M14</f>
        <v>3.0668731681189612</v>
      </c>
      <c r="F15" s="31">
        <v>-8.0822984309999999</v>
      </c>
      <c r="G15" s="31">
        <f t="shared" si="3"/>
        <v>47.062701568999998</v>
      </c>
      <c r="H15" s="31">
        <f>G15+G15*SUM(Additives!$D$6:$P$12)</f>
        <v>51.046734304314626</v>
      </c>
      <c r="I15" s="31">
        <f>Trade!K17</f>
        <v>6.0802958079999998</v>
      </c>
      <c r="J15" s="31">
        <f>Trade!K40</f>
        <v>5.2597139158488213</v>
      </c>
      <c r="K15" s="31">
        <f t="shared" si="1"/>
        <v>62.386744028163449</v>
      </c>
      <c r="L15" s="31">
        <f>Trade!I40</f>
        <v>4.0618420858386983</v>
      </c>
      <c r="M15" s="31">
        <f t="shared" si="4"/>
        <v>69.5154592821211</v>
      </c>
      <c r="N15" s="31">
        <f>G15*Additives!$R$12</f>
        <v>3.9840327353146265</v>
      </c>
      <c r="P15" s="26">
        <v>2009</v>
      </c>
      <c r="Q15" s="56">
        <f>$G16*NAFTA!C$13</f>
        <v>12.199777877297974</v>
      </c>
      <c r="R15" s="56">
        <f>$G16*NAFTA!D$13</f>
        <v>8.118111585159971</v>
      </c>
      <c r="S15" s="56">
        <f>$G16*NAFTA!E$13</f>
        <v>7.4673754479905536</v>
      </c>
      <c r="T15" s="56">
        <f>$G16*NAFTA!F$13</f>
        <v>2.2354440423739717</v>
      </c>
      <c r="U15" s="56">
        <f>$G16*NAFTA!G$13</f>
        <v>4.8084882842893517</v>
      </c>
      <c r="V15" s="56">
        <f>$G16*NAFTA!H$13</f>
        <v>3.2898596028239058</v>
      </c>
      <c r="W15" s="56">
        <f>$G16*NAFTA!I$13</f>
        <v>4.6366560417614879</v>
      </c>
      <c r="X15" s="56">
        <f>$G16*NAFTA!J$13</f>
        <v>4.2033585616571578</v>
      </c>
      <c r="Y15" s="56">
        <f>$G16*NAFTA!K$13</f>
        <v>2.9046668266456397</v>
      </c>
      <c r="AA15" s="26">
        <v>2009</v>
      </c>
      <c r="AB15" s="31">
        <f>$G16*NAFTA!$L$6</f>
        <v>3.7370923276750778</v>
      </c>
      <c r="AC15" s="31">
        <f>$G16*NAFTA!$L$7</f>
        <v>19.557774542064941</v>
      </c>
      <c r="AD15" s="31">
        <f>$G16*NAFTA!$L$8</f>
        <v>8.8389428500696496</v>
      </c>
      <c r="AE15" s="31">
        <f>$G16*NAFTA!$L$9</f>
        <v>2.2401339599157812</v>
      </c>
      <c r="AF15" s="31">
        <f>$G16*NAFTA!$L$10</f>
        <v>11.545848672638478</v>
      </c>
      <c r="AG15" s="31">
        <f>$G16*NAFTA!$L$11</f>
        <v>0.38225311992258282</v>
      </c>
      <c r="AH15" s="31">
        <f t="shared" si="0"/>
        <v>2.8216172775220043</v>
      </c>
      <c r="AI15" s="31">
        <f>$G16*NAFTA!$L$12</f>
        <v>3.5616927977135071</v>
      </c>
    </row>
    <row r="16" spans="1:35" x14ac:dyDescent="0.2">
      <c r="A16" s="26">
        <v>2009</v>
      </c>
      <c r="B16" s="76">
        <v>252.5538033930687</v>
      </c>
      <c r="C16" s="76">
        <v>0.22767425882123174</v>
      </c>
      <c r="D16" s="31">
        <f t="shared" si="2"/>
        <v>57.5</v>
      </c>
      <c r="E16" s="31">
        <f>'Fiber Fabric'!M15</f>
        <v>2.8216172775220043</v>
      </c>
      <c r="F16" s="31">
        <v>-7.6362617300000002</v>
      </c>
      <c r="G16" s="31">
        <f t="shared" si="3"/>
        <v>49.863738269999999</v>
      </c>
      <c r="H16" s="31">
        <f>G16+G16*SUM(Additives!$D$6:$P$12)</f>
        <v>54.084889180378177</v>
      </c>
      <c r="I16" s="31">
        <f>Trade!K18</f>
        <v>2.7807632085000002</v>
      </c>
      <c r="J16" s="31">
        <f>Trade!K41</f>
        <v>3.0962024213689716</v>
      </c>
      <c r="K16" s="31">
        <f t="shared" si="1"/>
        <v>59.961854810247146</v>
      </c>
      <c r="L16" s="31">
        <f>Trade!I41</f>
        <v>3.7529746369424775</v>
      </c>
      <c r="M16" s="31">
        <f t="shared" si="4"/>
        <v>66.536446724711624</v>
      </c>
      <c r="N16" s="31">
        <f>G16*Additives!$R$12</f>
        <v>4.2211509103781752</v>
      </c>
      <c r="P16" s="26">
        <v>2008</v>
      </c>
      <c r="Q16" s="56">
        <f>$G17*NAFTA!C$13</f>
        <v>12.336555894048038</v>
      </c>
      <c r="R16" s="56">
        <f>$G17*NAFTA!D$13</f>
        <v>8.2091279309936223</v>
      </c>
      <c r="S16" s="56">
        <f>$G17*NAFTA!E$13</f>
        <v>7.5510960545767514</v>
      </c>
      <c r="T16" s="56">
        <f>$G17*NAFTA!F$13</f>
        <v>2.2605067611994212</v>
      </c>
      <c r="U16" s="56">
        <f>$G17*NAFTA!G$13</f>
        <v>4.8623987323078266</v>
      </c>
      <c r="V16" s="56">
        <f>$G17*NAFTA!H$13</f>
        <v>3.326743919602964</v>
      </c>
      <c r="W16" s="56">
        <f>$G17*NAFTA!I$13</f>
        <v>4.6886399896761848</v>
      </c>
      <c r="X16" s="56">
        <f>$G17*NAFTA!J$13</f>
        <v>4.2504845875188844</v>
      </c>
      <c r="Y16" s="56">
        <f>$G17*NAFTA!K$13</f>
        <v>2.9372325480763224</v>
      </c>
      <c r="AA16" s="26">
        <v>2008</v>
      </c>
      <c r="AB16" s="31">
        <f>$G17*NAFTA!$L$6</f>
        <v>3.7789908017401221</v>
      </c>
      <c r="AC16" s="31">
        <f>$G17*NAFTA!$L$7</f>
        <v>19.777046863316496</v>
      </c>
      <c r="AD16" s="31">
        <f>$G17*NAFTA!$L$8</f>
        <v>8.9380408078652103</v>
      </c>
      <c r="AE16" s="31">
        <f>$G17*NAFTA!$L$9</f>
        <v>2.2652492598313572</v>
      </c>
      <c r="AF16" s="31">
        <f>$G17*NAFTA!$L$10</f>
        <v>11.675295151010722</v>
      </c>
      <c r="AG16" s="31">
        <f>$G17*NAFTA!$L$11</f>
        <v>0.38653875726495013</v>
      </c>
      <c r="AH16" s="31">
        <f t="shared" si="0"/>
        <v>3.2473512649421061</v>
      </c>
      <c r="AI16" s="31">
        <f>$G17*NAFTA!$L$12</f>
        <v>3.60162477697116</v>
      </c>
    </row>
    <row r="17" spans="1:46" x14ac:dyDescent="0.2">
      <c r="A17" s="26">
        <v>2008</v>
      </c>
      <c r="B17" s="76">
        <v>248.06391995442726</v>
      </c>
      <c r="C17" s="76">
        <v>0.22715919352702427</v>
      </c>
      <c r="D17" s="31">
        <f t="shared" si="2"/>
        <v>56.35</v>
      </c>
      <c r="E17" s="31">
        <f>'Fiber Fabric'!M16</f>
        <v>3.2473512649421061</v>
      </c>
      <c r="F17" s="31">
        <v>-5.9272135820000003</v>
      </c>
      <c r="G17" s="31">
        <f t="shared" si="3"/>
        <v>50.422786418000001</v>
      </c>
      <c r="H17" s="31">
        <f>G17+G17*SUM(Additives!$D$6:$P$12)</f>
        <v>54.691262833459596</v>
      </c>
      <c r="I17" s="31">
        <f>Trade!K19</f>
        <v>5.476613287481495</v>
      </c>
      <c r="J17" s="31">
        <f>Trade!K42</f>
        <v>3.8966907467467689</v>
      </c>
      <c r="K17" s="31">
        <f t="shared" si="1"/>
        <v>64.064566867687859</v>
      </c>
      <c r="L17" s="31">
        <f>Trade!I42</f>
        <v>3.0569024862255549</v>
      </c>
      <c r="M17" s="31">
        <f t="shared" si="4"/>
        <v>70.368820618855523</v>
      </c>
      <c r="N17" s="31">
        <f>G17*Additives!$R$12</f>
        <v>4.2684764154595944</v>
      </c>
      <c r="P17" s="26">
        <v>2007</v>
      </c>
      <c r="Q17" s="56">
        <f>$G18*NAFTA!C$13</f>
        <v>12.941295960434223</v>
      </c>
      <c r="R17" s="56">
        <f>$G18*NAFTA!D$13</f>
        <v>8.6115407772205774</v>
      </c>
      <c r="S17" s="56">
        <f>$G18*NAFTA!E$13</f>
        <v>7.9212520663965797</v>
      </c>
      <c r="T17" s="56">
        <f>$G18*NAFTA!F$13</f>
        <v>2.3713171867813045</v>
      </c>
      <c r="U17" s="56">
        <f>$G18*NAFTA!G$13</f>
        <v>5.1007543444759378</v>
      </c>
      <c r="V17" s="56">
        <f>$G18*NAFTA!H$13</f>
        <v>3.4898214718848912</v>
      </c>
      <c r="W17" s="56">
        <f>$G18*NAFTA!I$13</f>
        <v>4.918477918752135</v>
      </c>
      <c r="X17" s="56">
        <f>$G18*NAFTA!J$13</f>
        <v>4.4588440643214637</v>
      </c>
      <c r="Y17" s="56">
        <f>$G18*NAFTA!K$13</f>
        <v>3.0812161867329046</v>
      </c>
      <c r="AA17" s="26">
        <v>2007</v>
      </c>
      <c r="AB17" s="31">
        <f>$G18*NAFTA!$L$6</f>
        <v>3.964237573038722</v>
      </c>
      <c r="AC17" s="31">
        <f>$G18*NAFTA!$L$7</f>
        <v>20.7465210614446</v>
      </c>
      <c r="AD17" s="31">
        <f>$G18*NAFTA!$L$8</f>
        <v>9.3761850871870145</v>
      </c>
      <c r="AE17" s="31">
        <f>$G18*NAFTA!$L$9</f>
        <v>2.376292163502113</v>
      </c>
      <c r="AF17" s="31">
        <f>$G18*NAFTA!$L$10</f>
        <v>12.247620103399337</v>
      </c>
      <c r="AG17" s="31">
        <f>$G18*NAFTA!$L$11</f>
        <v>0.40548695283402453</v>
      </c>
      <c r="AH17" s="31">
        <f t="shared" si="0"/>
        <v>3.4445898967659003</v>
      </c>
      <c r="AI17" s="31">
        <f>$G18*NAFTA!$L$12</f>
        <v>3.7781770355942093</v>
      </c>
    </row>
    <row r="18" spans="1:46" x14ac:dyDescent="0.2">
      <c r="A18" s="26">
        <v>2007</v>
      </c>
      <c r="B18" s="76">
        <v>253.58884110815325</v>
      </c>
      <c r="C18" s="76">
        <v>0.23309385279611</v>
      </c>
      <c r="D18" s="31">
        <f t="shared" si="2"/>
        <v>59.11</v>
      </c>
      <c r="E18" s="31">
        <f>'Fiber Fabric'!M17</f>
        <v>3.4445898967659003</v>
      </c>
      <c r="F18" s="31">
        <v>-6.2154800229999996</v>
      </c>
      <c r="G18" s="31">
        <f t="shared" si="3"/>
        <v>52.894519977000002</v>
      </c>
      <c r="H18" s="31">
        <f>G18+G18*SUM(Additives!$D$6:$P$12)</f>
        <v>57.372237831725343</v>
      </c>
      <c r="I18" s="31">
        <f>Trade!K20</f>
        <v>3.4493661646069085</v>
      </c>
      <c r="J18" s="31">
        <f>Trade!K43</f>
        <v>4.0133199260236188</v>
      </c>
      <c r="K18" s="31">
        <f t="shared" si="1"/>
        <v>64.83492392235587</v>
      </c>
      <c r="L18" s="31">
        <f>Trade!I43</f>
        <v>4.2283444188030845</v>
      </c>
      <c r="M18" s="31">
        <f t="shared" si="4"/>
        <v>72.50785823792485</v>
      </c>
      <c r="N18" s="31">
        <f>G18*Additives!$R$12</f>
        <v>4.4777178547253378</v>
      </c>
      <c r="P18" s="26">
        <v>2006</v>
      </c>
      <c r="Q18" s="56">
        <f>$G19*NAFTA!C$13</f>
        <v>13.199595597893872</v>
      </c>
      <c r="R18" s="56">
        <f>$G19*NAFTA!D$13</f>
        <v>8.7834213885230028</v>
      </c>
      <c r="S18" s="56">
        <f>$G19*NAFTA!E$13</f>
        <v>8.0793549753503804</v>
      </c>
      <c r="T18" s="56">
        <f>$G19*NAFTA!F$13</f>
        <v>2.4186470965152362</v>
      </c>
      <c r="U18" s="56">
        <f>$G19*NAFTA!G$13</f>
        <v>5.2025619997507233</v>
      </c>
      <c r="V18" s="56">
        <f>$G19*NAFTA!H$13</f>
        <v>3.5594759812742671</v>
      </c>
      <c r="W18" s="56">
        <f>$G19*NAFTA!I$13</f>
        <v>5.0166474581206115</v>
      </c>
      <c r="X18" s="56">
        <f>$G19*NAFTA!J$13</f>
        <v>4.5478396184626035</v>
      </c>
      <c r="Y18" s="56">
        <f>$G19*NAFTA!K$13</f>
        <v>3.1427152071093154</v>
      </c>
      <c r="AA18" s="26">
        <v>2006</v>
      </c>
      <c r="AB18" s="31">
        <f>$G19*NAFTA!$L$6</f>
        <v>4.0433611114424801</v>
      </c>
      <c r="AC18" s="31">
        <f>$G19*NAFTA!$L$7</f>
        <v>21.160607787001588</v>
      </c>
      <c r="AD18" s="31">
        <f>$G19*NAFTA!$L$8</f>
        <v>9.5633274890128757</v>
      </c>
      <c r="AE18" s="31">
        <f>$G19*NAFTA!$L$9</f>
        <v>2.4237213704538259</v>
      </c>
      <c r="AF18" s="31">
        <f>$G19*NAFTA!$L$10</f>
        <v>12.492074433330711</v>
      </c>
      <c r="AG18" s="31">
        <f>$G19*NAFTA!$L$11</f>
        <v>0.41358020201338508</v>
      </c>
      <c r="AH18" s="31">
        <f t="shared" si="0"/>
        <v>3.5450205530074643</v>
      </c>
      <c r="AI18" s="31">
        <f>$G19*NAFTA!$L$12</f>
        <v>3.853586929745151</v>
      </c>
    </row>
    <row r="19" spans="1:46" x14ac:dyDescent="0.2">
      <c r="A19" s="26">
        <v>2006</v>
      </c>
      <c r="B19" s="76">
        <v>238.19260061675459</v>
      </c>
      <c r="C19" s="76">
        <v>0.24171615680302599</v>
      </c>
      <c r="D19" s="31">
        <f t="shared" si="2"/>
        <v>57.574999999999996</v>
      </c>
      <c r="E19" s="31">
        <f>'Fiber Fabric'!M18</f>
        <v>3.5450205530074643</v>
      </c>
      <c r="F19" s="31">
        <v>-3.6247406770000001</v>
      </c>
      <c r="G19" s="31">
        <f t="shared" si="3"/>
        <v>53.950259322999997</v>
      </c>
      <c r="H19" s="31">
        <f>G19+G19*SUM(Additives!$D$6:$P$12)</f>
        <v>58.51734944013694</v>
      </c>
      <c r="I19" s="31">
        <f>Trade!K21</f>
        <v>3.6604644965326041</v>
      </c>
      <c r="J19" s="31">
        <f>Trade!K44</f>
        <v>1.1399376679424116</v>
      </c>
      <c r="K19" s="31">
        <f t="shared" si="1"/>
        <v>63.317751604611956</v>
      </c>
      <c r="L19" s="31">
        <f>Trade!I44</f>
        <v>3.9985024157643276</v>
      </c>
      <c r="M19" s="31">
        <f t="shared" si="4"/>
        <v>70.861274573383724</v>
      </c>
      <c r="N19" s="31">
        <f>G19*Additives!$R$12</f>
        <v>4.5670901171369414</v>
      </c>
      <c r="P19" s="28">
        <v>2005</v>
      </c>
      <c r="Q19" s="57">
        <f>$G20*NAFTA!C$13</f>
        <v>12.467810936621136</v>
      </c>
      <c r="R19" s="57">
        <f>$G20*NAFTA!D$13</f>
        <v>8.2964691180578694</v>
      </c>
      <c r="S19" s="57">
        <f>$G20*NAFTA!E$13</f>
        <v>7.6314360978294395</v>
      </c>
      <c r="T19" s="57">
        <f>$G20*NAFTA!F$13</f>
        <v>2.2845574698190898</v>
      </c>
      <c r="U19" s="57">
        <f>$G20*NAFTA!G$13</f>
        <v>4.914132324576018</v>
      </c>
      <c r="V19" s="57">
        <f>$G20*NAFTA!H$13</f>
        <v>3.3621388806072705</v>
      </c>
      <c r="W19" s="57">
        <f>$G20*NAFTA!I$13</f>
        <v>4.738524872194473</v>
      </c>
      <c r="X19" s="57">
        <f>$G20*NAFTA!J$13</f>
        <v>4.2957077065386953</v>
      </c>
      <c r="Y19" s="57">
        <f>$G20*NAFTA!K$13</f>
        <v>2.9684832947560218</v>
      </c>
      <c r="AA19" s="28">
        <v>2005</v>
      </c>
      <c r="AB19" s="32">
        <f>$G20*NAFTA!$L$6</f>
        <v>3.8191974528367263</v>
      </c>
      <c r="AC19" s="32">
        <f>$G20*NAFTA!$L$7</f>
        <v>19.987465164040703</v>
      </c>
      <c r="AD19" s="32">
        <f>$G20*NAFTA!$L$8</f>
        <v>9.0331372786170228</v>
      </c>
      <c r="AE19" s="32">
        <f>$G20*NAFTA!$L$9</f>
        <v>2.2893504263636864</v>
      </c>
      <c r="AF19" s="32">
        <f>$G20*NAFTA!$L$10</f>
        <v>11.799514696178814</v>
      </c>
      <c r="AG19" s="32">
        <f>$G20*NAFTA!$L$11</f>
        <v>0.39065134439840132</v>
      </c>
      <c r="AH19" s="32">
        <f t="shared" si="0"/>
        <v>3.8466363902030194</v>
      </c>
      <c r="AI19" s="32">
        <f>$G20*NAFTA!$L$12</f>
        <v>3.6399443385646637</v>
      </c>
    </row>
    <row r="20" spans="1:46" x14ac:dyDescent="0.2">
      <c r="A20" s="28">
        <v>2005</v>
      </c>
      <c r="B20" s="76">
        <v>223.27641564589254</v>
      </c>
      <c r="C20" s="76">
        <v>0.24722718626737983</v>
      </c>
      <c r="D20" s="32">
        <f t="shared" si="2"/>
        <v>55.199999999999996</v>
      </c>
      <c r="E20" s="32">
        <f>'Fiber Fabric'!M19</f>
        <v>3.8466363902030194</v>
      </c>
      <c r="F20" s="32">
        <v>-4.2407392990000004</v>
      </c>
      <c r="G20" s="32">
        <f t="shared" si="3"/>
        <v>50.959260700999998</v>
      </c>
      <c r="H20" s="32">
        <f>G20+G20*SUM(Additives!$D$6:$P$12)</f>
        <v>55.273151659906333</v>
      </c>
      <c r="I20" s="32">
        <f>Trade!K22</f>
        <v>6.3156980785032166</v>
      </c>
      <c r="J20" s="32">
        <f>Trade!K45</f>
        <v>2.3242672106083564</v>
      </c>
      <c r="K20" s="32">
        <f t="shared" si="1"/>
        <v>63.913116949017905</v>
      </c>
      <c r="L20" s="32">
        <f>Trade!I45</f>
        <v>3.7275819122146516</v>
      </c>
      <c r="M20" s="32">
        <f t="shared" si="4"/>
        <v>71.487335251435567</v>
      </c>
      <c r="N20" s="32">
        <f>G20*Additives!$R$12</f>
        <v>4.3138909589063372</v>
      </c>
    </row>
    <row r="22" spans="1:46" x14ac:dyDescent="0.2">
      <c r="K22" s="66"/>
      <c r="L22" s="66"/>
      <c r="M22" s="66"/>
      <c r="N22" s="66"/>
      <c r="AA22" s="58"/>
      <c r="AB22" s="149" t="s">
        <v>263</v>
      </c>
      <c r="AC22" s="149"/>
      <c r="AD22" s="149"/>
      <c r="AE22" s="149"/>
      <c r="AF22" s="149"/>
      <c r="AG22" s="149"/>
      <c r="AH22" s="149"/>
      <c r="AI22" s="150"/>
    </row>
    <row r="23" spans="1:46" x14ac:dyDescent="0.2">
      <c r="K23" s="65"/>
      <c r="L23" s="65"/>
      <c r="M23" s="65"/>
      <c r="N23" t="s">
        <v>186</v>
      </c>
      <c r="AA23" s="55" t="s">
        <v>0</v>
      </c>
      <c r="AB23" s="25" t="s">
        <v>39</v>
      </c>
      <c r="AC23" s="25" t="s">
        <v>40</v>
      </c>
      <c r="AD23" s="25" t="s">
        <v>41</v>
      </c>
      <c r="AE23" s="25" t="s">
        <v>42</v>
      </c>
      <c r="AF23" s="25" t="s">
        <v>43</v>
      </c>
      <c r="AG23" s="25" t="s">
        <v>44</v>
      </c>
      <c r="AH23" s="25" t="s">
        <v>187</v>
      </c>
      <c r="AI23" s="25" t="s">
        <v>188</v>
      </c>
      <c r="AJ23" t="s">
        <v>190</v>
      </c>
    </row>
    <row r="24" spans="1:46" x14ac:dyDescent="0.2">
      <c r="K24" s="1"/>
      <c r="L24" s="1"/>
      <c r="M24" s="1"/>
      <c r="AA24" s="26">
        <v>2021</v>
      </c>
      <c r="AB24" s="30"/>
      <c r="AC24" s="30"/>
      <c r="AD24" s="30"/>
      <c r="AE24" s="30"/>
      <c r="AF24" s="30"/>
      <c r="AG24" s="30"/>
      <c r="AH24" s="30"/>
      <c r="AI24" s="30"/>
      <c r="AJ24" s="60"/>
      <c r="AK24" s="60"/>
      <c r="AL24" s="60"/>
      <c r="AM24" s="3"/>
      <c r="AN24" s="3"/>
      <c r="AO24" s="60"/>
      <c r="AP24" s="3"/>
      <c r="AQ24" s="3"/>
      <c r="AR24" s="60"/>
      <c r="AS24" s="3"/>
      <c r="AT24" s="3"/>
    </row>
    <row r="25" spans="1:46" x14ac:dyDescent="0.2">
      <c r="K25" s="66"/>
      <c r="L25" s="66"/>
      <c r="M25" s="66"/>
      <c r="AA25" s="26">
        <v>2020</v>
      </c>
      <c r="AB25" s="62">
        <f>G5*Additives!$Q$6</f>
        <v>1.0771832045836549</v>
      </c>
      <c r="AC25" s="62">
        <f>G5*Additives!$Q$7</f>
        <v>0.17473119254363459</v>
      </c>
      <c r="AD25" s="62">
        <f>$G5*Additives!$Q$8</f>
        <v>0.94150614177116054</v>
      </c>
      <c r="AE25" s="62">
        <f>$G5*Additives!$Q$9</f>
        <v>1.0474882961388468</v>
      </c>
      <c r="AF25" s="62">
        <f>$G5*Additives!$Q$10</f>
        <v>0.78713814883437649</v>
      </c>
      <c r="AG25" s="62">
        <f>$G5*Additives!$Q$11</f>
        <v>0</v>
      </c>
      <c r="AH25" s="62"/>
      <c r="AI25" s="62">
        <f>$G5*Additives!$Q$12</f>
        <v>0.97973324660485783</v>
      </c>
      <c r="AJ25" s="33">
        <f>N5-SUM(Production_Consumption!AB25:AI25)</f>
        <v>0</v>
      </c>
    </row>
    <row r="26" spans="1:46" x14ac:dyDescent="0.2">
      <c r="K26" s="66"/>
      <c r="L26" s="66"/>
      <c r="M26" s="66"/>
      <c r="AA26" s="26">
        <v>2019</v>
      </c>
      <c r="AB26" s="62">
        <f>G6*Additives!$Q$6</f>
        <v>1.104478980903572</v>
      </c>
      <c r="AC26" s="62">
        <f>G6*Additives!$Q$7</f>
        <v>0.1791588734873111</v>
      </c>
      <c r="AD26" s="62">
        <f>$G6*Additives!$Q$8</f>
        <v>0.96536386712396804</v>
      </c>
      <c r="AE26" s="62">
        <f>$G6*Additives!$Q$9</f>
        <v>1.0740316047491851</v>
      </c>
      <c r="AF26" s="62">
        <f>$G6*Additives!$Q$10</f>
        <v>0.80708419585036328</v>
      </c>
      <c r="AG26" s="62">
        <f>$G6*Additives!$Q$11</f>
        <v>0</v>
      </c>
      <c r="AH26" s="62"/>
      <c r="AI26" s="62">
        <f>$G6*Additives!$Q$12</f>
        <v>1.0045596451587127</v>
      </c>
      <c r="AJ26" s="33">
        <f>N6-SUM(Production_Consumption!AB26:AI26)</f>
        <v>0</v>
      </c>
    </row>
    <row r="27" spans="1:46" x14ac:dyDescent="0.2">
      <c r="K27" s="66"/>
      <c r="L27" s="66"/>
      <c r="M27" s="66"/>
      <c r="AA27" s="26">
        <v>2018</v>
      </c>
      <c r="AB27" s="62">
        <f>G7*Additives!$Q$6</f>
        <v>1.0704401999671567</v>
      </c>
      <c r="AC27" s="62">
        <f>G7*Additives!$Q$7</f>
        <v>0.17363740159613891</v>
      </c>
      <c r="AD27" s="62">
        <f>$G7*Additives!$Q$8</f>
        <v>0.93561245513233271</v>
      </c>
      <c r="AE27" s="62">
        <f>$G7*Additives!$Q$9</f>
        <v>1.0409311771765972</v>
      </c>
      <c r="AF27" s="62">
        <f>$G7*Additives!$Q$10</f>
        <v>0.78221078258058907</v>
      </c>
      <c r="AG27" s="62">
        <f>$G7*Additives!$Q$11</f>
        <v>0</v>
      </c>
      <c r="AH27" s="62"/>
      <c r="AI27" s="62">
        <f>$G7*Additives!$Q$12</f>
        <v>0.97360026404749711</v>
      </c>
      <c r="AJ27" s="33">
        <f>N7-SUM(Production_Consumption!AB27:AI27)</f>
        <v>0</v>
      </c>
    </row>
    <row r="28" spans="1:46" x14ac:dyDescent="0.2">
      <c r="K28" s="66"/>
      <c r="L28" s="66"/>
      <c r="M28" s="66"/>
      <c r="AA28" s="26">
        <v>2017</v>
      </c>
      <c r="AB28" s="62">
        <f>G8*Additives!$Q$6</f>
        <v>1.0434403806575152</v>
      </c>
      <c r="AC28" s="62">
        <f>G8*Additives!$Q$7</f>
        <v>0.16925772819762941</v>
      </c>
      <c r="AD28" s="62">
        <f>$G8*Additives!$Q$8</f>
        <v>0.91201340940030773</v>
      </c>
      <c r="AE28" s="62">
        <f>$G8*Additives!$Q$9</f>
        <v>1.014675666874945</v>
      </c>
      <c r="AF28" s="62">
        <f>$G8*Additives!$Q$10</f>
        <v>0.76248100244679273</v>
      </c>
      <c r="AG28" s="62">
        <f>$G8*Additives!$Q$11</f>
        <v>0</v>
      </c>
      <c r="AH28" s="62"/>
      <c r="AI28" s="62">
        <f>$G8*Additives!$Q$12</f>
        <v>0.94904304804429773</v>
      </c>
      <c r="AJ28" s="33">
        <f>N8-SUM(Production_Consumption!AB28:AI28)</f>
        <v>0</v>
      </c>
    </row>
    <row r="29" spans="1:46" x14ac:dyDescent="0.2">
      <c r="K29" s="66"/>
      <c r="L29" s="66"/>
      <c r="M29" s="66"/>
      <c r="AA29" s="26">
        <v>2016</v>
      </c>
      <c r="AB29" s="62">
        <f>G9*Additives!$Q$6</f>
        <v>0.97463428677376396</v>
      </c>
      <c r="AC29" s="62">
        <f>G9*Additives!$Q$7</f>
        <v>0.15809660835523079</v>
      </c>
      <c r="AD29" s="62">
        <f>$G9*Additives!$Q$8</f>
        <v>0.85187381596144252</v>
      </c>
      <c r="AE29" s="62">
        <f>$G9*Additives!$Q$9</f>
        <v>0.94776636329541375</v>
      </c>
      <c r="AF29" s="62">
        <f>$G9*Additives!$Q$10</f>
        <v>0.71220181025579132</v>
      </c>
      <c r="AG29" s="62">
        <f>$G9*Additives!$Q$11</f>
        <v>0</v>
      </c>
      <c r="AH29" s="62"/>
      <c r="AI29" s="62">
        <f>$G9*Additives!$Q$12</f>
        <v>0.88646166220382516</v>
      </c>
      <c r="AJ29" s="33">
        <f>N9-SUM(Production_Consumption!AB29:AI29)</f>
        <v>0</v>
      </c>
    </row>
    <row r="30" spans="1:46" x14ac:dyDescent="0.2">
      <c r="K30" s="66"/>
      <c r="L30" s="66"/>
      <c r="M30" s="66"/>
      <c r="AA30" s="26">
        <v>2015</v>
      </c>
      <c r="AB30" s="62">
        <f>G10*Additives!$Q$6</f>
        <v>1.001129174553383</v>
      </c>
      <c r="AC30" s="62">
        <f>G10*Additives!$Q$7</f>
        <v>0.16239437619856806</v>
      </c>
      <c r="AD30" s="62">
        <f>$G10*Additives!$Q$8</f>
        <v>0.87503152902631598</v>
      </c>
      <c r="AE30" s="62">
        <f>$G10*Additives!$Q$9</f>
        <v>0.9735308616078342</v>
      </c>
      <c r="AF30" s="62">
        <f>$G10*Additives!$Q$10</f>
        <v>0.73156261799182054</v>
      </c>
      <c r="AG30" s="62">
        <f>$G10*Additives!$Q$11</f>
        <v>0</v>
      </c>
      <c r="AH30" s="62"/>
      <c r="AI30" s="62">
        <f>$G10*Additives!$Q$12</f>
        <v>0.9105596265169531</v>
      </c>
      <c r="AJ30" s="33">
        <f>N10-SUM(Production_Consumption!AB30:AI30)</f>
        <v>0</v>
      </c>
    </row>
    <row r="31" spans="1:46" x14ac:dyDescent="0.2">
      <c r="K31" s="66"/>
      <c r="L31" s="66"/>
      <c r="M31" s="66"/>
      <c r="AA31" s="26">
        <v>2014</v>
      </c>
      <c r="AB31" s="62">
        <f>G11*Additives!$Q$6</f>
        <v>0.98623204947982879</v>
      </c>
      <c r="AC31" s="62">
        <f>G11*Additives!$Q$7</f>
        <v>0.15997789549361693</v>
      </c>
      <c r="AD31" s="62">
        <f>$G11*Additives!$Q$8</f>
        <v>0.86201077759628808</v>
      </c>
      <c r="AE31" s="62">
        <f>$G11*Additives!$Q$9</f>
        <v>0.95904440833390281</v>
      </c>
      <c r="AF31" s="62">
        <f>$G11*Additives!$Q$10</f>
        <v>0.72067673023989998</v>
      </c>
      <c r="AG31" s="62">
        <f>$G11*Additives!$Q$11</f>
        <v>0</v>
      </c>
      <c r="AH31" s="62"/>
      <c r="AI31" s="62">
        <f>$G11*Additives!$Q$12</f>
        <v>0.89701020553518673</v>
      </c>
      <c r="AJ31" s="33">
        <f>N11-SUM(Production_Consumption!AB31:AI31)</f>
        <v>0</v>
      </c>
    </row>
    <row r="32" spans="1:46" x14ac:dyDescent="0.2">
      <c r="K32" s="66"/>
      <c r="L32" s="66"/>
      <c r="M32" s="66"/>
      <c r="AA32" s="26">
        <v>2013</v>
      </c>
      <c r="AB32" s="62">
        <f>G12*Additives!$Q$6</f>
        <v>0.93880220398921688</v>
      </c>
      <c r="AC32" s="62">
        <f>G12*Additives!$Q$7</f>
        <v>0.15228424279882008</v>
      </c>
      <c r="AD32" s="62">
        <f>$G12*Additives!$Q$8</f>
        <v>0.82055497820891443</v>
      </c>
      <c r="AE32" s="62">
        <f>$G12*Additives!$Q$9</f>
        <v>0.91292207015811166</v>
      </c>
      <c r="AF32" s="62">
        <f>$G12*Additives!$Q$10</f>
        <v>0.68601796409861882</v>
      </c>
      <c r="AG32" s="62">
        <f>$G12*Additives!$Q$11</f>
        <v>0</v>
      </c>
      <c r="AH32" s="62"/>
      <c r="AI32" s="62">
        <f>$G12*Additives!$Q$12</f>
        <v>0.85387121459033188</v>
      </c>
      <c r="AJ32" s="33">
        <f>N12-SUM(Production_Consumption!AB32:AI32)</f>
        <v>0</v>
      </c>
    </row>
    <row r="33" spans="11:36" x14ac:dyDescent="0.2">
      <c r="K33" s="66"/>
      <c r="L33" s="66"/>
      <c r="M33" s="66"/>
      <c r="AA33" s="26">
        <v>2012</v>
      </c>
      <c r="AB33" s="62">
        <f>G13*Additives!$Q$6</f>
        <v>0.93049482116002591</v>
      </c>
      <c r="AC33" s="62">
        <f>G13*Additives!$Q$7</f>
        <v>0.15093669216631453</v>
      </c>
      <c r="AD33" s="62">
        <f>$G13*Additives!$Q$8</f>
        <v>0.81329395527201243</v>
      </c>
      <c r="AE33" s="62">
        <f>$G13*Additives!$Q$9</f>
        <v>0.90484369848642776</v>
      </c>
      <c r="AF33" s="62">
        <f>$G13*Additives!$Q$10</f>
        <v>0.6799474480396952</v>
      </c>
      <c r="AG33" s="62">
        <f>$G13*Additives!$Q$11</f>
        <v>0</v>
      </c>
      <c r="AH33" s="62"/>
      <c r="AI33" s="62">
        <f>$G13*Additives!$Q$12</f>
        <v>0.84631537904128207</v>
      </c>
      <c r="AJ33" s="33">
        <f>N13-SUM(Production_Consumption!AB33:AI33)</f>
        <v>0</v>
      </c>
    </row>
    <row r="34" spans="11:36" x14ac:dyDescent="0.2">
      <c r="K34" s="66"/>
      <c r="L34" s="66"/>
      <c r="M34" s="66"/>
      <c r="AA34" s="26">
        <v>2011</v>
      </c>
      <c r="AB34" s="62">
        <f>G14*Additives!$Q$6</f>
        <v>0.87473040723007478</v>
      </c>
      <c r="AC34" s="62">
        <f>G14*Additives!$Q$7</f>
        <v>0.14189107902825662</v>
      </c>
      <c r="AD34" s="62">
        <f>$G14*Additives!$Q$8</f>
        <v>0.76455337151252911</v>
      </c>
      <c r="AE34" s="62">
        <f>$G14*Additives!$Q$9</f>
        <v>0.8506165524595426</v>
      </c>
      <c r="AF34" s="62">
        <f>$G14*Additives!$Q$10</f>
        <v>0.639198300295026</v>
      </c>
      <c r="AG34" s="62">
        <f>$G14*Additives!$Q$11</f>
        <v>0</v>
      </c>
      <c r="AH34" s="62"/>
      <c r="AI34" s="62">
        <f>$G14*Additives!$Q$12</f>
        <v>0.79559582634854853</v>
      </c>
      <c r="AJ34" s="33">
        <f>N14-SUM(Production_Consumption!AB34:AI34)</f>
        <v>0</v>
      </c>
    </row>
    <row r="35" spans="11:36" x14ac:dyDescent="0.2">
      <c r="K35" s="66"/>
      <c r="L35" s="66"/>
      <c r="M35" s="66"/>
      <c r="AA35" s="26">
        <v>2010</v>
      </c>
      <c r="AB35" s="62">
        <f>G15*Additives!$Q$6</f>
        <v>0.8569731400900592</v>
      </c>
      <c r="AC35" s="62">
        <f>G15*Additives!$Q$7</f>
        <v>0.13901065121385334</v>
      </c>
      <c r="AD35" s="62">
        <f>$G15*Additives!$Q$8</f>
        <v>0.74903272841091506</v>
      </c>
      <c r="AE35" s="62">
        <f>$G15*Additives!$Q$9</f>
        <v>0.83334880318399895</v>
      </c>
      <c r="AF35" s="62">
        <f>$G15*Additives!$Q$10</f>
        <v>0.62622239951466441</v>
      </c>
      <c r="AG35" s="62">
        <f>$G15*Additives!$Q$11</f>
        <v>0</v>
      </c>
      <c r="AH35" s="62"/>
      <c r="AI35" s="62">
        <f>$G15*Additives!$Q$12</f>
        <v>0.77944501290113544</v>
      </c>
      <c r="AJ35" s="33">
        <f>N15-SUM(Production_Consumption!AB35:AI35)</f>
        <v>0</v>
      </c>
    </row>
    <row r="36" spans="11:36" x14ac:dyDescent="0.2">
      <c r="K36" s="66"/>
      <c r="L36" s="66"/>
      <c r="M36" s="66"/>
      <c r="AA36" s="26">
        <v>2009</v>
      </c>
      <c r="AB36" s="62">
        <f>G16*Additives!$Q$6</f>
        <v>0.90797771775214164</v>
      </c>
      <c r="AC36" s="62">
        <f>G16*Additives!$Q$7</f>
        <v>0.14728416554470919</v>
      </c>
      <c r="AD36" s="62">
        <f>$G16*Additives!$Q$8</f>
        <v>0.7936130030781714</v>
      </c>
      <c r="AE36" s="62">
        <f>$G16*Additives!$Q$9</f>
        <v>0.88294732822894362</v>
      </c>
      <c r="AF36" s="62">
        <f>$G16*Additives!$Q$10</f>
        <v>0.66349335646253882</v>
      </c>
      <c r="AG36" s="62">
        <f>$G16*Additives!$Q$11</f>
        <v>0</v>
      </c>
      <c r="AH36" s="62"/>
      <c r="AI36" s="62">
        <f>$G16*Additives!$Q$12</f>
        <v>0.8258353393116703</v>
      </c>
      <c r="AJ36" s="33">
        <f>N16-SUM(Production_Consumption!AB36:AI36)</f>
        <v>0</v>
      </c>
    </row>
    <row r="37" spans="11:36" x14ac:dyDescent="0.2">
      <c r="K37" s="66"/>
      <c r="L37" s="66"/>
      <c r="M37" s="66"/>
      <c r="AA37" s="26">
        <v>2008</v>
      </c>
      <c r="AB37" s="62">
        <f>G17*Additives!$Q$6</f>
        <v>0.9181575253467118</v>
      </c>
      <c r="AC37" s="62">
        <f>G17*Additives!$Q$7</f>
        <v>0.14893544446671159</v>
      </c>
      <c r="AD37" s="62">
        <f>$G17*Additives!$Q$8</f>
        <v>0.80251060873295044</v>
      </c>
      <c r="AE37" s="62">
        <f>$G17*Additives!$Q$9</f>
        <v>0.89284650718650926</v>
      </c>
      <c r="AF37" s="62">
        <f>$G17*Additives!$Q$10</f>
        <v>0.67093212349063891</v>
      </c>
      <c r="AG37" s="62">
        <f>$G17*Additives!$Q$11</f>
        <v>0</v>
      </c>
      <c r="AH37" s="62"/>
      <c r="AI37" s="62">
        <f>$G17*Additives!$Q$12</f>
        <v>0.83509420623607233</v>
      </c>
      <c r="AJ37" s="33">
        <f>N17-SUM(Production_Consumption!AB37:AI37)</f>
        <v>0</v>
      </c>
    </row>
    <row r="38" spans="11:36" x14ac:dyDescent="0.2">
      <c r="K38" s="66"/>
      <c r="L38" s="66"/>
      <c r="M38" s="66"/>
      <c r="AA38" s="26">
        <v>2007</v>
      </c>
      <c r="AB38" s="62">
        <f>G18*Additives!$Q$6</f>
        <v>0.96316576326982895</v>
      </c>
      <c r="AC38" s="62">
        <f>G18*Additives!$Q$7</f>
        <v>0.1562362852643859</v>
      </c>
      <c r="AD38" s="62">
        <f>$G18*Additives!$Q$8</f>
        <v>0.84184981515075852</v>
      </c>
      <c r="AE38" s="62">
        <f>$G18*Additives!$Q$9</f>
        <v>0.93661399469808826</v>
      </c>
      <c r="AF38" s="62">
        <f>$G18*Additives!$Q$10</f>
        <v>0.70382133020157422</v>
      </c>
      <c r="AG38" s="62">
        <f>$G18*Additives!$Q$11</f>
        <v>0</v>
      </c>
      <c r="AH38" s="62"/>
      <c r="AI38" s="62">
        <f>$G18*Additives!$Q$12</f>
        <v>0.87603066614070213</v>
      </c>
      <c r="AJ38" s="33">
        <f>N18-SUM(Production_Consumption!AB38:AI38)</f>
        <v>0</v>
      </c>
    </row>
    <row r="39" spans="11:36" x14ac:dyDescent="0.2">
      <c r="K39" s="66"/>
      <c r="L39" s="66"/>
      <c r="M39" s="66"/>
      <c r="AA39" s="26">
        <v>2006</v>
      </c>
      <c r="AB39" s="62">
        <f>G19*Additives!$Q$6</f>
        <v>0.98238990961705419</v>
      </c>
      <c r="AC39" s="62">
        <f>G19*Additives!$Q$7</f>
        <v>0.15935465733200677</v>
      </c>
      <c r="AD39" s="62">
        <f>$G19*Additives!$Q$8</f>
        <v>0.85865257607313661</v>
      </c>
      <c r="AE39" s="62">
        <f>$G19*Additives!$Q$9</f>
        <v>0.95530818545068352</v>
      </c>
      <c r="AF39" s="62">
        <f>$G19*Additives!$Q$10</f>
        <v>0.7178691346087408</v>
      </c>
      <c r="AG39" s="62">
        <f>$G19*Additives!$Q$11</f>
        <v>0</v>
      </c>
      <c r="AH39" s="62"/>
      <c r="AI39" s="62">
        <f>$G19*Additives!$Q$12</f>
        <v>0.89351565405531941</v>
      </c>
      <c r="AJ39" s="33">
        <f>N19-SUM(Production_Consumption!AB39:AI39)</f>
        <v>0</v>
      </c>
    </row>
    <row r="40" spans="11:36" x14ac:dyDescent="0.2">
      <c r="K40" s="66"/>
      <c r="L40" s="66"/>
      <c r="M40" s="66"/>
      <c r="AA40" s="28">
        <v>2005</v>
      </c>
      <c r="AB40" s="63">
        <f>G20*Additives!$Q$6</f>
        <v>0.92792628140093081</v>
      </c>
      <c r="AC40" s="63">
        <f>G20*Additives!$Q$7</f>
        <v>0.15052004622039497</v>
      </c>
      <c r="AD40" s="63">
        <f>$G20*Additives!$Q$8</f>
        <v>0.81104893701673231</v>
      </c>
      <c r="AE40" s="63">
        <f>$G20*Additives!$Q$9</f>
        <v>0.90234596613749141</v>
      </c>
      <c r="AF40" s="63">
        <f>$G20*Additives!$Q$10</f>
        <v>0.67807051974878019</v>
      </c>
      <c r="AG40" s="63">
        <f>$G20*Additives!$Q$11</f>
        <v>0</v>
      </c>
      <c r="AH40" s="63"/>
      <c r="AI40" s="63">
        <f>$G20*Additives!$Q$12</f>
        <v>0.84397920838200724</v>
      </c>
      <c r="AJ40" s="33">
        <f>N20-SUM(Production_Consumption!AB40:AI40)</f>
        <v>0</v>
      </c>
    </row>
    <row r="41" spans="11:36" x14ac:dyDescent="0.2">
      <c r="AC41" s="2"/>
    </row>
    <row r="42" spans="11:36" x14ac:dyDescent="0.2">
      <c r="AA42" s="58"/>
      <c r="AB42" s="149" t="s">
        <v>191</v>
      </c>
      <c r="AC42" s="149"/>
      <c r="AD42" s="149"/>
      <c r="AE42" s="149"/>
      <c r="AF42" s="149"/>
      <c r="AG42" s="149"/>
      <c r="AH42" s="149"/>
      <c r="AI42" s="150"/>
    </row>
    <row r="43" spans="11:36" x14ac:dyDescent="0.2">
      <c r="AA43" s="55" t="s">
        <v>0</v>
      </c>
      <c r="AB43" s="25" t="s">
        <v>39</v>
      </c>
      <c r="AC43" s="25" t="s">
        <v>40</v>
      </c>
      <c r="AD43" s="25" t="s">
        <v>41</v>
      </c>
      <c r="AE43" s="25" t="s">
        <v>42</v>
      </c>
      <c r="AF43" s="25" t="s">
        <v>43</v>
      </c>
      <c r="AG43" s="25" t="s">
        <v>44</v>
      </c>
      <c r="AH43" s="25" t="s">
        <v>187</v>
      </c>
      <c r="AI43" s="25" t="s">
        <v>188</v>
      </c>
    </row>
    <row r="44" spans="11:36" x14ac:dyDescent="0.2">
      <c r="AA44" s="26">
        <v>2021</v>
      </c>
      <c r="AB44" s="30"/>
      <c r="AC44" s="30"/>
      <c r="AD44" s="30"/>
      <c r="AE44" s="30"/>
      <c r="AF44" s="30"/>
      <c r="AG44" s="30"/>
      <c r="AH44" s="30"/>
      <c r="AI44" s="30"/>
    </row>
    <row r="45" spans="11:36" x14ac:dyDescent="0.2">
      <c r="AA45" s="26">
        <v>2020</v>
      </c>
      <c r="AB45" s="62">
        <f t="shared" ref="AB45:AI54" si="5">AB25+AB4</f>
        <v>5.5106984887647954</v>
      </c>
      <c r="AC45" s="62">
        <f t="shared" si="5"/>
        <v>23.377179715071208</v>
      </c>
      <c r="AD45" s="62">
        <f t="shared" si="5"/>
        <v>11.427623364935089</v>
      </c>
      <c r="AE45" s="62">
        <f t="shared" si="5"/>
        <v>3.705080691261323</v>
      </c>
      <c r="AF45" s="62">
        <f t="shared" si="5"/>
        <v>14.484604539992759</v>
      </c>
      <c r="AG45" s="62">
        <f t="shared" si="5"/>
        <v>0.45348760506996111</v>
      </c>
      <c r="AH45" s="62">
        <f t="shared" si="5"/>
        <v>2.9837415294558709</v>
      </c>
      <c r="AI45" s="62">
        <f t="shared" si="5"/>
        <v>5.20516255678851</v>
      </c>
    </row>
    <row r="46" spans="11:36" x14ac:dyDescent="0.2">
      <c r="AA46" s="26">
        <v>2019</v>
      </c>
      <c r="AB46" s="62">
        <f t="shared" si="5"/>
        <v>5.6503393527104686</v>
      </c>
      <c r="AC46" s="62">
        <f t="shared" si="5"/>
        <v>23.969556448924685</v>
      </c>
      <c r="AD46" s="62">
        <f t="shared" si="5"/>
        <v>11.717198852104044</v>
      </c>
      <c r="AE46" s="62">
        <f t="shared" si="5"/>
        <v>3.7989672774665011</v>
      </c>
      <c r="AF46" s="62">
        <f t="shared" si="5"/>
        <v>14.851643799353393</v>
      </c>
      <c r="AG46" s="62">
        <f t="shared" si="5"/>
        <v>0.46497896158125113</v>
      </c>
      <c r="AH46" s="62">
        <f t="shared" si="5"/>
        <v>2.9875199949492912</v>
      </c>
      <c r="AI46" s="62">
        <f t="shared" si="5"/>
        <v>5.337061153289393</v>
      </c>
    </row>
    <row r="47" spans="11:36" x14ac:dyDescent="0.2">
      <c r="AA47" s="26">
        <v>2018</v>
      </c>
      <c r="AB47" s="62">
        <f t="shared" si="5"/>
        <v>5.4762023462407079</v>
      </c>
      <c r="AC47" s="62">
        <f t="shared" si="5"/>
        <v>23.23084209110095</v>
      </c>
      <c r="AD47" s="62">
        <f t="shared" si="5"/>
        <v>11.356088163887144</v>
      </c>
      <c r="AE47" s="62">
        <f t="shared" si="5"/>
        <v>3.6818874441893632</v>
      </c>
      <c r="AF47" s="62">
        <f t="shared" si="5"/>
        <v>14.393933097228226</v>
      </c>
      <c r="AG47" s="62">
        <f t="shared" si="5"/>
        <v>0.45064884096604679</v>
      </c>
      <c r="AH47" s="62">
        <f t="shared" si="5"/>
        <v>2.8612865189885652</v>
      </c>
      <c r="AI47" s="62">
        <f t="shared" si="5"/>
        <v>5.1725790231790949</v>
      </c>
    </row>
    <row r="48" spans="11:36" x14ac:dyDescent="0.2">
      <c r="AA48" s="26">
        <v>2017</v>
      </c>
      <c r="AB48" s="62">
        <f t="shared" si="5"/>
        <v>5.3380755514360381</v>
      </c>
      <c r="AC48" s="62">
        <f t="shared" si="5"/>
        <v>22.644888257444684</v>
      </c>
      <c r="AD48" s="62">
        <f t="shared" si="5"/>
        <v>11.069652426048901</v>
      </c>
      <c r="AE48" s="62">
        <f t="shared" si="5"/>
        <v>3.5890188320851095</v>
      </c>
      <c r="AF48" s="62">
        <f t="shared" si="5"/>
        <v>14.030873495400723</v>
      </c>
      <c r="AG48" s="62">
        <f t="shared" si="5"/>
        <v>0.43928208056359191</v>
      </c>
      <c r="AH48" s="62">
        <f t="shared" si="5"/>
        <v>2.9992585871777737</v>
      </c>
      <c r="AI48" s="62">
        <f t="shared" si="5"/>
        <v>5.0421105495595864</v>
      </c>
    </row>
    <row r="49" spans="22:39" x14ac:dyDescent="0.2">
      <c r="AA49" s="26">
        <v>2016</v>
      </c>
      <c r="AB49" s="62">
        <f t="shared" si="5"/>
        <v>4.9860744842363776</v>
      </c>
      <c r="AC49" s="62">
        <f t="shared" si="5"/>
        <v>21.151648838775674</v>
      </c>
      <c r="AD49" s="62">
        <f t="shared" si="5"/>
        <v>10.339702197740444</v>
      </c>
      <c r="AE49" s="62">
        <f t="shared" si="5"/>
        <v>3.3523533059192654</v>
      </c>
      <c r="AF49" s="62">
        <f t="shared" si="5"/>
        <v>13.105655709227607</v>
      </c>
      <c r="AG49" s="62">
        <f t="shared" si="5"/>
        <v>0.4103151317690073</v>
      </c>
      <c r="AH49" s="62">
        <f t="shared" si="5"/>
        <v>3</v>
      </c>
      <c r="AI49" s="62">
        <f t="shared" si="5"/>
        <v>4.7096258783926181</v>
      </c>
    </row>
    <row r="50" spans="22:39" x14ac:dyDescent="0.2">
      <c r="AA50" s="26">
        <v>2015</v>
      </c>
      <c r="AB50" s="62">
        <f t="shared" si="5"/>
        <v>5.1216181293896392</v>
      </c>
      <c r="AC50" s="62">
        <f t="shared" si="5"/>
        <v>21.726644578144075</v>
      </c>
      <c r="AD50" s="62">
        <f t="shared" si="5"/>
        <v>10.620781216939166</v>
      </c>
      <c r="AE50" s="62">
        <f t="shared" si="5"/>
        <v>3.4434851549043644</v>
      </c>
      <c r="AF50" s="62">
        <f t="shared" si="5"/>
        <v>13.461925627089537</v>
      </c>
      <c r="AG50" s="62">
        <f t="shared" si="5"/>
        <v>0.4214693190554874</v>
      </c>
      <c r="AH50" s="62">
        <f t="shared" si="5"/>
        <v>2.9863005003357914</v>
      </c>
      <c r="AI50" s="62">
        <f t="shared" si="5"/>
        <v>4.8376544228685701</v>
      </c>
    </row>
    <row r="51" spans="22:39" x14ac:dyDescent="0.2">
      <c r="AA51" s="26">
        <v>2014</v>
      </c>
      <c r="AB51" s="62">
        <f>AB31+AB10</f>
        <v>5.0454067994316061</v>
      </c>
      <c r="AC51" s="62">
        <f t="shared" si="5"/>
        <v>21.403345097980928</v>
      </c>
      <c r="AD51" s="62">
        <f t="shared" si="5"/>
        <v>10.462740566252721</v>
      </c>
      <c r="AE51" s="62">
        <f t="shared" si="5"/>
        <v>3.3922449849588396</v>
      </c>
      <c r="AF51" s="62">
        <f t="shared" si="5"/>
        <v>13.261607831049776</v>
      </c>
      <c r="AG51" s="62">
        <f t="shared" si="5"/>
        <v>0.41519771962533752</v>
      </c>
      <c r="AH51" s="62">
        <f t="shared" si="5"/>
        <v>3.0334186483055561</v>
      </c>
      <c r="AI51" s="62">
        <f t="shared" si="5"/>
        <v>4.7656685644679735</v>
      </c>
    </row>
    <row r="52" spans="22:39" x14ac:dyDescent="0.2">
      <c r="AA52" s="26">
        <v>2013</v>
      </c>
      <c r="AB52" s="62">
        <f t="shared" si="5"/>
        <v>4.8027632298370673</v>
      </c>
      <c r="AC52" s="62">
        <f t="shared" si="5"/>
        <v>20.374015994840434</v>
      </c>
      <c r="AD52" s="62">
        <f t="shared" si="5"/>
        <v>9.9595667252409026</v>
      </c>
      <c r="AE52" s="62">
        <f t="shared" si="5"/>
        <v>3.2291052293731628</v>
      </c>
      <c r="AF52" s="62">
        <f t="shared" si="5"/>
        <v>12.623830939986934</v>
      </c>
      <c r="AG52" s="62">
        <f t="shared" si="5"/>
        <v>0.39523004193703815</v>
      </c>
      <c r="AH52" s="62">
        <f t="shared" si="5"/>
        <v>3.0847183208635998</v>
      </c>
      <c r="AI52" s="62">
        <f t="shared" si="5"/>
        <v>4.536478158628495</v>
      </c>
    </row>
    <row r="53" spans="22:39" x14ac:dyDescent="0.2">
      <c r="AA53" s="26">
        <v>2012</v>
      </c>
      <c r="AB53" s="62">
        <f t="shared" si="5"/>
        <v>4.7602639764068142</v>
      </c>
      <c r="AC53" s="62">
        <f t="shared" si="5"/>
        <v>20.193728017332511</v>
      </c>
      <c r="AD53" s="62">
        <f t="shared" si="5"/>
        <v>9.8714353454381367</v>
      </c>
      <c r="AE53" s="62">
        <f t="shared" si="5"/>
        <v>3.200531145053636</v>
      </c>
      <c r="AF53" s="62">
        <f t="shared" si="5"/>
        <v>12.512123707149355</v>
      </c>
      <c r="AG53" s="62">
        <f t="shared" si="5"/>
        <v>0.39173268408038164</v>
      </c>
      <c r="AH53" s="62">
        <f t="shared" si="5"/>
        <v>3.1198400117084604</v>
      </c>
      <c r="AI53" s="62">
        <f t="shared" si="5"/>
        <v>4.4963352397049441</v>
      </c>
    </row>
    <row r="54" spans="22:39" x14ac:dyDescent="0.2">
      <c r="AA54" s="26">
        <v>2011</v>
      </c>
      <c r="AB54" s="62">
        <f t="shared" si="5"/>
        <v>4.4749820761107433</v>
      </c>
      <c r="AC54" s="62">
        <f t="shared" si="5"/>
        <v>18.983520950791814</v>
      </c>
      <c r="AD54" s="62">
        <f t="shared" si="5"/>
        <v>9.2798417178674857</v>
      </c>
      <c r="AE54" s="62">
        <f t="shared" si="5"/>
        <v>3.0087237974899277</v>
      </c>
      <c r="AF54" s="62">
        <f t="shared" si="5"/>
        <v>11.762274025365651</v>
      </c>
      <c r="AG54" s="62">
        <f t="shared" si="5"/>
        <v>0.36825620355820543</v>
      </c>
      <c r="AH54" s="62">
        <f t="shared" si="5"/>
        <v>3.0645692607415183</v>
      </c>
      <c r="AI54" s="62">
        <f t="shared" si="5"/>
        <v>4.2268705486901714</v>
      </c>
    </row>
    <row r="55" spans="22:39" x14ac:dyDescent="0.2">
      <c r="AA55" s="26">
        <v>2010</v>
      </c>
      <c r="AB55" s="62">
        <f t="shared" ref="AB55:AI60" si="6">AB35+AB14</f>
        <v>4.3841387128122049</v>
      </c>
      <c r="AC55" s="62">
        <f t="shared" si="6"/>
        <v>18.598150269728215</v>
      </c>
      <c r="AD55" s="62">
        <f t="shared" si="6"/>
        <v>9.0914583862270089</v>
      </c>
      <c r="AE55" s="62">
        <f t="shared" si="6"/>
        <v>2.9476458793325699</v>
      </c>
      <c r="AF55" s="62">
        <f t="shared" si="6"/>
        <v>11.523496637137111</v>
      </c>
      <c r="AG55" s="62">
        <f t="shared" si="6"/>
        <v>0.36078050164079051</v>
      </c>
      <c r="AH55" s="62">
        <f t="shared" si="6"/>
        <v>3.0668731681189612</v>
      </c>
      <c r="AI55" s="62">
        <f t="shared" si="6"/>
        <v>4.141063917436739</v>
      </c>
    </row>
    <row r="56" spans="22:39" x14ac:dyDescent="0.2">
      <c r="AA56" s="26">
        <v>2009</v>
      </c>
      <c r="AB56" s="62">
        <f t="shared" si="6"/>
        <v>4.6450700454272198</v>
      </c>
      <c r="AC56" s="62">
        <f t="shared" si="6"/>
        <v>19.705058707609648</v>
      </c>
      <c r="AD56" s="62">
        <f t="shared" si="6"/>
        <v>9.6325558531478208</v>
      </c>
      <c r="AE56" s="62">
        <f t="shared" si="6"/>
        <v>3.123081288144725</v>
      </c>
      <c r="AF56" s="62">
        <f t="shared" si="6"/>
        <v>12.209342029101016</v>
      </c>
      <c r="AG56" s="62">
        <f t="shared" si="6"/>
        <v>0.38225311992258282</v>
      </c>
      <c r="AH56" s="62">
        <f t="shared" si="6"/>
        <v>2.8216172775220043</v>
      </c>
      <c r="AI56" s="62">
        <f t="shared" si="6"/>
        <v>4.3875281370251775</v>
      </c>
    </row>
    <row r="57" spans="22:39" x14ac:dyDescent="0.2">
      <c r="AA57" s="26">
        <v>2008</v>
      </c>
      <c r="AB57" s="62">
        <f t="shared" si="6"/>
        <v>4.6971483270868344</v>
      </c>
      <c r="AC57" s="62">
        <f t="shared" si="6"/>
        <v>19.925982307783208</v>
      </c>
      <c r="AD57" s="62">
        <f t="shared" si="6"/>
        <v>9.7405514165981604</v>
      </c>
      <c r="AE57" s="62">
        <f t="shared" si="6"/>
        <v>3.1580957670178664</v>
      </c>
      <c r="AF57" s="62">
        <f t="shared" si="6"/>
        <v>12.346227274501361</v>
      </c>
      <c r="AG57" s="62">
        <f t="shared" si="6"/>
        <v>0.38653875726495013</v>
      </c>
      <c r="AH57" s="62">
        <f t="shared" si="6"/>
        <v>3.2473512649421061</v>
      </c>
      <c r="AI57" s="62">
        <f t="shared" si="6"/>
        <v>4.436718983207232</v>
      </c>
    </row>
    <row r="58" spans="22:39" x14ac:dyDescent="0.2">
      <c r="AA58" s="26">
        <v>2007</v>
      </c>
      <c r="AB58" s="62">
        <f t="shared" si="6"/>
        <v>4.9274033363085508</v>
      </c>
      <c r="AC58" s="62">
        <f t="shared" si="6"/>
        <v>20.902757346708984</v>
      </c>
      <c r="AD58" s="62">
        <f t="shared" si="6"/>
        <v>10.218034902337774</v>
      </c>
      <c r="AE58" s="62">
        <f t="shared" si="6"/>
        <v>3.3129061582002013</v>
      </c>
      <c r="AF58" s="62">
        <f t="shared" si="6"/>
        <v>12.951441433600911</v>
      </c>
      <c r="AG58" s="62">
        <f t="shared" si="6"/>
        <v>0.40548695283402453</v>
      </c>
      <c r="AH58" s="62">
        <f t="shared" si="6"/>
        <v>3.4445898967659003</v>
      </c>
      <c r="AI58" s="62">
        <f t="shared" si="6"/>
        <v>4.6542077017349115</v>
      </c>
    </row>
    <row r="59" spans="22:39" x14ac:dyDescent="0.2">
      <c r="AA59" s="26">
        <v>2006</v>
      </c>
      <c r="AB59" s="62">
        <f t="shared" si="6"/>
        <v>5.0257510210595342</v>
      </c>
      <c r="AC59" s="62">
        <f t="shared" si="6"/>
        <v>21.319962444333594</v>
      </c>
      <c r="AD59" s="62">
        <f t="shared" si="6"/>
        <v>10.421980065086013</v>
      </c>
      <c r="AE59" s="62">
        <f t="shared" si="6"/>
        <v>3.3790295559045092</v>
      </c>
      <c r="AF59" s="62">
        <f t="shared" si="6"/>
        <v>13.209943567939451</v>
      </c>
      <c r="AG59" s="62">
        <f t="shared" si="6"/>
        <v>0.41358020201338508</v>
      </c>
      <c r="AH59" s="62">
        <f t="shared" si="6"/>
        <v>3.5450205530074643</v>
      </c>
      <c r="AI59" s="62">
        <f t="shared" si="6"/>
        <v>4.7471025838004701</v>
      </c>
    </row>
    <row r="60" spans="22:39" x14ac:dyDescent="0.2">
      <c r="AA60" s="28">
        <v>2005</v>
      </c>
      <c r="AB60" s="63">
        <f t="shared" si="6"/>
        <v>4.7471237342376575</v>
      </c>
      <c r="AC60" s="63">
        <f t="shared" si="6"/>
        <v>20.1379852102611</v>
      </c>
      <c r="AD60" s="63">
        <f t="shared" si="6"/>
        <v>9.844186215633755</v>
      </c>
      <c r="AE60" s="63">
        <f t="shared" si="6"/>
        <v>3.1916963925011776</v>
      </c>
      <c r="AF60" s="63">
        <f t="shared" si="6"/>
        <v>12.477585215927595</v>
      </c>
      <c r="AG60" s="63">
        <f t="shared" si="6"/>
        <v>0.39065134439840132</v>
      </c>
      <c r="AH60" s="63">
        <f t="shared" si="6"/>
        <v>3.8466363902030194</v>
      </c>
      <c r="AI60" s="63">
        <f t="shared" si="6"/>
        <v>4.4839235469466709</v>
      </c>
    </row>
    <row r="62" spans="22:39" x14ac:dyDescent="0.2">
      <c r="AA62" s="58"/>
      <c r="AB62" s="149" t="s">
        <v>192</v>
      </c>
      <c r="AC62" s="149"/>
      <c r="AD62" s="149"/>
      <c r="AE62" s="149"/>
      <c r="AF62" s="149"/>
      <c r="AG62" s="149"/>
      <c r="AH62" s="149"/>
      <c r="AI62" s="149"/>
      <c r="AJ62" s="150"/>
      <c r="AK62" s="3"/>
      <c r="AL62" s="3"/>
      <c r="AM62" s="3"/>
    </row>
    <row r="63" spans="22:39" x14ac:dyDescent="0.2">
      <c r="AA63" s="64" t="s">
        <v>0</v>
      </c>
      <c r="AB63" s="25" t="s">
        <v>39</v>
      </c>
      <c r="AC63" s="25" t="s">
        <v>40</v>
      </c>
      <c r="AD63" s="25" t="s">
        <v>41</v>
      </c>
      <c r="AE63" s="25" t="s">
        <v>42</v>
      </c>
      <c r="AF63" s="25" t="s">
        <v>43</v>
      </c>
      <c r="AG63" s="25" t="s">
        <v>44</v>
      </c>
      <c r="AH63" s="25" t="s">
        <v>187</v>
      </c>
      <c r="AI63" s="25" t="s">
        <v>45</v>
      </c>
      <c r="AJ63" s="25" t="s">
        <v>63</v>
      </c>
      <c r="AK63" s="3"/>
      <c r="AL63" s="3"/>
    </row>
    <row r="64" spans="22:39" x14ac:dyDescent="0.2">
      <c r="V64" s="60"/>
      <c r="W64" s="3"/>
      <c r="X64" s="3"/>
      <c r="Y64" s="60"/>
      <c r="Z64" s="3"/>
      <c r="AA64" s="26">
        <v>2021</v>
      </c>
      <c r="AB64" s="30"/>
      <c r="AC64" s="30"/>
      <c r="AD64" s="30"/>
      <c r="AE64" s="30"/>
      <c r="AF64" s="30"/>
      <c r="AG64" s="30"/>
      <c r="AH64" s="30"/>
      <c r="AI64" s="30"/>
      <c r="AJ64" s="30"/>
    </row>
    <row r="65" spans="27:38" x14ac:dyDescent="0.2">
      <c r="AA65" s="26">
        <v>2020</v>
      </c>
      <c r="AB65" s="62">
        <f>Trade!C7+Trade!C30</f>
        <v>0.68114025062400918</v>
      </c>
      <c r="AC65" s="62">
        <f>Trade!D7+Trade!D30</f>
        <v>1.9704722632303437</v>
      </c>
      <c r="AD65" s="62">
        <f>Trade!E7+Trade!E30</f>
        <v>3.7858570536527587</v>
      </c>
      <c r="AE65" s="62">
        <f>Trade!F7+Trade!F30</f>
        <v>4.1165812777843174</v>
      </c>
      <c r="AF65" s="62">
        <f>Trade!G7+Trade!G30</f>
        <v>2.8059118318502074</v>
      </c>
      <c r="AG65" s="62">
        <f>Trade!H7+Trade!H30</f>
        <v>0</v>
      </c>
      <c r="AH65" s="62">
        <f>Trade!I7+Trade!I30</f>
        <v>6.5451822607732941</v>
      </c>
      <c r="AI65" s="62">
        <f>Trade!J7+Trade!J30</f>
        <v>1.3576559291300321</v>
      </c>
      <c r="AJ65" s="62">
        <f>SUM(AB65:AI65)</f>
        <v>21.262800867044962</v>
      </c>
      <c r="AK65" s="33"/>
      <c r="AL65" s="33"/>
    </row>
    <row r="66" spans="27:38" x14ac:dyDescent="0.2">
      <c r="AA66" s="26">
        <v>2019</v>
      </c>
      <c r="AB66" s="62">
        <f>Trade!C8+Trade!C31</f>
        <v>0.8678530324836421</v>
      </c>
      <c r="AC66" s="62">
        <f>Trade!D8+Trade!D31</f>
        <v>1.4949361441134068</v>
      </c>
      <c r="AD66" s="62">
        <f>Trade!E8+Trade!E31</f>
        <v>3.7718374286293588</v>
      </c>
      <c r="AE66" s="62">
        <f>Trade!F8+Trade!F31</f>
        <v>0.66013841953169361</v>
      </c>
      <c r="AF66" s="62">
        <f>Trade!G8+Trade!G31</f>
        <v>2.3693108444174982</v>
      </c>
      <c r="AG66" s="62">
        <f>Trade!H8+Trade!H31</f>
        <v>0</v>
      </c>
      <c r="AH66" s="62">
        <f>Trade!I8+Trade!I31</f>
        <v>4.630515567092087</v>
      </c>
      <c r="AI66" s="62">
        <f>Trade!J8+Trade!J31</f>
        <v>0.71114327325369764</v>
      </c>
      <c r="AJ66" s="62">
        <f t="shared" ref="AJ66:AJ80" si="7">SUM(AB66:AI66)</f>
        <v>14.505734709521384</v>
      </c>
      <c r="AK66" s="33"/>
      <c r="AL66" s="33"/>
    </row>
    <row r="67" spans="27:38" x14ac:dyDescent="0.2">
      <c r="AA67" s="26">
        <v>2018</v>
      </c>
      <c r="AB67" s="62">
        <f>Trade!C9+Trade!C32</f>
        <v>0.91471967665520471</v>
      </c>
      <c r="AC67" s="62">
        <f>Trade!D9+Trade!D32</f>
        <v>1.3168419588201252</v>
      </c>
      <c r="AD67" s="62">
        <f>Trade!E9+Trade!E32</f>
        <v>3.5496546227862162</v>
      </c>
      <c r="AE67" s="62">
        <f>Trade!F9+Trade!F32</f>
        <v>0.71732386829963157</v>
      </c>
      <c r="AF67" s="62">
        <f>Trade!G9+Trade!G32</f>
        <v>2.1720402191369956</v>
      </c>
      <c r="AG67" s="62">
        <f>Trade!H9+Trade!H32</f>
        <v>0</v>
      </c>
      <c r="AH67" s="62">
        <f>Trade!I9+Trade!I32</f>
        <v>5.7400581185605244</v>
      </c>
      <c r="AI67" s="62">
        <f>Trade!J9+Trade!J32</f>
        <v>0.6875049371712656</v>
      </c>
      <c r="AJ67" s="62">
        <f t="shared" si="7"/>
        <v>15.098143401429963</v>
      </c>
      <c r="AK67" s="33"/>
      <c r="AL67" s="33"/>
    </row>
    <row r="68" spans="27:38" x14ac:dyDescent="0.2">
      <c r="AA68" s="26">
        <v>2017</v>
      </c>
      <c r="AB68" s="62">
        <f>Trade!C10+Trade!C33</f>
        <v>1.0898390099629824</v>
      </c>
      <c r="AC68" s="62">
        <f>Trade!D10+Trade!D33</f>
        <v>1.3681912357151123</v>
      </c>
      <c r="AD68" s="62">
        <f>Trade!E10+Trade!E33</f>
        <v>3.0833363526532573</v>
      </c>
      <c r="AE68" s="62">
        <f>Trade!F10+Trade!F33</f>
        <v>0.60630511773125062</v>
      </c>
      <c r="AF68" s="62">
        <f>Trade!G10+Trade!G33</f>
        <v>2.0676347365911116</v>
      </c>
      <c r="AG68" s="62">
        <f>Trade!H10+Trade!H33</f>
        <v>0</v>
      </c>
      <c r="AH68" s="62">
        <f>Trade!I10+Trade!I33</f>
        <v>5.7040119562590164</v>
      </c>
      <c r="AI68" s="62">
        <f>Trade!J10+Trade!J33</f>
        <v>0.53697119182713837</v>
      </c>
      <c r="AJ68" s="62">
        <f t="shared" si="7"/>
        <v>14.456289600739868</v>
      </c>
      <c r="AK68" s="33"/>
      <c r="AL68" s="33"/>
    </row>
    <row r="69" spans="27:38" x14ac:dyDescent="0.2">
      <c r="AA69" s="26">
        <v>2016</v>
      </c>
      <c r="AB69" s="62">
        <f>Trade!C11+Trade!C34</f>
        <v>0.7481103269807019</v>
      </c>
      <c r="AC69" s="62">
        <f>Trade!D11+Trade!D34</f>
        <v>0.80779336685598579</v>
      </c>
      <c r="AD69" s="62">
        <f>Trade!E11+Trade!E34</f>
        <v>1.146753280509111</v>
      </c>
      <c r="AE69" s="62">
        <f>Trade!F11+Trade!F34</f>
        <v>0.64368915537582272</v>
      </c>
      <c r="AF69" s="62">
        <f>Trade!G11+Trade!G34</f>
        <v>1.8575571954075496</v>
      </c>
      <c r="AG69" s="62">
        <f>Trade!H11+Trade!H34</f>
        <v>0</v>
      </c>
      <c r="AH69" s="62">
        <f>Trade!I11+Trade!I34</f>
        <v>5.181808186681546</v>
      </c>
      <c r="AI69" s="62">
        <f>Trade!J11+Trade!J34</f>
        <v>0.32518850805969923</v>
      </c>
      <c r="AJ69" s="62">
        <f t="shared" si="7"/>
        <v>10.710900019870417</v>
      </c>
      <c r="AK69" s="33"/>
      <c r="AL69" s="33"/>
    </row>
    <row r="70" spans="27:38" x14ac:dyDescent="0.2">
      <c r="AA70" s="26">
        <v>2015</v>
      </c>
      <c r="AB70" s="62">
        <f>Trade!C12+Trade!C35</f>
        <v>0.77411878770928499</v>
      </c>
      <c r="AC70" s="62">
        <f>Trade!D12+Trade!D35</f>
        <v>1.3060864775246226</v>
      </c>
      <c r="AD70" s="62">
        <f>Trade!E12+Trade!E35</f>
        <v>2.057250235375442</v>
      </c>
      <c r="AE70" s="62">
        <f>Trade!F12+Trade!F35</f>
        <v>3.9083055517672465</v>
      </c>
      <c r="AF70" s="62">
        <f>Trade!G12+Trade!G35</f>
        <v>1.8944822379927468</v>
      </c>
      <c r="AG70" s="62">
        <f>Trade!H12+Trade!H35</f>
        <v>0</v>
      </c>
      <c r="AH70" s="62">
        <f>Trade!I12+Trade!I35</f>
        <v>5.611349413613973</v>
      </c>
      <c r="AI70" s="62">
        <f>Trade!J12+Trade!J35</f>
        <v>0.47458886813458323</v>
      </c>
      <c r="AJ70" s="62">
        <f t="shared" si="7"/>
        <v>16.026181572117899</v>
      </c>
      <c r="AK70" s="33"/>
      <c r="AL70" s="33"/>
    </row>
    <row r="71" spans="27:38" x14ac:dyDescent="0.2">
      <c r="AA71" s="26">
        <v>2014</v>
      </c>
      <c r="AB71" s="62">
        <f>Trade!C13+Trade!C36</f>
        <v>0.64091088774149707</v>
      </c>
      <c r="AC71" s="62">
        <f>Trade!D13+Trade!D36</f>
        <v>0.7756999267094471</v>
      </c>
      <c r="AD71" s="62">
        <f>Trade!E13+Trade!E36</f>
        <v>1.7291431426000463</v>
      </c>
      <c r="AE71" s="62">
        <f>Trade!F13+Trade!F36</f>
        <v>0.51481734894888653</v>
      </c>
      <c r="AF71" s="62">
        <f>Trade!G13+Trade!G36</f>
        <v>1.6262403904074496</v>
      </c>
      <c r="AG71" s="62">
        <f>Trade!H13+Trade!H36</f>
        <v>0</v>
      </c>
      <c r="AH71" s="62">
        <f>Trade!I13+Trade!I36</f>
        <v>4.493379302917262</v>
      </c>
      <c r="AI71" s="62">
        <f>Trade!J13+Trade!J36</f>
        <v>0.43668638085242162</v>
      </c>
      <c r="AJ71" s="62">
        <f t="shared" si="7"/>
        <v>10.21687738017701</v>
      </c>
      <c r="AK71" s="33"/>
      <c r="AL71" s="33"/>
    </row>
    <row r="72" spans="27:38" x14ac:dyDescent="0.2">
      <c r="AA72" s="26">
        <v>2013</v>
      </c>
      <c r="AB72" s="62">
        <f>Trade!C14+Trade!C37</f>
        <v>0.78928544953923552</v>
      </c>
      <c r="AC72" s="62">
        <f>Trade!D14+Trade!D37</f>
        <v>2.2927766129636042</v>
      </c>
      <c r="AD72" s="62">
        <f>Trade!E14+Trade!E37</f>
        <v>3.4959976610000001</v>
      </c>
      <c r="AE72" s="62">
        <f>Trade!F14+Trade!F37</f>
        <v>0.49088910859566659</v>
      </c>
      <c r="AF72" s="62">
        <f>Trade!G14+Trade!G37</f>
        <v>1.9988057830758519</v>
      </c>
      <c r="AG72" s="62">
        <f>Trade!H14+Trade!H37</f>
        <v>0</v>
      </c>
      <c r="AH72" s="62">
        <f>Trade!I14+Trade!I37</f>
        <v>5.2370950130243497</v>
      </c>
      <c r="AI72" s="62">
        <f>Trade!J14+Trade!J37</f>
        <v>1.2692565256000001</v>
      </c>
      <c r="AJ72" s="62">
        <f t="shared" si="7"/>
        <v>15.574106153798708</v>
      </c>
      <c r="AK72" s="33"/>
      <c r="AL72" s="33"/>
    </row>
    <row r="73" spans="27:38" x14ac:dyDescent="0.2">
      <c r="AA73" s="26">
        <v>2012</v>
      </c>
      <c r="AB73" s="62">
        <f>Trade!C15+Trade!C38</f>
        <v>0.73593474118762481</v>
      </c>
      <c r="AC73" s="62">
        <f>Trade!D15+Trade!D38</f>
        <v>4.3549650900904062</v>
      </c>
      <c r="AD73" s="62">
        <f>Trade!E15+Trade!E38</f>
        <v>1.5640938373000002</v>
      </c>
      <c r="AE73" s="62">
        <f>Trade!F15+Trade!F38</f>
        <v>1.9781407402391249</v>
      </c>
      <c r="AF73" s="62">
        <f>Trade!G15+Trade!G38</f>
        <v>1.6823882609594101</v>
      </c>
      <c r="AG73" s="62">
        <f>Trade!H15+Trade!H38</f>
        <v>0</v>
      </c>
      <c r="AH73" s="62">
        <f>Trade!I15+Trade!I38</f>
        <v>4.7064653040378692</v>
      </c>
      <c r="AI73" s="62">
        <f>Trade!J15+Trade!J38</f>
        <v>0.53644736320000008</v>
      </c>
      <c r="AJ73" s="62">
        <f t="shared" si="7"/>
        <v>15.558435337014437</v>
      </c>
      <c r="AK73" s="33"/>
      <c r="AL73" s="33"/>
    </row>
    <row r="74" spans="27:38" x14ac:dyDescent="0.2">
      <c r="AA74" s="26">
        <v>2011</v>
      </c>
      <c r="AB74" s="62">
        <f>Trade!C16+Trade!C39</f>
        <v>0.35330465012402501</v>
      </c>
      <c r="AC74" s="62">
        <f>Trade!D16+Trade!D39</f>
        <v>1.2349058849394385</v>
      </c>
      <c r="AD74" s="62">
        <f>Trade!E16+Trade!E39</f>
        <v>1.2400445089999999</v>
      </c>
      <c r="AE74" s="62">
        <f>Trade!F16+Trade!F39</f>
        <v>1.24060367240226</v>
      </c>
      <c r="AF74" s="62">
        <f>Trade!G16+Trade!G39</f>
        <v>2.0672682670448905</v>
      </c>
      <c r="AG74" s="62">
        <f>Trade!H16+Trade!H39</f>
        <v>0</v>
      </c>
      <c r="AH74" s="62">
        <f>Trade!I16+Trade!I39</f>
        <v>3.6355560381144603</v>
      </c>
      <c r="AI74" s="62">
        <f>Trade!J16+Trade!J39</f>
        <v>0.29606214314359841</v>
      </c>
      <c r="AJ74" s="62">
        <f t="shared" si="7"/>
        <v>10.067745164768674</v>
      </c>
      <c r="AK74" s="33"/>
      <c r="AL74" s="33"/>
    </row>
    <row r="75" spans="27:38" x14ac:dyDescent="0.2">
      <c r="AA75" s="26">
        <v>2010</v>
      </c>
      <c r="AB75" s="62">
        <f>Trade!C17+Trade!C40</f>
        <v>0.45440257358700858</v>
      </c>
      <c r="AC75" s="62">
        <f>Trade!D17+Trade!D40</f>
        <v>1.7836863931263163</v>
      </c>
      <c r="AD75" s="62">
        <f>Trade!E17+Trade!E40</f>
        <v>2.7841064520000001</v>
      </c>
      <c r="AE75" s="62">
        <f>Trade!F17+Trade!F40</f>
        <v>3.3117357227476858</v>
      </c>
      <c r="AF75" s="62">
        <f>Trade!G17+Trade!G40</f>
        <v>1.9100155799878111</v>
      </c>
      <c r="AG75" s="62">
        <f>Trade!H17+Trade!H40</f>
        <v>0</v>
      </c>
      <c r="AH75" s="62">
        <f>Trade!I17+Trade!I40</f>
        <v>4.0618420858386983</v>
      </c>
      <c r="AI75" s="62">
        <f>Trade!J17+Trade!J40</f>
        <v>1.0960630024</v>
      </c>
      <c r="AJ75" s="62">
        <f t="shared" si="7"/>
        <v>15.401851809687519</v>
      </c>
      <c r="AK75" s="33"/>
      <c r="AL75" s="33"/>
    </row>
    <row r="76" spans="27:38" x14ac:dyDescent="0.2">
      <c r="AA76" s="26">
        <v>2009</v>
      </c>
      <c r="AB76" s="62">
        <f>Trade!C18+Trade!C41</f>
        <v>0.42681317864064094</v>
      </c>
      <c r="AC76" s="62">
        <f>Trade!D18+Trade!D41</f>
        <v>0.90634071150191042</v>
      </c>
      <c r="AD76" s="62">
        <f>Trade!E18+Trade!E41</f>
        <v>0.68842556599999982</v>
      </c>
      <c r="AE76" s="62">
        <f>Trade!F18+Trade!F41</f>
        <v>1.6783504719533457</v>
      </c>
      <c r="AF76" s="62">
        <f>Trade!G18+Trade!G41</f>
        <v>1.4687547309730746</v>
      </c>
      <c r="AG76" s="62">
        <f>Trade!H18+Trade!H41</f>
        <v>0</v>
      </c>
      <c r="AH76" s="62">
        <f>Trade!I18+Trade!I41</f>
        <v>3.7529746369424775</v>
      </c>
      <c r="AI76" s="62">
        <f>Trade!J18+Trade!J41</f>
        <v>0.70828097080000008</v>
      </c>
      <c r="AJ76" s="62">
        <f t="shared" si="7"/>
        <v>9.6299402668114489</v>
      </c>
      <c r="AK76" s="33"/>
      <c r="AL76" s="33"/>
    </row>
    <row r="77" spans="27:38" x14ac:dyDescent="0.2">
      <c r="AA77" s="26">
        <v>2008</v>
      </c>
      <c r="AB77" s="62">
        <f>Trade!C19+Trade!C42</f>
        <v>0.64945095710665501</v>
      </c>
      <c r="AC77" s="62">
        <f>Trade!D19+Trade!D42</f>
        <v>1.2396827711083998</v>
      </c>
      <c r="AD77" s="62">
        <f>Trade!E19+Trade!E42</f>
        <v>1.2631676833816139</v>
      </c>
      <c r="AE77" s="62">
        <f>Trade!F19+Trade!F42</f>
        <v>2.0759178450049292</v>
      </c>
      <c r="AF77" s="62">
        <f>Trade!G19+Trade!G42</f>
        <v>1.618192795946761</v>
      </c>
      <c r="AG77" s="62">
        <f>Trade!H19+Trade!H42</f>
        <v>0</v>
      </c>
      <c r="AH77" s="62">
        <f>Trade!I19+Trade!I42</f>
        <v>3.0569024862255549</v>
      </c>
      <c r="AI77" s="62">
        <f>Trade!J19+Trade!J42</f>
        <v>2.5268919816799045</v>
      </c>
      <c r="AJ77" s="62">
        <f t="shared" si="7"/>
        <v>12.430206520453819</v>
      </c>
      <c r="AK77" s="33"/>
      <c r="AL77" s="33"/>
    </row>
    <row r="78" spans="27:38" x14ac:dyDescent="0.2">
      <c r="AA78" s="26">
        <v>2007</v>
      </c>
      <c r="AB78" s="62">
        <f>Trade!C20+Trade!C43</f>
        <v>0.93563738740516655</v>
      </c>
      <c r="AC78" s="62">
        <f>Trade!D20+Trade!D43</f>
        <v>1.304471862501501</v>
      </c>
      <c r="AD78" s="62">
        <f>Trade!E20+Trade!E43</f>
        <v>0.99598240354541334</v>
      </c>
      <c r="AE78" s="62">
        <f>Trade!F20+Trade!F43</f>
        <v>1.8880354776938488</v>
      </c>
      <c r="AF78" s="62">
        <f>Trade!G20+Trade!G43</f>
        <v>1.6731147658354018</v>
      </c>
      <c r="AG78" s="62">
        <f>Trade!H20+Trade!H43</f>
        <v>0</v>
      </c>
      <c r="AH78" s="62">
        <f>Trade!I20+Trade!I43</f>
        <v>4.2283444188030845</v>
      </c>
      <c r="AI78" s="62">
        <f>Trade!J20+Trade!J43</f>
        <v>0.66544419364919605</v>
      </c>
      <c r="AJ78" s="62">
        <f t="shared" si="7"/>
        <v>11.691030509433611</v>
      </c>
      <c r="AK78" s="33"/>
      <c r="AL78" s="33"/>
    </row>
    <row r="79" spans="27:38" x14ac:dyDescent="0.2">
      <c r="AA79" s="26">
        <v>2006</v>
      </c>
      <c r="AB79" s="62">
        <f>Trade!C21+Trade!C44</f>
        <v>0.8686508791289721</v>
      </c>
      <c r="AC79" s="62">
        <f>Trade!D21+Trade!D44</f>
        <v>1.5942498629803166</v>
      </c>
      <c r="AD79" s="62">
        <f>Trade!E21+Trade!E44</f>
        <v>0.83790583067096391</v>
      </c>
      <c r="AE79" s="62">
        <f>Trade!F21+Trade!F44</f>
        <v>-0.69936763693946136</v>
      </c>
      <c r="AF79" s="62">
        <f>Trade!G21+Trade!G44</f>
        <v>1.7143451382342241</v>
      </c>
      <c r="AG79" s="62">
        <f>Trade!H21+Trade!H44</f>
        <v>0</v>
      </c>
      <c r="AH79" s="62">
        <f>Trade!I21+Trade!I44</f>
        <v>3.9985024157643276</v>
      </c>
      <c r="AI79" s="62">
        <f>Trade!J21+Trade!J44</f>
        <v>0.48461809039999998</v>
      </c>
      <c r="AJ79" s="62">
        <f t="shared" si="7"/>
        <v>8.7989045802393431</v>
      </c>
      <c r="AK79" s="33"/>
      <c r="AL79" s="33"/>
    </row>
    <row r="80" spans="27:38" x14ac:dyDescent="0.2">
      <c r="AA80" s="28">
        <v>2005</v>
      </c>
      <c r="AB80" s="63">
        <f>Trade!C22+Trade!C45</f>
        <v>0.79813630675915215</v>
      </c>
      <c r="AC80" s="63">
        <f>Trade!D22+Trade!D45</f>
        <v>1.6810551133858009</v>
      </c>
      <c r="AD80" s="63">
        <f>Trade!E22+Trade!E45</f>
        <v>3.649755904370827</v>
      </c>
      <c r="AE80" s="63">
        <f>Trade!F22+Trade!F45</f>
        <v>0.53393390748005309</v>
      </c>
      <c r="AF80" s="63">
        <f>Trade!G22+Trade!G45</f>
        <v>1.5225614875157403</v>
      </c>
      <c r="AG80" s="63">
        <f>Trade!H22+Trade!H45</f>
        <v>0</v>
      </c>
      <c r="AH80" s="63">
        <f>Trade!I22+Trade!I45</f>
        <v>3.7275819122146516</v>
      </c>
      <c r="AI80" s="63">
        <f>Trade!J22+Trade!J45</f>
        <v>0.45452256960000004</v>
      </c>
      <c r="AJ80" s="63">
        <f t="shared" si="7"/>
        <v>12.367547201326225</v>
      </c>
      <c r="AK80" s="33"/>
      <c r="AL80" s="33"/>
    </row>
    <row r="82" spans="27:46" x14ac:dyDescent="0.2">
      <c r="AA82" s="58"/>
      <c r="AB82" s="151" t="s">
        <v>193</v>
      </c>
      <c r="AC82" s="151"/>
      <c r="AD82" s="151"/>
      <c r="AE82" s="151"/>
      <c r="AF82" s="151"/>
      <c r="AG82" s="151"/>
      <c r="AH82" s="151"/>
      <c r="AI82" s="151"/>
      <c r="AJ82" s="152"/>
    </row>
    <row r="83" spans="27:46" x14ac:dyDescent="0.2">
      <c r="AA83" s="64" t="s">
        <v>0</v>
      </c>
      <c r="AB83" s="113" t="s">
        <v>39</v>
      </c>
      <c r="AC83" s="113" t="s">
        <v>40</v>
      </c>
      <c r="AD83" s="113" t="s">
        <v>41</v>
      </c>
      <c r="AE83" s="113" t="s">
        <v>42</v>
      </c>
      <c r="AF83" s="113" t="s">
        <v>43</v>
      </c>
      <c r="AG83" s="113" t="s">
        <v>44</v>
      </c>
      <c r="AH83" s="113" t="s">
        <v>187</v>
      </c>
      <c r="AI83" s="113" t="s">
        <v>45</v>
      </c>
      <c r="AJ83" s="113" t="s">
        <v>63</v>
      </c>
      <c r="AK83" s="1"/>
      <c r="AL83" s="3"/>
    </row>
    <row r="84" spans="27:46" x14ac:dyDescent="0.2">
      <c r="AA84" s="1">
        <v>2020</v>
      </c>
      <c r="AB84" s="33">
        <f>AB65+AB45</f>
        <v>6.191838739388805</v>
      </c>
      <c r="AC84" s="33">
        <f t="shared" ref="AC84:AI84" si="8">AC65+AC45</f>
        <v>25.347651978301553</v>
      </c>
      <c r="AD84" s="33">
        <f t="shared" si="8"/>
        <v>15.213480418587848</v>
      </c>
      <c r="AE84" s="33">
        <f t="shared" si="8"/>
        <v>7.8216619690456408</v>
      </c>
      <c r="AF84" s="33">
        <f t="shared" si="8"/>
        <v>17.290516371842966</v>
      </c>
      <c r="AG84" s="33">
        <f t="shared" si="8"/>
        <v>0.45348760506996111</v>
      </c>
      <c r="AH84" s="33">
        <f t="shared" si="8"/>
        <v>9.5289237902291646</v>
      </c>
      <c r="AI84" s="33">
        <f t="shared" si="8"/>
        <v>6.5628184859185419</v>
      </c>
      <c r="AJ84" s="33">
        <f>SUM(AB84:AI84)</f>
        <v>88.410379358384489</v>
      </c>
      <c r="AK84" s="33"/>
      <c r="AL84" s="33"/>
    </row>
    <row r="85" spans="27:46" x14ac:dyDescent="0.2">
      <c r="AA85" s="1">
        <v>2019</v>
      </c>
      <c r="AB85" s="33">
        <f>AB66+AB46</f>
        <v>6.5181923851941104</v>
      </c>
      <c r="AC85" s="33">
        <f t="shared" ref="AB85:AI99" si="9">AC66+AC46</f>
        <v>25.464492593038091</v>
      </c>
      <c r="AD85" s="33">
        <f t="shared" si="9"/>
        <v>15.489036280733403</v>
      </c>
      <c r="AE85" s="33">
        <f t="shared" si="9"/>
        <v>4.4591056969981944</v>
      </c>
      <c r="AF85" s="33">
        <f t="shared" si="9"/>
        <v>17.220954643770892</v>
      </c>
      <c r="AG85" s="33">
        <f t="shared" si="9"/>
        <v>0.46497896158125113</v>
      </c>
      <c r="AH85" s="33">
        <f>AH66+AH46</f>
        <v>7.6180355620413778</v>
      </c>
      <c r="AI85" s="33">
        <f t="shared" si="9"/>
        <v>6.0482044265430908</v>
      </c>
      <c r="AJ85" s="33">
        <f>SUM(AB85:AI85)</f>
        <v>83.283000549900407</v>
      </c>
      <c r="AK85" s="33"/>
      <c r="AL85" s="33"/>
    </row>
    <row r="86" spans="27:46" x14ac:dyDescent="0.2">
      <c r="AA86" s="1">
        <v>2018</v>
      </c>
      <c r="AB86" s="33">
        <f t="shared" si="9"/>
        <v>6.3909220228959125</v>
      </c>
      <c r="AC86" s="33">
        <f t="shared" si="9"/>
        <v>24.547684049921074</v>
      </c>
      <c r="AD86" s="33">
        <f t="shared" si="9"/>
        <v>14.905742786673359</v>
      </c>
      <c r="AE86" s="33">
        <f t="shared" si="9"/>
        <v>4.3992113124889949</v>
      </c>
      <c r="AF86" s="33">
        <f t="shared" si="9"/>
        <v>16.565973316365223</v>
      </c>
      <c r="AG86" s="33">
        <f t="shared" si="9"/>
        <v>0.45064884096604679</v>
      </c>
      <c r="AH86" s="33">
        <f t="shared" si="9"/>
        <v>8.6013446375490901</v>
      </c>
      <c r="AI86" s="33">
        <f t="shared" si="9"/>
        <v>5.8600839603503605</v>
      </c>
      <c r="AJ86" s="33">
        <f>SUM(AB86:AI86)</f>
        <v>81.721610927210065</v>
      </c>
      <c r="AK86" s="33"/>
      <c r="AL86" s="33"/>
    </row>
    <row r="87" spans="27:46" x14ac:dyDescent="0.2">
      <c r="AA87" s="1">
        <v>2017</v>
      </c>
      <c r="AB87" s="33">
        <f t="shared" si="9"/>
        <v>6.427914561399021</v>
      </c>
      <c r="AC87" s="33">
        <f t="shared" si="9"/>
        <v>24.013079493159797</v>
      </c>
      <c r="AD87" s="33">
        <f t="shared" si="9"/>
        <v>14.152988778702158</v>
      </c>
      <c r="AE87" s="33">
        <f t="shared" si="9"/>
        <v>4.1953239498163599</v>
      </c>
      <c r="AF87" s="33">
        <f t="shared" si="9"/>
        <v>16.098508231991836</v>
      </c>
      <c r="AG87" s="33">
        <f t="shared" si="9"/>
        <v>0.43928208056359191</v>
      </c>
      <c r="AH87" s="33">
        <f t="shared" si="9"/>
        <v>8.7032705434367905</v>
      </c>
      <c r="AI87" s="33">
        <f t="shared" si="9"/>
        <v>5.5790817413867249</v>
      </c>
      <c r="AJ87" s="33">
        <f t="shared" ref="AJ87:AJ99" si="10">SUM(AB87:AI87)</f>
        <v>79.609449380456283</v>
      </c>
      <c r="AK87" s="33"/>
      <c r="AL87" s="33"/>
    </row>
    <row r="88" spans="27:46" x14ac:dyDescent="0.2">
      <c r="AA88" s="1">
        <v>2016</v>
      </c>
      <c r="AB88" s="33">
        <f t="shared" si="9"/>
        <v>5.7341848112170792</v>
      </c>
      <c r="AC88" s="33">
        <f t="shared" si="9"/>
        <v>21.95944220563166</v>
      </c>
      <c r="AD88" s="33">
        <f t="shared" si="9"/>
        <v>11.486455478249555</v>
      </c>
      <c r="AE88" s="33">
        <f t="shared" si="9"/>
        <v>3.996042461295088</v>
      </c>
      <c r="AF88" s="33">
        <f t="shared" si="9"/>
        <v>14.963212904635157</v>
      </c>
      <c r="AG88" s="33">
        <f t="shared" si="9"/>
        <v>0.4103151317690073</v>
      </c>
      <c r="AH88" s="33">
        <f t="shared" si="9"/>
        <v>8.1818081866815469</v>
      </c>
      <c r="AI88" s="33">
        <f t="shared" si="9"/>
        <v>5.0348143864523172</v>
      </c>
      <c r="AJ88" s="33">
        <f t="shared" si="10"/>
        <v>71.766275565931409</v>
      </c>
      <c r="AK88" s="33"/>
      <c r="AL88" s="33"/>
    </row>
    <row r="89" spans="27:46" x14ac:dyDescent="0.2">
      <c r="AA89" s="1">
        <v>2015</v>
      </c>
      <c r="AB89" s="33">
        <f t="shared" si="9"/>
        <v>5.8957369170989242</v>
      </c>
      <c r="AC89" s="33">
        <f t="shared" si="9"/>
        <v>23.032731055668698</v>
      </c>
      <c r="AD89" s="33">
        <f t="shared" si="9"/>
        <v>12.678031452314608</v>
      </c>
      <c r="AE89" s="33">
        <f t="shared" si="9"/>
        <v>7.3517907066716113</v>
      </c>
      <c r="AF89" s="33">
        <f t="shared" si="9"/>
        <v>15.356407865082284</v>
      </c>
      <c r="AG89" s="33">
        <f t="shared" si="9"/>
        <v>0.4214693190554874</v>
      </c>
      <c r="AH89" s="33">
        <f t="shared" si="9"/>
        <v>8.5976499139497644</v>
      </c>
      <c r="AI89" s="33">
        <f t="shared" si="9"/>
        <v>5.3122432910031536</v>
      </c>
      <c r="AJ89" s="33">
        <f t="shared" si="10"/>
        <v>78.646060520844543</v>
      </c>
      <c r="AK89" s="33"/>
      <c r="AL89" s="33"/>
    </row>
    <row r="90" spans="27:46" x14ac:dyDescent="0.2">
      <c r="AA90" s="1">
        <v>2014</v>
      </c>
      <c r="AB90" s="33">
        <f t="shared" si="9"/>
        <v>5.6863176871731032</v>
      </c>
      <c r="AC90" s="33">
        <f t="shared" si="9"/>
        <v>22.179045024690375</v>
      </c>
      <c r="AD90" s="33">
        <f t="shared" si="9"/>
        <v>12.191883708852767</v>
      </c>
      <c r="AE90" s="33">
        <f t="shared" si="9"/>
        <v>3.9070623339077262</v>
      </c>
      <c r="AF90" s="33">
        <f t="shared" si="9"/>
        <v>14.887848221457226</v>
      </c>
      <c r="AG90" s="33">
        <f t="shared" si="9"/>
        <v>0.41519771962533752</v>
      </c>
      <c r="AH90" s="33">
        <f t="shared" si="9"/>
        <v>7.526797951222818</v>
      </c>
      <c r="AI90" s="33">
        <f t="shared" si="9"/>
        <v>5.202354945320395</v>
      </c>
      <c r="AJ90" s="33">
        <f t="shared" si="10"/>
        <v>71.996507592249742</v>
      </c>
      <c r="AK90" s="33"/>
      <c r="AL90" s="33"/>
    </row>
    <row r="91" spans="27:46" x14ac:dyDescent="0.2">
      <c r="AA91" s="1">
        <v>2013</v>
      </c>
      <c r="AB91" s="33">
        <f t="shared" si="9"/>
        <v>5.5920486793763029</v>
      </c>
      <c r="AC91" s="33">
        <f t="shared" si="9"/>
        <v>22.666792607804037</v>
      </c>
      <c r="AD91" s="33">
        <f t="shared" si="9"/>
        <v>13.455564386240903</v>
      </c>
      <c r="AE91" s="33">
        <f t="shared" si="9"/>
        <v>3.7199943379688296</v>
      </c>
      <c r="AF91" s="33">
        <f t="shared" si="9"/>
        <v>14.622636723062787</v>
      </c>
      <c r="AG91" s="33">
        <f t="shared" si="9"/>
        <v>0.39523004193703815</v>
      </c>
      <c r="AH91" s="33">
        <f t="shared" si="9"/>
        <v>8.321813333887949</v>
      </c>
      <c r="AI91" s="33">
        <f t="shared" si="9"/>
        <v>5.8057346842284954</v>
      </c>
      <c r="AJ91" s="33">
        <f t="shared" si="10"/>
        <v>74.579814794506333</v>
      </c>
      <c r="AK91" s="33"/>
      <c r="AL91" s="33"/>
    </row>
    <row r="92" spans="27:46" x14ac:dyDescent="0.2">
      <c r="AA92" s="1">
        <v>2012</v>
      </c>
      <c r="AB92" s="33">
        <f t="shared" si="9"/>
        <v>5.4961987175944387</v>
      </c>
      <c r="AC92" s="33">
        <f t="shared" si="9"/>
        <v>24.548693107422917</v>
      </c>
      <c r="AD92" s="33">
        <f t="shared" si="9"/>
        <v>11.435529182738136</v>
      </c>
      <c r="AE92" s="33">
        <f t="shared" si="9"/>
        <v>5.1786718852927613</v>
      </c>
      <c r="AF92" s="33">
        <f t="shared" si="9"/>
        <v>14.194511968108765</v>
      </c>
      <c r="AG92" s="33">
        <f t="shared" si="9"/>
        <v>0.39173268408038164</v>
      </c>
      <c r="AH92" s="33">
        <f t="shared" si="9"/>
        <v>7.82630531574633</v>
      </c>
      <c r="AI92" s="33">
        <f t="shared" si="9"/>
        <v>5.0327826029049438</v>
      </c>
      <c r="AJ92" s="33">
        <f t="shared" si="10"/>
        <v>74.104425463888674</v>
      </c>
      <c r="AK92" s="33"/>
      <c r="AL92" s="33"/>
    </row>
    <row r="93" spans="27:46" x14ac:dyDescent="0.2">
      <c r="AA93" s="1">
        <v>2011</v>
      </c>
      <c r="AB93" s="33">
        <f t="shared" si="9"/>
        <v>4.8282867262347686</v>
      </c>
      <c r="AC93" s="33">
        <f t="shared" si="9"/>
        <v>20.21842683573125</v>
      </c>
      <c r="AD93" s="33">
        <f t="shared" si="9"/>
        <v>10.519886226867486</v>
      </c>
      <c r="AE93" s="33">
        <f t="shared" si="9"/>
        <v>4.2493274698921875</v>
      </c>
      <c r="AF93" s="33">
        <f t="shared" si="9"/>
        <v>13.82954229241054</v>
      </c>
      <c r="AG93" s="33">
        <f t="shared" si="9"/>
        <v>0.36825620355820543</v>
      </c>
      <c r="AH93" s="33">
        <f t="shared" si="9"/>
        <v>6.7001252988559781</v>
      </c>
      <c r="AI93" s="33">
        <f t="shared" si="9"/>
        <v>4.5229326918337698</v>
      </c>
      <c r="AJ93" s="33">
        <f t="shared" si="10"/>
        <v>65.236783745384187</v>
      </c>
      <c r="AK93" s="33"/>
      <c r="AL93" s="33"/>
    </row>
    <row r="94" spans="27:46" x14ac:dyDescent="0.2">
      <c r="AA94" s="1">
        <v>2010</v>
      </c>
      <c r="AB94" s="33">
        <f t="shared" si="9"/>
        <v>4.8385412863992139</v>
      </c>
      <c r="AC94" s="33">
        <f t="shared" si="9"/>
        <v>20.381836662854532</v>
      </c>
      <c r="AD94" s="33">
        <f t="shared" si="9"/>
        <v>11.875564838227008</v>
      </c>
      <c r="AE94" s="33">
        <f t="shared" si="9"/>
        <v>6.2593816020802553</v>
      </c>
      <c r="AF94" s="33">
        <f t="shared" si="9"/>
        <v>13.433512217124921</v>
      </c>
      <c r="AG94" s="33">
        <f t="shared" si="9"/>
        <v>0.36078050164079051</v>
      </c>
      <c r="AH94" s="33">
        <f t="shared" si="9"/>
        <v>7.1287152539576599</v>
      </c>
      <c r="AI94" s="33">
        <f t="shared" si="9"/>
        <v>5.2371269198367392</v>
      </c>
      <c r="AJ94" s="33">
        <f t="shared" si="10"/>
        <v>69.515459282121114</v>
      </c>
      <c r="AK94" s="33"/>
      <c r="AL94" s="33"/>
    </row>
    <row r="95" spans="27:46" x14ac:dyDescent="0.2">
      <c r="AA95" s="1">
        <v>2009</v>
      </c>
      <c r="AB95" s="33">
        <f t="shared" si="9"/>
        <v>5.0718832240678609</v>
      </c>
      <c r="AC95" s="33">
        <f t="shared" si="9"/>
        <v>20.61139941911156</v>
      </c>
      <c r="AD95" s="33">
        <f t="shared" si="9"/>
        <v>10.32098141914782</v>
      </c>
      <c r="AE95" s="33">
        <f t="shared" si="9"/>
        <v>4.8014317600980707</v>
      </c>
      <c r="AF95" s="33">
        <f t="shared" si="9"/>
        <v>13.678096760074091</v>
      </c>
      <c r="AG95" s="33">
        <f t="shared" si="9"/>
        <v>0.38225311992258282</v>
      </c>
      <c r="AH95" s="33">
        <f t="shared" si="9"/>
        <v>6.5745919144644818</v>
      </c>
      <c r="AI95" s="33">
        <f t="shared" si="9"/>
        <v>5.0958091078251773</v>
      </c>
      <c r="AJ95" s="33">
        <f t="shared" si="10"/>
        <v>66.536446724711638</v>
      </c>
      <c r="AK95" s="33"/>
      <c r="AL95" s="33"/>
      <c r="AM95" s="1" t="s">
        <v>211</v>
      </c>
    </row>
    <row r="96" spans="27:46" x14ac:dyDescent="0.2">
      <c r="AA96" s="1">
        <v>2008</v>
      </c>
      <c r="AB96" s="33">
        <f t="shared" si="9"/>
        <v>5.3465992841934895</v>
      </c>
      <c r="AC96" s="33">
        <f t="shared" si="9"/>
        <v>21.165665078891607</v>
      </c>
      <c r="AD96" s="33">
        <f t="shared" si="9"/>
        <v>11.003719099979774</v>
      </c>
      <c r="AE96" s="33">
        <f t="shared" si="9"/>
        <v>5.234013612022796</v>
      </c>
      <c r="AF96" s="33">
        <f t="shared" si="9"/>
        <v>13.964420070448123</v>
      </c>
      <c r="AG96" s="33">
        <f t="shared" si="9"/>
        <v>0.38653875726495013</v>
      </c>
      <c r="AH96" s="33">
        <f t="shared" si="9"/>
        <v>6.3042537511676606</v>
      </c>
      <c r="AI96" s="33">
        <f t="shared" si="9"/>
        <v>6.9636109648871365</v>
      </c>
      <c r="AJ96" s="33">
        <f t="shared" si="10"/>
        <v>70.368820618855537</v>
      </c>
      <c r="AK96" s="33"/>
      <c r="AL96" s="33" t="s">
        <v>0</v>
      </c>
      <c r="AM96" s="1" t="s">
        <v>39</v>
      </c>
      <c r="AN96" s="1" t="s">
        <v>40</v>
      </c>
      <c r="AO96" s="1" t="s">
        <v>41</v>
      </c>
      <c r="AP96" s="1" t="s">
        <v>42</v>
      </c>
      <c r="AQ96" s="1" t="s">
        <v>43</v>
      </c>
      <c r="AR96" s="1" t="s">
        <v>44</v>
      </c>
      <c r="AS96" s="1" t="s">
        <v>187</v>
      </c>
      <c r="AT96" s="1" t="s">
        <v>45</v>
      </c>
    </row>
    <row r="97" spans="27:46" x14ac:dyDescent="0.2">
      <c r="AA97" s="1">
        <v>2007</v>
      </c>
      <c r="AB97" s="33">
        <f t="shared" si="9"/>
        <v>5.8630407237137172</v>
      </c>
      <c r="AC97" s="33">
        <f t="shared" si="9"/>
        <v>22.207229209210485</v>
      </c>
      <c r="AD97" s="33">
        <f t="shared" si="9"/>
        <v>11.214017305883187</v>
      </c>
      <c r="AE97" s="33">
        <f t="shared" si="9"/>
        <v>5.2009416358940506</v>
      </c>
      <c r="AF97" s="33">
        <f t="shared" si="9"/>
        <v>14.624556199436313</v>
      </c>
      <c r="AG97" s="33">
        <f t="shared" si="9"/>
        <v>0.40548695283402453</v>
      </c>
      <c r="AH97" s="33">
        <f t="shared" si="9"/>
        <v>7.6729343155689849</v>
      </c>
      <c r="AI97" s="33">
        <f t="shared" si="9"/>
        <v>5.3196518953841077</v>
      </c>
      <c r="AJ97" s="33">
        <f t="shared" si="10"/>
        <v>72.507858237924864</v>
      </c>
      <c r="AK97" s="33"/>
      <c r="AL97" s="1">
        <v>2007</v>
      </c>
      <c r="AM97" s="67">
        <f t="shared" ref="AM97:AT99" si="11">AB97/$AJ97</f>
        <v>8.0860762766911842E-2</v>
      </c>
      <c r="AN97" s="67">
        <f t="shared" si="11"/>
        <v>0.30627341296360494</v>
      </c>
      <c r="AO97" s="67">
        <f t="shared" si="11"/>
        <v>0.15465933732431988</v>
      </c>
      <c r="AP97" s="67">
        <f t="shared" si="11"/>
        <v>7.1729351304624864E-2</v>
      </c>
      <c r="AQ97" s="67">
        <f t="shared" si="11"/>
        <v>0.20169615480087388</v>
      </c>
      <c r="AR97" s="67">
        <f t="shared" si="11"/>
        <v>5.5923173389492925E-3</v>
      </c>
      <c r="AS97" s="67">
        <f t="shared" si="11"/>
        <v>0.10582210676243221</v>
      </c>
      <c r="AT97" s="67">
        <f t="shared" si="11"/>
        <v>7.336655673828317E-2</v>
      </c>
    </row>
    <row r="98" spans="27:46" x14ac:dyDescent="0.2">
      <c r="AA98" s="1">
        <v>2006</v>
      </c>
      <c r="AB98" s="33">
        <f t="shared" si="9"/>
        <v>5.8944019001885062</v>
      </c>
      <c r="AC98" s="33">
        <f t="shared" si="9"/>
        <v>22.91421230731391</v>
      </c>
      <c r="AD98" s="33">
        <f t="shared" si="9"/>
        <v>11.259885895756977</v>
      </c>
      <c r="AE98" s="33">
        <f t="shared" si="9"/>
        <v>2.6796619189650479</v>
      </c>
      <c r="AF98" s="33">
        <f t="shared" si="9"/>
        <v>14.924288706173675</v>
      </c>
      <c r="AG98" s="33">
        <f t="shared" si="9"/>
        <v>0.41358020201338508</v>
      </c>
      <c r="AH98" s="33">
        <f t="shared" si="9"/>
        <v>7.543522968771792</v>
      </c>
      <c r="AI98" s="33">
        <f t="shared" si="9"/>
        <v>5.2317206742004698</v>
      </c>
      <c r="AJ98" s="33">
        <f t="shared" si="10"/>
        <v>70.861274573383767</v>
      </c>
      <c r="AK98" s="33"/>
      <c r="AL98" s="1">
        <v>2006</v>
      </c>
      <c r="AM98" s="67">
        <f t="shared" si="11"/>
        <v>8.3182273190475539E-2</v>
      </c>
      <c r="AN98" s="67">
        <f t="shared" si="11"/>
        <v>0.32336720508158523</v>
      </c>
      <c r="AO98" s="67">
        <f t="shared" si="11"/>
        <v>0.15890041441600469</v>
      </c>
      <c r="AP98" s="67">
        <f t="shared" si="11"/>
        <v>3.7815604293004866E-2</v>
      </c>
      <c r="AQ98" s="67">
        <f t="shared" si="11"/>
        <v>0.2106127612863937</v>
      </c>
      <c r="AR98" s="67">
        <f t="shared" si="11"/>
        <v>5.8364770391630821E-3</v>
      </c>
      <c r="AS98" s="67">
        <f t="shared" si="11"/>
        <v>0.10645480220596</v>
      </c>
      <c r="AT98" s="67">
        <f t="shared" si="11"/>
        <v>7.3830462487412818E-2</v>
      </c>
    </row>
    <row r="99" spans="27:46" x14ac:dyDescent="0.2">
      <c r="AA99" s="1">
        <v>2005</v>
      </c>
      <c r="AB99" s="33">
        <f t="shared" si="9"/>
        <v>5.5452600409968094</v>
      </c>
      <c r="AC99" s="33">
        <f t="shared" si="9"/>
        <v>21.819040323646902</v>
      </c>
      <c r="AD99" s="33">
        <f t="shared" si="9"/>
        <v>13.493942120004583</v>
      </c>
      <c r="AE99" s="33">
        <f t="shared" si="9"/>
        <v>3.7256302999812307</v>
      </c>
      <c r="AF99" s="33">
        <f t="shared" si="9"/>
        <v>14.000146703443335</v>
      </c>
      <c r="AG99" s="33">
        <f t="shared" si="9"/>
        <v>0.39065134439840132</v>
      </c>
      <c r="AH99" s="33">
        <f t="shared" si="9"/>
        <v>7.5742183024176715</v>
      </c>
      <c r="AI99" s="33">
        <f t="shared" si="9"/>
        <v>4.9384461165466709</v>
      </c>
      <c r="AJ99" s="33">
        <f t="shared" si="10"/>
        <v>71.48733525143561</v>
      </c>
      <c r="AK99" s="33"/>
      <c r="AL99" s="1">
        <v>2005</v>
      </c>
      <c r="AM99" s="67">
        <f t="shared" si="11"/>
        <v>7.7569824382081015E-2</v>
      </c>
      <c r="AN99" s="67">
        <f t="shared" si="11"/>
        <v>0.30521546574515424</v>
      </c>
      <c r="AO99" s="67">
        <f t="shared" si="11"/>
        <v>0.18875989813501401</v>
      </c>
      <c r="AP99" s="67">
        <f t="shared" si="11"/>
        <v>5.211594874640977E-2</v>
      </c>
      <c r="AQ99" s="67">
        <f t="shared" si="11"/>
        <v>0.19584093677854894</v>
      </c>
      <c r="AR99" s="67">
        <f t="shared" si="11"/>
        <v>5.4646231115539623E-3</v>
      </c>
      <c r="AS99" s="67">
        <f t="shared" si="11"/>
        <v>0.10595189030025519</v>
      </c>
      <c r="AT99" s="67">
        <f t="shared" si="11"/>
        <v>6.9081412800982775E-2</v>
      </c>
    </row>
    <row r="100" spans="27:46" x14ac:dyDescent="0.2">
      <c r="AA100" s="1">
        <v>2004</v>
      </c>
      <c r="AB100" s="33">
        <f t="shared" ref="AB100:AB131" si="12">$AJ100*AM$100</f>
        <v>5.4529093913352291</v>
      </c>
      <c r="AC100" s="33">
        <f t="shared" ref="AC100:AC131" si="13">$AJ100*AN$100</f>
        <v>21.09856864276572</v>
      </c>
      <c r="AD100" s="33">
        <f t="shared" ref="AD100:AD131" si="14">$AJ100*AO$100</f>
        <v>11.336745620282755</v>
      </c>
      <c r="AE100" s="33">
        <f t="shared" ref="AE100:AE131" si="15">$AJ100*AP$100</f>
        <v>3.6484906567920747</v>
      </c>
      <c r="AF100" s="33">
        <f t="shared" ref="AF100:AF131" si="16">$AJ100*AQ$100</f>
        <v>13.725205021669272</v>
      </c>
      <c r="AG100" s="33">
        <f t="shared" ref="AG100:AG131" si="17">$AJ100*AR$100</f>
        <v>0.38126395570054217</v>
      </c>
      <c r="AH100" s="33">
        <f t="shared" ref="AH100:AH131" si="18">$AJ100*AS$100</f>
        <v>7.1820382643840466</v>
      </c>
      <c r="AI100" s="33">
        <f t="shared" ref="AI100:AI131" si="19">$AJ100*AT$100</f>
        <v>4.8811420529707776</v>
      </c>
      <c r="AJ100" s="33">
        <f>AJ99/'1950~2004'!Q5*'1950~2004'!Q6</f>
        <v>67.706363605900421</v>
      </c>
      <c r="AK100" s="33"/>
      <c r="AL100" t="s">
        <v>212</v>
      </c>
      <c r="AM100" s="68">
        <f>AVERAGE(AM97:AM99)</f>
        <v>8.0537620113156141E-2</v>
      </c>
      <c r="AN100" s="68">
        <f>AVERAGE(AN97:AN99)</f>
        <v>0.31161869459678143</v>
      </c>
      <c r="AO100" s="68">
        <f t="shared" ref="AO100:AT100" si="20">AVERAGE(AO97:AO99)</f>
        <v>0.16743988329177953</v>
      </c>
      <c r="AP100" s="68">
        <f t="shared" si="20"/>
        <v>5.3886968114679829E-2</v>
      </c>
      <c r="AQ100" s="68">
        <f t="shared" si="20"/>
        <v>0.20271661762193885</v>
      </c>
      <c r="AR100" s="68">
        <f t="shared" si="20"/>
        <v>5.6311391632221123E-3</v>
      </c>
      <c r="AS100" s="68">
        <f t="shared" si="20"/>
        <v>0.10607626642288247</v>
      </c>
      <c r="AT100" s="68">
        <f t="shared" si="20"/>
        <v>7.2092810675559602E-2</v>
      </c>
    </row>
    <row r="101" spans="27:46" x14ac:dyDescent="0.2">
      <c r="AA101" s="1">
        <v>2003</v>
      </c>
      <c r="AB101" s="33">
        <f t="shared" si="12"/>
        <v>5.1116648685925536</v>
      </c>
      <c r="AC101" s="33">
        <f t="shared" si="13"/>
        <v>19.778214594980749</v>
      </c>
      <c r="AD101" s="33">
        <f t="shared" si="14"/>
        <v>10.627289058470858</v>
      </c>
      <c r="AE101" s="33">
        <f t="shared" si="15"/>
        <v>3.4201671392792972</v>
      </c>
      <c r="AF101" s="33">
        <f t="shared" si="16"/>
        <v>12.866278034067516</v>
      </c>
      <c r="AG101" s="33">
        <f t="shared" si="17"/>
        <v>0.3574043557576651</v>
      </c>
      <c r="AH101" s="33">
        <f t="shared" si="18"/>
        <v>6.7325843960062262</v>
      </c>
      <c r="AI101" s="33">
        <f t="shared" si="19"/>
        <v>4.5756788826213892</v>
      </c>
      <c r="AJ101" s="33">
        <f>AJ100/'1950~2004'!Q6*'1950~2004'!Q7</f>
        <v>63.469281329776258</v>
      </c>
      <c r="AK101" s="33"/>
    </row>
    <row r="102" spans="27:46" x14ac:dyDescent="0.2">
      <c r="AA102" s="1">
        <v>2002</v>
      </c>
      <c r="AB102" s="33">
        <f t="shared" si="12"/>
        <v>5.1912287522183096</v>
      </c>
      <c r="AC102" s="33">
        <f t="shared" si="13"/>
        <v>20.086065677712931</v>
      </c>
      <c r="AD102" s="33">
        <f t="shared" si="14"/>
        <v>10.792704517356027</v>
      </c>
      <c r="AE102" s="33">
        <f t="shared" si="15"/>
        <v>3.4734025894204517</v>
      </c>
      <c r="AF102" s="33">
        <f t="shared" si="16"/>
        <v>13.06654371550704</v>
      </c>
      <c r="AG102" s="33">
        <f t="shared" si="17"/>
        <v>0.3629674118851437</v>
      </c>
      <c r="AH102" s="33">
        <f t="shared" si="18"/>
        <v>6.8373781520827874</v>
      </c>
      <c r="AI102" s="33">
        <f t="shared" si="19"/>
        <v>4.6469000583996749</v>
      </c>
      <c r="AJ102" s="33">
        <f>AJ101/'1950~2004'!Q7*'1950~2004'!Q8</f>
        <v>64.457190874582366</v>
      </c>
      <c r="AK102" s="33"/>
    </row>
    <row r="103" spans="27:46" x14ac:dyDescent="0.2">
      <c r="AA103" s="1">
        <v>2001</v>
      </c>
      <c r="AB103" s="33">
        <f t="shared" si="12"/>
        <v>4.9104627568447681</v>
      </c>
      <c r="AC103" s="33">
        <f t="shared" si="13"/>
        <v>18.999717051536219</v>
      </c>
      <c r="AD103" s="33">
        <f t="shared" si="14"/>
        <v>10.208984444282171</v>
      </c>
      <c r="AE103" s="33">
        <f t="shared" si="15"/>
        <v>3.2855446887384714</v>
      </c>
      <c r="AF103" s="33">
        <f t="shared" si="16"/>
        <v>12.359843755346636</v>
      </c>
      <c r="AG103" s="33">
        <f t="shared" si="17"/>
        <v>0.34333643210168824</v>
      </c>
      <c r="AH103" s="33">
        <f t="shared" si="18"/>
        <v>6.4675806774878755</v>
      </c>
      <c r="AI103" s="33">
        <f t="shared" si="19"/>
        <v>4.3955739114367942</v>
      </c>
      <c r="AJ103" s="33">
        <f>AJ102/'1950~2004'!Q8*'1950~2004'!Q9</f>
        <v>60.971043717774627</v>
      </c>
      <c r="AK103" s="33"/>
    </row>
    <row r="104" spans="27:46" x14ac:dyDescent="0.2">
      <c r="AA104" s="1">
        <v>2000</v>
      </c>
      <c r="AB104" s="33">
        <f t="shared" si="12"/>
        <v>4.9969526434892462</v>
      </c>
      <c r="AC104" s="33">
        <f t="shared" si="13"/>
        <v>19.334366443138656</v>
      </c>
      <c r="AD104" s="33">
        <f t="shared" si="14"/>
        <v>10.388799250149583</v>
      </c>
      <c r="AE104" s="33">
        <f t="shared" si="15"/>
        <v>3.3434142627003656</v>
      </c>
      <c r="AF104" s="33">
        <f t="shared" si="16"/>
        <v>12.577542481164949</v>
      </c>
      <c r="AG104" s="33">
        <f t="shared" si="17"/>
        <v>0.34938374995416599</v>
      </c>
      <c r="AH104" s="33">
        <f t="shared" si="18"/>
        <v>6.5814966864994933</v>
      </c>
      <c r="AI104" s="33">
        <f t="shared" si="19"/>
        <v>4.4729948609812462</v>
      </c>
      <c r="AJ104" s="33">
        <f>AJ103/'1950~2004'!Q9*'1950~2004'!Q10</f>
        <v>62.044950378077708</v>
      </c>
      <c r="AK104" s="33"/>
    </row>
    <row r="105" spans="27:46" x14ac:dyDescent="0.2">
      <c r="AA105" s="1">
        <v>1999</v>
      </c>
      <c r="AB105" s="33">
        <f t="shared" si="12"/>
        <v>4.8453627324848121</v>
      </c>
      <c r="AC105" s="33">
        <f t="shared" si="13"/>
        <v>18.747829988313274</v>
      </c>
      <c r="AD105" s="33">
        <f t="shared" si="14"/>
        <v>10.073639738717144</v>
      </c>
      <c r="AE105" s="33">
        <f t="shared" si="15"/>
        <v>3.2419868715094418</v>
      </c>
      <c r="AF105" s="33">
        <f t="shared" si="16"/>
        <v>12.195984223281814</v>
      </c>
      <c r="AG105" s="33">
        <f t="shared" si="17"/>
        <v>0.33878467981269578</v>
      </c>
      <c r="AH105" s="33">
        <f t="shared" si="18"/>
        <v>6.3818373004369962</v>
      </c>
      <c r="AI105" s="33">
        <f t="shared" si="19"/>
        <v>4.3372999802657137</v>
      </c>
      <c r="AJ105" s="33">
        <f>AJ104/'1950~2004'!Q10*'1950~2004'!Q11</f>
        <v>60.162725514821894</v>
      </c>
      <c r="AK105" s="33"/>
    </row>
    <row r="106" spans="27:46" x14ac:dyDescent="0.2">
      <c r="AA106" s="1">
        <v>1998</v>
      </c>
      <c r="AB106" s="33">
        <f t="shared" si="12"/>
        <v>4.5692360440432136</v>
      </c>
      <c r="AC106" s="33">
        <f t="shared" si="13"/>
        <v>17.679431914535982</v>
      </c>
      <c r="AD106" s="33">
        <f t="shared" si="14"/>
        <v>9.4995649098179697</v>
      </c>
      <c r="AE106" s="33">
        <f t="shared" si="15"/>
        <v>3.0572330876906686</v>
      </c>
      <c r="AF106" s="33">
        <f t="shared" si="16"/>
        <v>11.500961596124695</v>
      </c>
      <c r="AG106" s="33">
        <f t="shared" si="17"/>
        <v>0.31947807741856427</v>
      </c>
      <c r="AH106" s="33">
        <f t="shared" si="18"/>
        <v>6.0181502666204283</v>
      </c>
      <c r="AI106" s="33">
        <f t="shared" si="19"/>
        <v>4.0901266835589052</v>
      </c>
      <c r="AJ106" s="33">
        <f>AJ105/'1950~2004'!Q11*'1950~2004'!Q12</f>
        <v>56.73418257981043</v>
      </c>
      <c r="AK106" s="33"/>
    </row>
    <row r="107" spans="27:46" x14ac:dyDescent="0.2">
      <c r="AA107" s="1">
        <v>1997</v>
      </c>
      <c r="AB107" s="33">
        <f t="shared" si="12"/>
        <v>4.4227479165573786</v>
      </c>
      <c r="AC107" s="33">
        <f t="shared" si="13"/>
        <v>17.112635441075181</v>
      </c>
      <c r="AD107" s="33">
        <f t="shared" si="14"/>
        <v>9.1950121438509917</v>
      </c>
      <c r="AE107" s="33">
        <f t="shared" si="15"/>
        <v>2.9592192521201928</v>
      </c>
      <c r="AF107" s="33">
        <f t="shared" si="16"/>
        <v>11.132244744497131</v>
      </c>
      <c r="AG107" s="33">
        <f t="shared" si="17"/>
        <v>0.30923572073514638</v>
      </c>
      <c r="AH107" s="33">
        <f t="shared" si="18"/>
        <v>5.8252104502073756</v>
      </c>
      <c r="AI107" s="33">
        <f t="shared" si="19"/>
        <v>3.9589986364895284</v>
      </c>
      <c r="AJ107" s="33">
        <f>AJ106/'1950~2004'!Q12*'1950~2004'!Q13</f>
        <v>54.915304305532928</v>
      </c>
      <c r="AK107" s="33"/>
    </row>
    <row r="108" spans="27:46" x14ac:dyDescent="0.2">
      <c r="AA108" s="1">
        <v>1996</v>
      </c>
      <c r="AB108" s="33">
        <f t="shared" si="12"/>
        <v>4.2173103266946645</v>
      </c>
      <c r="AC108" s="33">
        <f t="shared" si="13"/>
        <v>16.317749852400201</v>
      </c>
      <c r="AD108" s="33">
        <f t="shared" si="14"/>
        <v>8.7679018564843272</v>
      </c>
      <c r="AE108" s="33">
        <f t="shared" si="15"/>
        <v>2.8217628827994363</v>
      </c>
      <c r="AF108" s="33">
        <f t="shared" si="16"/>
        <v>10.615149587092924</v>
      </c>
      <c r="AG108" s="33">
        <f t="shared" si="17"/>
        <v>0.29487165514383001</v>
      </c>
      <c r="AH108" s="33">
        <f t="shared" si="18"/>
        <v>5.5546281746827928</v>
      </c>
      <c r="AI108" s="33">
        <f t="shared" si="19"/>
        <v>3.7751023002083355</v>
      </c>
      <c r="AJ108" s="33">
        <f>AJ107/'1950~2004'!Q13*'1950~2004'!Q14</f>
        <v>52.364476635506513</v>
      </c>
      <c r="AK108" s="33"/>
    </row>
    <row r="109" spans="27:46" x14ac:dyDescent="0.2">
      <c r="AA109" s="1">
        <v>1995</v>
      </c>
      <c r="AB109" s="33">
        <f t="shared" si="12"/>
        <v>3.8830794176883856</v>
      </c>
      <c r="AC109" s="33">
        <f t="shared" si="13"/>
        <v>15.024533099631784</v>
      </c>
      <c r="AD109" s="33">
        <f t="shared" si="14"/>
        <v>8.0730267866984633</v>
      </c>
      <c r="AE109" s="33">
        <f t="shared" si="15"/>
        <v>2.5981321086189153</v>
      </c>
      <c r="AF109" s="33">
        <f t="shared" si="16"/>
        <v>9.7738761637751814</v>
      </c>
      <c r="AG109" s="33">
        <f t="shared" si="17"/>
        <v>0.27150244261159706</v>
      </c>
      <c r="AH109" s="33">
        <f t="shared" si="18"/>
        <v>5.1144119514979129</v>
      </c>
      <c r="AI109" s="33">
        <f t="shared" si="19"/>
        <v>3.4759173278804316</v>
      </c>
      <c r="AJ109" s="33">
        <f>AJ108/'1950~2004'!Q14*'1950~2004'!Q15</f>
        <v>48.214479298402672</v>
      </c>
      <c r="AK109" s="33"/>
    </row>
    <row r="110" spans="27:46" x14ac:dyDescent="0.2">
      <c r="AA110" s="1">
        <v>1994</v>
      </c>
      <c r="AB110" s="33">
        <f t="shared" si="12"/>
        <v>3.8614428793452213</v>
      </c>
      <c r="AC110" s="33">
        <f t="shared" si="13"/>
        <v>14.94081632448227</v>
      </c>
      <c r="AD110" s="33">
        <f t="shared" si="14"/>
        <v>8.028043840220441</v>
      </c>
      <c r="AE110" s="33">
        <f t="shared" si="15"/>
        <v>2.5836553032430927</v>
      </c>
      <c r="AF110" s="33">
        <f t="shared" si="16"/>
        <v>9.7194160758831991</v>
      </c>
      <c r="AG110" s="33">
        <f t="shared" si="17"/>
        <v>0.26998962961501782</v>
      </c>
      <c r="AH110" s="33">
        <f t="shared" si="18"/>
        <v>5.0859144219889245</v>
      </c>
      <c r="AI110" s="33">
        <f t="shared" si="19"/>
        <v>3.4565494987807313</v>
      </c>
      <c r="AJ110" s="33">
        <f>AJ109/'1950~2004'!Q15*'1950~2004'!Q16</f>
        <v>47.945827973558899</v>
      </c>
      <c r="AK110" s="33"/>
    </row>
    <row r="111" spans="27:46" x14ac:dyDescent="0.2">
      <c r="AA111" s="1">
        <v>1993</v>
      </c>
      <c r="AB111" s="33">
        <f t="shared" si="12"/>
        <v>3.4865997562867537</v>
      </c>
      <c r="AC111" s="33">
        <f t="shared" si="13"/>
        <v>13.490461514867286</v>
      </c>
      <c r="AD111" s="33">
        <f t="shared" si="14"/>
        <v>7.2487348826245688</v>
      </c>
      <c r="AE111" s="33">
        <f t="shared" si="15"/>
        <v>2.3328512766046265</v>
      </c>
      <c r="AF111" s="33">
        <f t="shared" si="16"/>
        <v>8.7759199812817634</v>
      </c>
      <c r="AG111" s="33">
        <f t="shared" si="17"/>
        <v>0.24378083691226177</v>
      </c>
      <c r="AH111" s="33">
        <f t="shared" si="18"/>
        <v>4.5922077674780342</v>
      </c>
      <c r="AI111" s="33">
        <f t="shared" si="19"/>
        <v>3.121010724904357</v>
      </c>
      <c r="AJ111" s="33">
        <f>AJ110/'1950~2004'!Q16*'1950~2004'!Q17</f>
        <v>43.291566740959652</v>
      </c>
      <c r="AK111" s="33"/>
    </row>
    <row r="112" spans="27:46" x14ac:dyDescent="0.2">
      <c r="AA112" s="1">
        <v>1992</v>
      </c>
      <c r="AB112" s="33">
        <f t="shared" si="12"/>
        <v>3.3079306520162546</v>
      </c>
      <c r="AC112" s="33">
        <f t="shared" si="13"/>
        <v>12.799149393161644</v>
      </c>
      <c r="AD112" s="33">
        <f t="shared" si="14"/>
        <v>6.8772769984101307</v>
      </c>
      <c r="AE112" s="33">
        <f t="shared" si="15"/>
        <v>2.2133054505499774</v>
      </c>
      <c r="AF112" s="33">
        <f t="shared" si="16"/>
        <v>8.3262022414184713</v>
      </c>
      <c r="AG112" s="33">
        <f t="shared" si="17"/>
        <v>0.23128840680442114</v>
      </c>
      <c r="AH112" s="33">
        <f t="shared" si="18"/>
        <v>4.3568823198237983</v>
      </c>
      <c r="AI112" s="33">
        <f t="shared" si="19"/>
        <v>2.9610760522675532</v>
      </c>
      <c r="AJ112" s="33">
        <f>AJ111/'1950~2004'!Q17*'1950~2004'!Q18</f>
        <v>41.073111514452251</v>
      </c>
      <c r="AK112" s="33"/>
    </row>
    <row r="113" spans="27:37" x14ac:dyDescent="0.2">
      <c r="AA113" s="1">
        <v>1991</v>
      </c>
      <c r="AB113" s="33">
        <f t="shared" si="12"/>
        <v>3.115422063448682</v>
      </c>
      <c r="AC113" s="33">
        <f t="shared" si="13"/>
        <v>12.054289103227443</v>
      </c>
      <c r="AD113" s="33">
        <f t="shared" si="14"/>
        <v>6.4770464532669907</v>
      </c>
      <c r="AE113" s="33">
        <f t="shared" si="15"/>
        <v>2.0844997550331783</v>
      </c>
      <c r="AF113" s="33">
        <f t="shared" si="16"/>
        <v>7.8416499305510552</v>
      </c>
      <c r="AG113" s="33">
        <f t="shared" si="17"/>
        <v>0.21782832875870312</v>
      </c>
      <c r="AH113" s="33">
        <f t="shared" si="18"/>
        <v>4.103328858709653</v>
      </c>
      <c r="AI113" s="33">
        <f t="shared" si="19"/>
        <v>2.7887530408659025</v>
      </c>
      <c r="AJ113" s="33">
        <f>AJ112/'1950~2004'!Q18*'1950~2004'!Q19</f>
        <v>38.682817533861609</v>
      </c>
      <c r="AK113" s="33"/>
    </row>
    <row r="114" spans="27:37" x14ac:dyDescent="0.2">
      <c r="AA114" s="1">
        <v>1990</v>
      </c>
      <c r="AB114" s="33">
        <f t="shared" si="12"/>
        <v>3.0719168098974605</v>
      </c>
      <c r="AC114" s="33">
        <f t="shared" si="13"/>
        <v>11.885957206895197</v>
      </c>
      <c r="AD114" s="33">
        <f t="shared" si="14"/>
        <v>6.3865978583499698</v>
      </c>
      <c r="AE114" s="33">
        <f t="shared" si="15"/>
        <v>2.0553907969134593</v>
      </c>
      <c r="AF114" s="33">
        <f t="shared" si="16"/>
        <v>7.732145355716372</v>
      </c>
      <c r="AG114" s="33">
        <f t="shared" si="17"/>
        <v>0.21478646910685367</v>
      </c>
      <c r="AH114" s="33">
        <f t="shared" si="18"/>
        <v>4.0460279990615726</v>
      </c>
      <c r="AI114" s="33">
        <f t="shared" si="19"/>
        <v>2.7498095508142506</v>
      </c>
      <c r="AJ114" s="33">
        <f>AJ113/'1950~2004'!Q19*'1950~2004'!Q20</f>
        <v>38.142632046755139</v>
      </c>
      <c r="AK114" s="33"/>
    </row>
    <row r="115" spans="27:37" x14ac:dyDescent="0.2">
      <c r="AA115" s="1">
        <v>1989</v>
      </c>
      <c r="AB115" s="33">
        <f t="shared" si="12"/>
        <v>2.9180536399145534</v>
      </c>
      <c r="AC115" s="33">
        <f t="shared" si="13"/>
        <v>11.290624986881362</v>
      </c>
      <c r="AD115" s="33">
        <f t="shared" si="14"/>
        <v>6.0667121802203683</v>
      </c>
      <c r="AE115" s="33">
        <f t="shared" si="15"/>
        <v>1.9524423894084542</v>
      </c>
      <c r="AF115" s="33">
        <f t="shared" si="16"/>
        <v>7.3448652082312433</v>
      </c>
      <c r="AG115" s="33">
        <f t="shared" si="17"/>
        <v>0.20402845414377288</v>
      </c>
      <c r="AH115" s="33">
        <f t="shared" si="18"/>
        <v>3.8433744988855727</v>
      </c>
      <c r="AI115" s="33">
        <f t="shared" si="19"/>
        <v>2.612079774742718</v>
      </c>
      <c r="AJ115" s="33">
        <f>AJ114/'1950~2004'!Q20*'1950~2004'!Q21</f>
        <v>36.232181132428046</v>
      </c>
      <c r="AK115" s="33"/>
    </row>
    <row r="116" spans="27:37" x14ac:dyDescent="0.2">
      <c r="AA116" s="1">
        <v>1988</v>
      </c>
      <c r="AB116" s="33">
        <f t="shared" si="12"/>
        <v>2.8725019491647101</v>
      </c>
      <c r="AC116" s="33">
        <f t="shared" si="13"/>
        <v>11.114374951330291</v>
      </c>
      <c r="AD116" s="33">
        <f t="shared" si="14"/>
        <v>5.972008987200998</v>
      </c>
      <c r="AE116" s="33">
        <f t="shared" si="15"/>
        <v>1.9219641793054272</v>
      </c>
      <c r="AF116" s="33">
        <f t="shared" si="16"/>
        <v>7.2302096638683135</v>
      </c>
      <c r="AG116" s="33">
        <f t="shared" si="17"/>
        <v>0.2008435089048643</v>
      </c>
      <c r="AH116" s="33">
        <f t="shared" si="18"/>
        <v>3.7833782725604816</v>
      </c>
      <c r="AI116" s="33">
        <f t="shared" si="19"/>
        <v>2.5713044276121955</v>
      </c>
      <c r="AJ116" s="33">
        <f>AJ115/'1950~2004'!Q21*'1950~2004'!Q22</f>
        <v>35.666585939947282</v>
      </c>
      <c r="AK116" s="33"/>
    </row>
    <row r="117" spans="27:37" x14ac:dyDescent="0.2">
      <c r="AA117" s="1">
        <v>1987</v>
      </c>
      <c r="AB117" s="33">
        <f t="shared" si="12"/>
        <v>2.7364765663462323</v>
      </c>
      <c r="AC117" s="33">
        <f t="shared" si="13"/>
        <v>10.588061258842657</v>
      </c>
      <c r="AD117" s="33">
        <f t="shared" si="14"/>
        <v>5.6892085494447668</v>
      </c>
      <c r="AE117" s="33">
        <f t="shared" si="15"/>
        <v>1.8309508683033424</v>
      </c>
      <c r="AF117" s="33">
        <f t="shared" si="16"/>
        <v>6.8878279858779701</v>
      </c>
      <c r="AG117" s="33">
        <f t="shared" si="17"/>
        <v>0.1913327006725723</v>
      </c>
      <c r="AH117" s="33">
        <f t="shared" si="18"/>
        <v>3.6042189588403288</v>
      </c>
      <c r="AI117" s="33">
        <f t="shared" si="19"/>
        <v>2.4495420492749056</v>
      </c>
      <c r="AJ117" s="33">
        <f>AJ116/'1950~2004'!Q22*'1950~2004'!Q23</f>
        <v>33.977618937602777</v>
      </c>
      <c r="AK117" s="33"/>
    </row>
    <row r="118" spans="27:37" x14ac:dyDescent="0.2">
      <c r="AA118" s="1">
        <v>1986</v>
      </c>
      <c r="AB118" s="33">
        <f t="shared" si="12"/>
        <v>2.4877605171240513</v>
      </c>
      <c r="AC118" s="33">
        <f t="shared" si="13"/>
        <v>9.6257212930603266</v>
      </c>
      <c r="AD118" s="33">
        <f t="shared" si="14"/>
        <v>5.1721211783994976</v>
      </c>
      <c r="AE118" s="33">
        <f t="shared" si="15"/>
        <v>1.6645372867347028</v>
      </c>
      <c r="AF118" s="33">
        <f t="shared" si="16"/>
        <v>6.2617991042724146</v>
      </c>
      <c r="AG118" s="33">
        <f t="shared" si="17"/>
        <v>0.17394263273501578</v>
      </c>
      <c r="AH118" s="33">
        <f t="shared" si="18"/>
        <v>3.276634534767819</v>
      </c>
      <c r="AI118" s="33">
        <f t="shared" si="19"/>
        <v>2.2269052365238564</v>
      </c>
      <c r="AJ118" s="33">
        <f>AJ117/'1950~2004'!Q23*'1950~2004'!Q24</f>
        <v>30.889421783617685</v>
      </c>
      <c r="AK118" s="33"/>
    </row>
    <row r="119" spans="27:37" x14ac:dyDescent="0.2">
      <c r="AA119" s="1">
        <v>1985</v>
      </c>
      <c r="AB119" s="33">
        <f t="shared" si="12"/>
        <v>2.3499552237811008</v>
      </c>
      <c r="AC119" s="33">
        <f t="shared" si="13"/>
        <v>9.0925207147501919</v>
      </c>
      <c r="AD119" s="33">
        <f t="shared" si="14"/>
        <v>4.8856202586813122</v>
      </c>
      <c r="AE119" s="33">
        <f t="shared" si="15"/>
        <v>1.5723330542533829</v>
      </c>
      <c r="AF119" s="33">
        <f t="shared" si="16"/>
        <v>5.9149373157364176</v>
      </c>
      <c r="AG119" s="33">
        <f t="shared" si="17"/>
        <v>0.16430737429116665</v>
      </c>
      <c r="AH119" s="33">
        <f t="shared" si="18"/>
        <v>3.095130897205745</v>
      </c>
      <c r="AI119" s="33">
        <f t="shared" si="19"/>
        <v>2.103549581004053</v>
      </c>
      <c r="AJ119" s="33">
        <f>AJ118/'1950~2004'!Q24*'1950~2004'!Q25</f>
        <v>29.178354419703371</v>
      </c>
      <c r="AK119" s="33"/>
    </row>
    <row r="120" spans="27:37" x14ac:dyDescent="0.2">
      <c r="AA120" s="1">
        <v>1984</v>
      </c>
      <c r="AB120" s="33">
        <f t="shared" si="12"/>
        <v>2.237748326659629</v>
      </c>
      <c r="AC120" s="33">
        <f t="shared" si="13"/>
        <v>8.6583662567885451</v>
      </c>
      <c r="AD120" s="33">
        <f t="shared" si="14"/>
        <v>4.6523390947711452</v>
      </c>
      <c r="AE120" s="33">
        <f t="shared" si="15"/>
        <v>1.4972564691874655</v>
      </c>
      <c r="AF120" s="33">
        <f t="shared" si="16"/>
        <v>5.6325077799945005</v>
      </c>
      <c r="AG120" s="33">
        <f t="shared" si="17"/>
        <v>0.15646193942635947</v>
      </c>
      <c r="AH120" s="33">
        <f t="shared" si="18"/>
        <v>2.9473429603779735</v>
      </c>
      <c r="AI120" s="33">
        <f t="shared" si="19"/>
        <v>2.0031081900205017</v>
      </c>
      <c r="AJ120" s="33">
        <f>AJ119/'1950~2004'!Q25*'1950~2004'!Q26</f>
        <v>27.785131017226121</v>
      </c>
      <c r="AK120" s="33"/>
    </row>
    <row r="121" spans="27:37" x14ac:dyDescent="0.2">
      <c r="AA121" s="1">
        <v>1983</v>
      </c>
      <c r="AB121" s="33">
        <f t="shared" si="12"/>
        <v>2.1065807017913634</v>
      </c>
      <c r="AC121" s="33">
        <f t="shared" si="13"/>
        <v>8.1508483542557855</v>
      </c>
      <c r="AD121" s="33">
        <f t="shared" si="14"/>
        <v>4.3796380667454287</v>
      </c>
      <c r="AE121" s="33">
        <f t="shared" si="15"/>
        <v>1.4094934385811031</v>
      </c>
      <c r="AF121" s="33">
        <f t="shared" si="16"/>
        <v>5.3023532855180173</v>
      </c>
      <c r="AG121" s="33">
        <f t="shared" si="17"/>
        <v>0.14729078253961828</v>
      </c>
      <c r="AH121" s="33">
        <f t="shared" si="18"/>
        <v>2.7745818097252242</v>
      </c>
      <c r="AI121" s="33">
        <f t="shared" si="19"/>
        <v>1.8856942071749123</v>
      </c>
      <c r="AJ121" s="33">
        <f>AJ120/'1950~2004'!Q26*'1950~2004'!Q27</f>
        <v>26.156480646331453</v>
      </c>
      <c r="AK121" s="33"/>
    </row>
    <row r="122" spans="27:37" x14ac:dyDescent="0.2">
      <c r="AA122" s="1">
        <v>1982</v>
      </c>
      <c r="AB122" s="33">
        <f t="shared" si="12"/>
        <v>1.8323899409063311</v>
      </c>
      <c r="AC122" s="33">
        <f t="shared" si="13"/>
        <v>7.0899408323120801</v>
      </c>
      <c r="AD122" s="33">
        <f t="shared" si="14"/>
        <v>3.809588083423729</v>
      </c>
      <c r="AE122" s="33">
        <f t="shared" si="15"/>
        <v>1.2260349657780567</v>
      </c>
      <c r="AF122" s="33">
        <f t="shared" si="16"/>
        <v>4.6122034704166417</v>
      </c>
      <c r="AG122" s="33">
        <f t="shared" si="17"/>
        <v>0.12811953896867551</v>
      </c>
      <c r="AH122" s="33">
        <f t="shared" si="18"/>
        <v>2.4134445901070056</v>
      </c>
      <c r="AI122" s="33">
        <f t="shared" si="19"/>
        <v>1.6402538454445907</v>
      </c>
      <c r="AJ122" s="33">
        <f>AJ121/'1950~2004'!Q27*'1950~2004'!Q28</f>
        <v>22.751975267357111</v>
      </c>
      <c r="AK122" s="33"/>
    </row>
    <row r="123" spans="27:37" x14ac:dyDescent="0.2">
      <c r="AA123" s="1">
        <v>1981</v>
      </c>
      <c r="AB123" s="33">
        <f t="shared" si="12"/>
        <v>1.9542532029159727</v>
      </c>
      <c r="AC123" s="33">
        <f t="shared" si="13"/>
        <v>7.5614580012251293</v>
      </c>
      <c r="AD123" s="33">
        <f t="shared" si="14"/>
        <v>4.0629450902458952</v>
      </c>
      <c r="AE123" s="33">
        <f t="shared" si="15"/>
        <v>1.3075725342465307</v>
      </c>
      <c r="AF123" s="33">
        <f t="shared" si="16"/>
        <v>4.9189384875708813</v>
      </c>
      <c r="AG123" s="33">
        <f t="shared" si="17"/>
        <v>0.13664014072343722</v>
      </c>
      <c r="AH123" s="33">
        <f t="shared" si="18"/>
        <v>2.5739509451487113</v>
      </c>
      <c r="AI123" s="33">
        <f t="shared" si="19"/>
        <v>1.7493390787060594</v>
      </c>
      <c r="AJ123" s="33">
        <f>AJ122/'1950~2004'!Q28*'1950~2004'!Q29</f>
        <v>24.265097480782618</v>
      </c>
      <c r="AK123" s="33"/>
    </row>
    <row r="124" spans="27:37" x14ac:dyDescent="0.2">
      <c r="AA124" s="1">
        <v>1980</v>
      </c>
      <c r="AB124" s="33">
        <f t="shared" si="12"/>
        <v>1.8780430482471413</v>
      </c>
      <c r="AC124" s="33">
        <f t="shared" si="13"/>
        <v>7.2665832721289236</v>
      </c>
      <c r="AD124" s="33">
        <f t="shared" si="14"/>
        <v>3.9045021242696372</v>
      </c>
      <c r="AE124" s="33">
        <f t="shared" si="15"/>
        <v>1.2565810327732549</v>
      </c>
      <c r="AF124" s="33">
        <f t="shared" si="16"/>
        <v>4.727114284655471</v>
      </c>
      <c r="AG124" s="33">
        <f t="shared" si="17"/>
        <v>0.13131157519110698</v>
      </c>
      <c r="AH124" s="33">
        <f t="shared" si="18"/>
        <v>2.4735743924343172</v>
      </c>
      <c r="AI124" s="33">
        <f t="shared" si="19"/>
        <v>1.6811199750824888</v>
      </c>
      <c r="AJ124" s="33">
        <f>AJ123/'1950~2004'!Q29*'1950~2004'!Q30</f>
        <v>23.318829704782342</v>
      </c>
      <c r="AK124" s="33"/>
    </row>
    <row r="125" spans="27:37" x14ac:dyDescent="0.2">
      <c r="AA125" s="1">
        <v>1979</v>
      </c>
      <c r="AB125" s="33">
        <f t="shared" si="12"/>
        <v>2.029875679836481</v>
      </c>
      <c r="AC125" s="33">
        <f t="shared" si="13"/>
        <v>7.8540588690808528</v>
      </c>
      <c r="AD125" s="33">
        <f t="shared" si="14"/>
        <v>4.2201662583411865</v>
      </c>
      <c r="AE125" s="33">
        <f t="shared" si="15"/>
        <v>1.3581708260366661</v>
      </c>
      <c r="AF125" s="33">
        <f t="shared" si="16"/>
        <v>5.1092834805813521</v>
      </c>
      <c r="AG125" s="33">
        <f t="shared" si="17"/>
        <v>0.14192761620146382</v>
      </c>
      <c r="AH125" s="33">
        <f t="shared" si="18"/>
        <v>2.6735534662824061</v>
      </c>
      <c r="AI125" s="33">
        <f t="shared" si="19"/>
        <v>1.8170321258036422</v>
      </c>
      <c r="AJ125" s="33">
        <f>AJ124/'1950~2004'!Q30*'1950~2004'!Q31</f>
        <v>25.204068322164051</v>
      </c>
      <c r="AK125" s="33"/>
    </row>
    <row r="126" spans="27:37" x14ac:dyDescent="0.2">
      <c r="AA126" s="1">
        <v>1978</v>
      </c>
      <c r="AB126" s="33">
        <f t="shared" si="12"/>
        <v>1.8464127936580932</v>
      </c>
      <c r="AC126" s="33">
        <f t="shared" si="13"/>
        <v>7.1441984955368856</v>
      </c>
      <c r="AD126" s="33">
        <f t="shared" si="14"/>
        <v>3.8387419723128455</v>
      </c>
      <c r="AE126" s="33">
        <f t="shared" si="15"/>
        <v>1.2354175253576587</v>
      </c>
      <c r="AF126" s="33">
        <f t="shared" si="16"/>
        <v>4.6474995876256386</v>
      </c>
      <c r="AG126" s="33">
        <f t="shared" si="17"/>
        <v>0.1291000079122524</v>
      </c>
      <c r="AH126" s="33">
        <f t="shared" si="18"/>
        <v>2.4319141185387472</v>
      </c>
      <c r="AI126" s="33">
        <f t="shared" si="19"/>
        <v>1.6528063254799288</v>
      </c>
      <c r="AJ126" s="33">
        <f>AJ125/'1950~2004'!Q31*'1950~2004'!Q32</f>
        <v>22.926090826422051</v>
      </c>
      <c r="AK126" s="33"/>
    </row>
    <row r="127" spans="27:37" x14ac:dyDescent="0.2">
      <c r="AA127" s="1">
        <v>1977</v>
      </c>
      <c r="AB127" s="33">
        <f t="shared" si="12"/>
        <v>1.651415741668494</v>
      </c>
      <c r="AC127" s="33">
        <f t="shared" si="13"/>
        <v>6.3897097646078542</v>
      </c>
      <c r="AD127" s="33">
        <f t="shared" si="14"/>
        <v>3.433337844633066</v>
      </c>
      <c r="AE127" s="33">
        <f t="shared" si="15"/>
        <v>1.1049468222470313</v>
      </c>
      <c r="AF127" s="33">
        <f t="shared" si="16"/>
        <v>4.1566837084123964</v>
      </c>
      <c r="AG127" s="33">
        <f t="shared" si="17"/>
        <v>0.11546593808713576</v>
      </c>
      <c r="AH127" s="33">
        <f t="shared" si="18"/>
        <v>2.1750830970923305</v>
      </c>
      <c r="AI127" s="33">
        <f t="shared" si="19"/>
        <v>1.4782557796402707</v>
      </c>
      <c r="AJ127" s="33">
        <f>AJ126/'1950~2004'!Q32*'1950~2004'!Q33</f>
        <v>20.50489869638858</v>
      </c>
      <c r="AK127" s="33"/>
    </row>
    <row r="128" spans="27:37" x14ac:dyDescent="0.2">
      <c r="AA128" s="1">
        <v>1976</v>
      </c>
      <c r="AB128" s="33">
        <f t="shared" si="12"/>
        <v>1.4409950958615805</v>
      </c>
      <c r="AC128" s="33">
        <f t="shared" si="13"/>
        <v>5.5755435790360162</v>
      </c>
      <c r="AD128" s="33">
        <f t="shared" si="14"/>
        <v>2.9958676496286936</v>
      </c>
      <c r="AE128" s="33">
        <f t="shared" si="15"/>
        <v>0.96415633681505342</v>
      </c>
      <c r="AF128" s="33">
        <f t="shared" si="16"/>
        <v>3.6270459871106024</v>
      </c>
      <c r="AG128" s="33">
        <f t="shared" si="17"/>
        <v>0.10075346039423905</v>
      </c>
      <c r="AH128" s="33">
        <f t="shared" si="18"/>
        <v>1.8979376282526945</v>
      </c>
      <c r="AI128" s="33">
        <f t="shared" si="19"/>
        <v>1.2898988880525499</v>
      </c>
      <c r="AJ128" s="33">
        <f>AJ127/'1950~2004'!Q33*'1950~2004'!Q34</f>
        <v>17.89219862515143</v>
      </c>
      <c r="AK128" s="33"/>
    </row>
    <row r="129" spans="27:37" x14ac:dyDescent="0.2">
      <c r="AA129" s="1">
        <v>1975</v>
      </c>
      <c r="AB129" s="33">
        <f t="shared" si="12"/>
        <v>1.1541717780726601</v>
      </c>
      <c r="AC129" s="33">
        <f t="shared" si="13"/>
        <v>4.4657577703205105</v>
      </c>
      <c r="AD129" s="33">
        <f t="shared" si="14"/>
        <v>2.3995542399642251</v>
      </c>
      <c r="AE129" s="33">
        <f t="shared" si="15"/>
        <v>0.77224553837672927</v>
      </c>
      <c r="AF129" s="33">
        <f t="shared" si="16"/>
        <v>2.9050994886223216</v>
      </c>
      <c r="AG129" s="33">
        <f t="shared" si="17"/>
        <v>8.0698956480947354E-2</v>
      </c>
      <c r="AH129" s="33">
        <f t="shared" si="18"/>
        <v>1.5201620417463517</v>
      </c>
      <c r="AI129" s="33">
        <f t="shared" si="19"/>
        <v>1.0331505620200716</v>
      </c>
      <c r="AJ129" s="33">
        <f>AJ128/'1950~2004'!Q34*'1950~2004'!Q35</f>
        <v>14.330840375603819</v>
      </c>
      <c r="AK129" s="33"/>
    </row>
    <row r="130" spans="27:37" x14ac:dyDescent="0.2">
      <c r="AA130" s="1">
        <v>1974</v>
      </c>
      <c r="AB130" s="33">
        <f t="shared" si="12"/>
        <v>1.3938151433850026</v>
      </c>
      <c r="AC130" s="33">
        <f t="shared" si="13"/>
        <v>5.3929934219636726</v>
      </c>
      <c r="AD130" s="33">
        <f t="shared" si="14"/>
        <v>2.8977792565859066</v>
      </c>
      <c r="AE130" s="33">
        <f t="shared" si="15"/>
        <v>0.93258867202454443</v>
      </c>
      <c r="AF130" s="33">
        <f t="shared" si="16"/>
        <v>3.5082920386803167</v>
      </c>
      <c r="AG130" s="33">
        <f t="shared" si="17"/>
        <v>9.7454668131237765E-2</v>
      </c>
      <c r="AH130" s="33">
        <f t="shared" si="18"/>
        <v>1.8357968150315838</v>
      </c>
      <c r="AI130" s="33">
        <f t="shared" si="19"/>
        <v>1.2476660113323672</v>
      </c>
      <c r="AJ130" s="33">
        <f>AJ129/'1950~2004'!Q35*'1950~2004'!Q36</f>
        <v>17.306386027134632</v>
      </c>
      <c r="AK130" s="33"/>
    </row>
    <row r="131" spans="27:37" x14ac:dyDescent="0.2">
      <c r="AA131" s="1">
        <v>1973</v>
      </c>
      <c r="AB131" s="33">
        <f t="shared" si="12"/>
        <v>1.4196293804996061</v>
      </c>
      <c r="AC131" s="33">
        <f t="shared" si="13"/>
        <v>5.4928746806892512</v>
      </c>
      <c r="AD131" s="33">
        <f t="shared" si="14"/>
        <v>2.9514477514292188</v>
      </c>
      <c r="AE131" s="33">
        <f t="shared" si="15"/>
        <v>0.94986073656214798</v>
      </c>
      <c r="AF131" s="33">
        <f t="shared" si="16"/>
        <v>3.5732675721888905</v>
      </c>
      <c r="AG131" s="33">
        <f t="shared" si="17"/>
        <v>9.9259583168216869E-2</v>
      </c>
      <c r="AH131" s="33">
        <f t="shared" si="18"/>
        <v>1.8697968002537053</v>
      </c>
      <c r="AI131" s="33">
        <f t="shared" si="19"/>
        <v>1.2707734846649832</v>
      </c>
      <c r="AJ131" s="33">
        <f>AJ130/'1950~2004'!Q36*'1950~2004'!Q37</f>
        <v>17.626909989456021</v>
      </c>
      <c r="AK131" s="33"/>
    </row>
    <row r="132" spans="27:37" x14ac:dyDescent="0.2">
      <c r="AA132" s="1">
        <v>1972</v>
      </c>
      <c r="AB132" s="33">
        <f t="shared" ref="AB132:AB154" si="21">$AJ132*AM$100</f>
        <v>1.0838988461791503</v>
      </c>
      <c r="AC132" s="33">
        <f t="shared" ref="AC132:AC154" si="22">$AJ132*AN$100</f>
        <v>4.1938555304557532</v>
      </c>
      <c r="AD132" s="33">
        <f t="shared" ref="AD132:AD154" si="23">$AJ132*AO$100</f>
        <v>2.2534549201893372</v>
      </c>
      <c r="AE132" s="33">
        <f t="shared" ref="AE132:AE154" si="24">$AJ132*AP$100</f>
        <v>0.72522657711427641</v>
      </c>
      <c r="AF132" s="33">
        <f t="shared" ref="AF132:AF154" si="25">$AJ132*AQ$100</f>
        <v>2.7282195281291495</v>
      </c>
      <c r="AG132" s="33">
        <f t="shared" ref="AG132:AG154" si="26">$AJ132*AR$100</f>
        <v>7.578551778802349E-2</v>
      </c>
      <c r="AH132" s="33">
        <f t="shared" ref="AH132:AH154" si="27">$AJ132*AS$100</f>
        <v>1.4276054174584762</v>
      </c>
      <c r="AI132" s="33">
        <f t="shared" ref="AI132:AI154" si="28">$AJ132*AT$100</f>
        <v>0.97024613092939271</v>
      </c>
      <c r="AJ132" s="33">
        <f>AJ131/'1950~2004'!Q37*'1950~2004'!Q38</f>
        <v>13.45829246824356</v>
      </c>
      <c r="AK132" s="33"/>
    </row>
    <row r="133" spans="27:37" x14ac:dyDescent="0.2">
      <c r="AA133" s="1">
        <v>1971</v>
      </c>
      <c r="AB133" s="33">
        <f t="shared" si="21"/>
        <v>1.0005796333832424</v>
      </c>
      <c r="AC133" s="33">
        <f t="shared" si="22"/>
        <v>3.8714742099025403</v>
      </c>
      <c r="AD133" s="33">
        <f t="shared" si="23"/>
        <v>2.080232030725897</v>
      </c>
      <c r="AE133" s="33">
        <f t="shared" si="24"/>
        <v>0.66947847135990868</v>
      </c>
      <c r="AF133" s="33">
        <f t="shared" si="25"/>
        <v>2.5185015233361328</v>
      </c>
      <c r="AG133" s="33">
        <f t="shared" si="26"/>
        <v>6.9959891433970953E-2</v>
      </c>
      <c r="AH133" s="33">
        <f t="shared" si="27"/>
        <v>1.3178655095463003</v>
      </c>
      <c r="AI133" s="33">
        <f t="shared" si="28"/>
        <v>0.89566339275942242</v>
      </c>
      <c r="AJ133" s="33">
        <f>AJ132/'1950~2004'!Q38*'1950~2004'!Q39</f>
        <v>12.423754662447415</v>
      </c>
      <c r="AK133" s="33"/>
    </row>
    <row r="134" spans="27:37" x14ac:dyDescent="0.2">
      <c r="AA134" s="1">
        <v>1970</v>
      </c>
      <c r="AB134" s="33">
        <f t="shared" si="21"/>
        <v>0.9208351586495398</v>
      </c>
      <c r="AC134" s="33">
        <f t="shared" si="22"/>
        <v>3.5629243783715352</v>
      </c>
      <c r="AD134" s="33">
        <f t="shared" si="23"/>
        <v>1.9144411180590568</v>
      </c>
      <c r="AE134" s="33">
        <f t="shared" si="24"/>
        <v>0.61612218939802144</v>
      </c>
      <c r="AF134" s="33">
        <f t="shared" si="25"/>
        <v>2.3177812863916882</v>
      </c>
      <c r="AG134" s="33">
        <f t="shared" si="26"/>
        <v>6.4384208491110137E-2</v>
      </c>
      <c r="AH134" s="33">
        <f t="shared" si="27"/>
        <v>1.2128338965470573</v>
      </c>
      <c r="AI134" s="33">
        <f t="shared" si="28"/>
        <v>0.82428056183740905</v>
      </c>
      <c r="AJ134" s="33">
        <f>AJ133/'1950~2004'!Q39*'1950~2004'!Q40</f>
        <v>11.433602797745419</v>
      </c>
      <c r="AK134" s="33"/>
    </row>
    <row r="135" spans="27:37" x14ac:dyDescent="0.2">
      <c r="AA135" s="1">
        <v>1969</v>
      </c>
      <c r="AB135" s="33">
        <f t="shared" si="21"/>
        <v>0.85370994578250592</v>
      </c>
      <c r="AC135" s="33">
        <f t="shared" si="22"/>
        <v>3.3032013920358714</v>
      </c>
      <c r="AD135" s="33">
        <f t="shared" si="23"/>
        <v>1.7748859909942083</v>
      </c>
      <c r="AE135" s="33">
        <f t="shared" si="24"/>
        <v>0.5712093374863958</v>
      </c>
      <c r="AF135" s="33">
        <f t="shared" si="25"/>
        <v>2.1488242686596122</v>
      </c>
      <c r="AG135" s="33">
        <f t="shared" si="26"/>
        <v>5.9690856310053719E-2</v>
      </c>
      <c r="AH135" s="33">
        <f t="shared" si="27"/>
        <v>1.1244231395148536</v>
      </c>
      <c r="AI135" s="33">
        <f t="shared" si="28"/>
        <v>0.76419379423761513</v>
      </c>
      <c r="AJ135" s="33">
        <f>AJ134/'1950~2004'!Q40*'1950~2004'!Q41</f>
        <v>10.600138725021116</v>
      </c>
      <c r="AK135" s="33"/>
    </row>
    <row r="136" spans="27:37" x14ac:dyDescent="0.2">
      <c r="AA136" s="1">
        <v>1968</v>
      </c>
      <c r="AB136" s="33">
        <f t="shared" si="21"/>
        <v>0.77668359496220352</v>
      </c>
      <c r="AC136" s="33">
        <f t="shared" si="22"/>
        <v>3.0051686111012956</v>
      </c>
      <c r="AD136" s="33">
        <f t="shared" si="23"/>
        <v>1.6147461312166003</v>
      </c>
      <c r="AE136" s="33">
        <f t="shared" si="24"/>
        <v>0.51967172680443152</v>
      </c>
      <c r="AF136" s="33">
        <f t="shared" si="25"/>
        <v>1.9549456652924651</v>
      </c>
      <c r="AG136" s="33">
        <f t="shared" si="26"/>
        <v>5.4305222862046774E-2</v>
      </c>
      <c r="AH136" s="33">
        <f t="shared" si="27"/>
        <v>1.0229715731572069</v>
      </c>
      <c r="AI136" s="33">
        <f t="shared" si="28"/>
        <v>0.69524407708785063</v>
      </c>
      <c r="AJ136" s="33">
        <f>AJ135/'1950~2004'!Q41*'1950~2004'!Q42</f>
        <v>9.6437366024841005</v>
      </c>
      <c r="AK136" s="33"/>
    </row>
    <row r="137" spans="27:37" x14ac:dyDescent="0.2">
      <c r="AA137" s="1">
        <v>1967</v>
      </c>
      <c r="AB137" s="33">
        <f t="shared" si="21"/>
        <v>0.7050136238352942</v>
      </c>
      <c r="AC137" s="33">
        <f t="shared" si="22"/>
        <v>2.7278609030640149</v>
      </c>
      <c r="AD137" s="33">
        <f t="shared" si="23"/>
        <v>1.4657423292150733</v>
      </c>
      <c r="AE137" s="33">
        <f t="shared" si="24"/>
        <v>0.47171801966148968</v>
      </c>
      <c r="AF137" s="33">
        <f t="shared" si="25"/>
        <v>1.774549297588824</v>
      </c>
      <c r="AG137" s="33">
        <f t="shared" si="26"/>
        <v>4.9294104074668915E-2</v>
      </c>
      <c r="AH137" s="33">
        <f t="shared" si="27"/>
        <v>0.92857490559865752</v>
      </c>
      <c r="AI137" s="33">
        <f t="shared" si="28"/>
        <v>0.63108909395927582</v>
      </c>
      <c r="AJ137" s="33">
        <f>AJ136/'1950~2004'!Q42*'1950~2004'!Q43</f>
        <v>8.7538422769972986</v>
      </c>
      <c r="AK137" s="33"/>
    </row>
    <row r="138" spans="27:37" x14ac:dyDescent="0.2">
      <c r="AA138" s="1">
        <v>1966</v>
      </c>
      <c r="AB138" s="33">
        <f t="shared" si="21"/>
        <v>0.64333230063726887</v>
      </c>
      <c r="AC138" s="33">
        <f t="shared" si="22"/>
        <v>2.4892015859776015</v>
      </c>
      <c r="AD138" s="33">
        <f t="shared" si="23"/>
        <v>1.3375051955246429</v>
      </c>
      <c r="AE138" s="33">
        <f t="shared" si="24"/>
        <v>0.430447623394835</v>
      </c>
      <c r="AF138" s="33">
        <f t="shared" si="25"/>
        <v>1.619294781853428</v>
      </c>
      <c r="AG138" s="33">
        <f t="shared" si="26"/>
        <v>4.4981385196065968E-2</v>
      </c>
      <c r="AH138" s="33">
        <f t="shared" si="27"/>
        <v>0.84733430693586143</v>
      </c>
      <c r="AI138" s="33">
        <f t="shared" si="28"/>
        <v>0.57587539445728564</v>
      </c>
      <c r="AJ138" s="33">
        <f>AJ137/'1950~2004'!Q43*'1950~2004'!Q44</f>
        <v>7.9879725739769896</v>
      </c>
      <c r="AK138" s="33"/>
    </row>
    <row r="139" spans="27:37" x14ac:dyDescent="0.2">
      <c r="AA139" s="1">
        <v>1965</v>
      </c>
      <c r="AB139" s="33">
        <f t="shared" si="21"/>
        <v>0.58344407387159425</v>
      </c>
      <c r="AC139" s="33">
        <f t="shared" si="22"/>
        <v>2.2574801740434665</v>
      </c>
      <c r="AD139" s="33">
        <f t="shared" si="23"/>
        <v>1.2129959576541025</v>
      </c>
      <c r="AE139" s="33">
        <f t="shared" si="24"/>
        <v>0.39037697117501052</v>
      </c>
      <c r="AF139" s="33">
        <f t="shared" si="25"/>
        <v>1.4685535661550262</v>
      </c>
      <c r="AG139" s="33">
        <f t="shared" si="26"/>
        <v>4.0794038479310589E-2</v>
      </c>
      <c r="AH139" s="33">
        <f t="shared" si="27"/>
        <v>0.76845539930158979</v>
      </c>
      <c r="AI139" s="33">
        <f t="shared" si="28"/>
        <v>0.52226677543121292</v>
      </c>
      <c r="AJ139" s="33">
        <f>AJ138/'1950~2004'!Q44*'1950~2004'!Q45</f>
        <v>7.244366956111314</v>
      </c>
      <c r="AK139" s="33"/>
    </row>
    <row r="140" spans="27:37" x14ac:dyDescent="0.2">
      <c r="AA140" s="1">
        <v>1964</v>
      </c>
      <c r="AB140" s="33">
        <f t="shared" si="21"/>
        <v>0.52926855512501725</v>
      </c>
      <c r="AC140" s="33">
        <f t="shared" si="22"/>
        <v>2.0478625517795819</v>
      </c>
      <c r="AD140" s="33">
        <f t="shared" si="23"/>
        <v>1.1003635937544314</v>
      </c>
      <c r="AE140" s="33">
        <f t="shared" si="24"/>
        <v>0.35412863844316028</v>
      </c>
      <c r="AF140" s="33">
        <f t="shared" si="25"/>
        <v>1.3321914796817753</v>
      </c>
      <c r="AG140" s="33">
        <f t="shared" si="26"/>
        <v>3.7006120673034493E-2</v>
      </c>
      <c r="AH140" s="33">
        <f t="shared" si="27"/>
        <v>0.69710071124294659</v>
      </c>
      <c r="AI140" s="33">
        <f t="shared" si="28"/>
        <v>0.47377185578049924</v>
      </c>
      <c r="AJ140" s="33">
        <f>AJ139/'1950~2004'!Q45*'1950~2004'!Q46</f>
        <v>6.5716935064804467</v>
      </c>
      <c r="AK140" s="33"/>
    </row>
    <row r="141" spans="27:37" x14ac:dyDescent="0.2">
      <c r="AA141" s="1">
        <v>1963</v>
      </c>
      <c r="AB141" s="33">
        <f t="shared" si="21"/>
        <v>0.47831144611760601</v>
      </c>
      <c r="AC141" s="33">
        <f t="shared" si="22"/>
        <v>1.8506977017752615</v>
      </c>
      <c r="AD141" s="33">
        <f t="shared" si="23"/>
        <v>0.99442239046211256</v>
      </c>
      <c r="AE141" s="33">
        <f t="shared" si="24"/>
        <v>0.3200337135566218</v>
      </c>
      <c r="AF141" s="33">
        <f t="shared" si="25"/>
        <v>1.2039302675021593</v>
      </c>
      <c r="AG141" s="33">
        <f t="shared" si="26"/>
        <v>3.3443232028286252E-2</v>
      </c>
      <c r="AH141" s="33">
        <f t="shared" si="27"/>
        <v>0.62998499732421565</v>
      </c>
      <c r="AI141" s="33">
        <f t="shared" si="28"/>
        <v>0.42815787802595862</v>
      </c>
      <c r="AJ141" s="33">
        <f>AJ140/'1950~2004'!Q46*'1950~2004'!Q47</f>
        <v>5.9389816267922217</v>
      </c>
      <c r="AK141" s="33"/>
    </row>
    <row r="142" spans="27:37" x14ac:dyDescent="0.2">
      <c r="AA142" s="1">
        <v>1962</v>
      </c>
      <c r="AB142" s="33">
        <f t="shared" si="21"/>
        <v>0.43342337345366466</v>
      </c>
      <c r="AC142" s="33">
        <f t="shared" si="22"/>
        <v>1.6770153582089922</v>
      </c>
      <c r="AD142" s="33">
        <f t="shared" si="23"/>
        <v>0.90109887733268146</v>
      </c>
      <c r="AE142" s="33">
        <f t="shared" si="24"/>
        <v>0.28999952410611796</v>
      </c>
      <c r="AF142" s="33">
        <f t="shared" si="25"/>
        <v>1.0909450781059857</v>
      </c>
      <c r="AG142" s="33">
        <f t="shared" si="26"/>
        <v>3.0304686543774363E-2</v>
      </c>
      <c r="AH142" s="33">
        <f t="shared" si="27"/>
        <v>0.57086282375588926</v>
      </c>
      <c r="AI142" s="33">
        <f t="shared" si="28"/>
        <v>0.38797656499975391</v>
      </c>
      <c r="AJ142" s="33">
        <f>AJ141/'1950~2004'!Q47*'1950~2004'!Q48</f>
        <v>5.3816262865068598</v>
      </c>
      <c r="AK142" s="33"/>
    </row>
    <row r="143" spans="27:37" x14ac:dyDescent="0.2">
      <c r="AA143" s="1">
        <v>1961</v>
      </c>
      <c r="AB143" s="33">
        <f t="shared" si="21"/>
        <v>0.39175371052888919</v>
      </c>
      <c r="AC143" s="33">
        <f t="shared" si="22"/>
        <v>1.5157857869022868</v>
      </c>
      <c r="AD143" s="33">
        <f t="shared" si="23"/>
        <v>0.81446652481060267</v>
      </c>
      <c r="AE143" s="33">
        <f t="shared" si="24"/>
        <v>0.26211874250092587</v>
      </c>
      <c r="AF143" s="33">
        <f t="shared" si="25"/>
        <v>0.98606076300344747</v>
      </c>
      <c r="AG143" s="33">
        <f t="shared" si="26"/>
        <v>2.7391170220790326E-2</v>
      </c>
      <c r="AH143" s="33">
        <f t="shared" si="27"/>
        <v>0.51597962432747524</v>
      </c>
      <c r="AI143" s="33">
        <f t="shared" si="28"/>
        <v>0.35067619386972226</v>
      </c>
      <c r="AJ143" s="33">
        <f>AJ142/'1950~2004'!Q48*'1950~2004'!Q49</f>
        <v>4.8642325161641402</v>
      </c>
      <c r="AK143" s="33"/>
    </row>
    <row r="144" spans="27:37" x14ac:dyDescent="0.2">
      <c r="AA144" s="1">
        <v>1960</v>
      </c>
      <c r="AB144" s="33">
        <f t="shared" si="21"/>
        <v>0.356153083946251</v>
      </c>
      <c r="AC144" s="33">
        <f t="shared" si="22"/>
        <v>1.3780387220284771</v>
      </c>
      <c r="AD144" s="33">
        <f t="shared" si="23"/>
        <v>0.74045186244864147</v>
      </c>
      <c r="AE144" s="33">
        <f t="shared" si="24"/>
        <v>0.23829869633087689</v>
      </c>
      <c r="AF144" s="33">
        <f t="shared" si="25"/>
        <v>0.89645247068099798</v>
      </c>
      <c r="AG144" s="33">
        <f t="shared" si="26"/>
        <v>2.4901997057949477E-2</v>
      </c>
      <c r="AH144" s="33">
        <f t="shared" si="27"/>
        <v>0.46908996524771079</v>
      </c>
      <c r="AI144" s="33">
        <f t="shared" si="28"/>
        <v>0.31880848746683382</v>
      </c>
      <c r="AJ144" s="33">
        <f>AJ143/'1950~2004'!Q49*'1950~2004'!Q50</f>
        <v>4.4221952852077386</v>
      </c>
      <c r="AK144" s="33"/>
    </row>
    <row r="145" spans="27:37" x14ac:dyDescent="0.2">
      <c r="AA145" s="1">
        <v>1959</v>
      </c>
      <c r="AB145" s="33">
        <f t="shared" si="21"/>
        <v>0.32377086710144654</v>
      </c>
      <c r="AC145" s="33">
        <f t="shared" si="22"/>
        <v>1.2527444294090768</v>
      </c>
      <c r="AD145" s="33">
        <f t="shared" si="23"/>
        <v>0.67312836069126281</v>
      </c>
      <c r="AE145" s="33">
        <f t="shared" si="24"/>
        <v>0.21663205800524826</v>
      </c>
      <c r="AF145" s="33">
        <f t="shared" si="25"/>
        <v>0.81494505264883021</v>
      </c>
      <c r="AG145" s="33">
        <f t="shared" si="26"/>
        <v>2.2637853056543332E-2</v>
      </c>
      <c r="AH145" s="33">
        <f t="shared" si="27"/>
        <v>0.42643928030610406</v>
      </c>
      <c r="AI145" s="33">
        <f t="shared" si="28"/>
        <v>0.28982172295892583</v>
      </c>
      <c r="AJ145" s="33">
        <f>AJ144/'1950~2004'!Q50*'1950~2004'!Q51</f>
        <v>4.020119624177438</v>
      </c>
      <c r="AK145" s="33"/>
    </row>
    <row r="146" spans="27:37" x14ac:dyDescent="0.2">
      <c r="AA146" s="1">
        <v>1958</v>
      </c>
      <c r="AB146" s="33">
        <f t="shared" si="21"/>
        <v>0.29318174669432218</v>
      </c>
      <c r="AC146" s="33">
        <f t="shared" si="22"/>
        <v>1.1343880419625754</v>
      </c>
      <c r="AD146" s="33">
        <f t="shared" si="23"/>
        <v>0.60953275476485402</v>
      </c>
      <c r="AE146" s="33">
        <f t="shared" si="24"/>
        <v>0.19616516373001569</v>
      </c>
      <c r="AF146" s="33">
        <f t="shared" si="25"/>
        <v>0.73795093466707073</v>
      </c>
      <c r="AG146" s="33">
        <f t="shared" si="26"/>
        <v>2.0499081217357377E-2</v>
      </c>
      <c r="AH146" s="33">
        <f t="shared" si="27"/>
        <v>0.38615028640004118</v>
      </c>
      <c r="AI146" s="33">
        <f t="shared" si="28"/>
        <v>0.26244003893170598</v>
      </c>
      <c r="AJ146" s="33">
        <f>AJ145/'1950~2004'!Q51*'1950~2004'!Q52</f>
        <v>3.6403080483679426</v>
      </c>
      <c r="AK146" s="33"/>
    </row>
    <row r="147" spans="27:37" x14ac:dyDescent="0.2">
      <c r="AA147" s="1">
        <v>1957</v>
      </c>
      <c r="AB147" s="33">
        <f t="shared" si="21"/>
        <v>0.27008697593215325</v>
      </c>
      <c r="AC147" s="33">
        <f t="shared" si="22"/>
        <v>1.0450290280407899</v>
      </c>
      <c r="AD147" s="33">
        <f t="shared" si="23"/>
        <v>0.56151810377771516</v>
      </c>
      <c r="AE147" s="33">
        <f t="shared" si="24"/>
        <v>0.18071266868573335</v>
      </c>
      <c r="AF147" s="33">
        <f t="shared" si="25"/>
        <v>0.67982041371198032</v>
      </c>
      <c r="AG147" s="33">
        <f t="shared" si="26"/>
        <v>1.8884309537715426E-2</v>
      </c>
      <c r="AH147" s="33">
        <f t="shared" si="27"/>
        <v>0.35573211594875115</v>
      </c>
      <c r="AI147" s="33">
        <f t="shared" si="28"/>
        <v>0.24176688104830688</v>
      </c>
      <c r="AJ147" s="33">
        <f>AJ146/'1950~2004'!Q52*'1950~2004'!Q53</f>
        <v>3.3535504966831455</v>
      </c>
      <c r="AK147" s="33"/>
    </row>
    <row r="148" spans="27:37" x14ac:dyDescent="0.2">
      <c r="AA148" s="1">
        <v>1956</v>
      </c>
      <c r="AB148" s="33">
        <f t="shared" si="21"/>
        <v>0.24949795825640891</v>
      </c>
      <c r="AC148" s="33">
        <f t="shared" si="22"/>
        <v>0.96536535282750346</v>
      </c>
      <c r="AD148" s="33">
        <f t="shared" si="23"/>
        <v>0.51871298100558261</v>
      </c>
      <c r="AE148" s="33">
        <f t="shared" si="24"/>
        <v>0.16693674958796781</v>
      </c>
      <c r="AF148" s="33">
        <f t="shared" si="25"/>
        <v>0.62799697992388148</v>
      </c>
      <c r="AG148" s="33">
        <f t="shared" si="26"/>
        <v>1.7444738519807771E-2</v>
      </c>
      <c r="AH148" s="33">
        <f t="shared" si="27"/>
        <v>0.32861427808255717</v>
      </c>
      <c r="AI148" s="33">
        <f t="shared" si="28"/>
        <v>0.22333673435154947</v>
      </c>
      <c r="AJ148" s="33">
        <f>AJ147/'1950~2004'!Q53*'1950~2004'!Q54</f>
        <v>3.0979057725552588</v>
      </c>
      <c r="AK148" s="33"/>
    </row>
    <row r="149" spans="27:37" x14ac:dyDescent="0.2">
      <c r="AA149" s="1">
        <v>1955</v>
      </c>
      <c r="AB149" s="33">
        <f t="shared" si="21"/>
        <v>0.23284000697257198</v>
      </c>
      <c r="AC149" s="33">
        <f t="shared" si="22"/>
        <v>0.90091188342484729</v>
      </c>
      <c r="AD149" s="33">
        <f t="shared" si="23"/>
        <v>0.48408065123314897</v>
      </c>
      <c r="AE149" s="33">
        <f t="shared" si="24"/>
        <v>0.15579107023430913</v>
      </c>
      <c r="AF149" s="33">
        <f t="shared" si="25"/>
        <v>0.58606820755606182</v>
      </c>
      <c r="AG149" s="33">
        <f t="shared" si="26"/>
        <v>1.6280025163221547E-2</v>
      </c>
      <c r="AH149" s="33">
        <f t="shared" si="27"/>
        <v>0.30667405591109226</v>
      </c>
      <c r="AI149" s="33">
        <f t="shared" si="28"/>
        <v>0.20842546026049674</v>
      </c>
      <c r="AJ149" s="33">
        <f>AJ148/'1950~2004'!Q54*'1950~2004'!Q55</f>
        <v>2.8910713607557499</v>
      </c>
      <c r="AK149" s="33"/>
    </row>
    <row r="150" spans="27:37" x14ac:dyDescent="0.2">
      <c r="AA150" s="1">
        <v>1954</v>
      </c>
      <c r="AB150" s="33">
        <f t="shared" si="21"/>
        <v>0.18769238364830104</v>
      </c>
      <c r="AC150" s="33">
        <f t="shared" si="22"/>
        <v>0.72622527827448846</v>
      </c>
      <c r="AD150" s="33">
        <f t="shared" si="23"/>
        <v>0.39021752528410852</v>
      </c>
      <c r="AE150" s="33">
        <f t="shared" si="24"/>
        <v>0.12558321786531237</v>
      </c>
      <c r="AF150" s="33">
        <f t="shared" si="25"/>
        <v>0.47242971810098894</v>
      </c>
      <c r="AG150" s="33">
        <f t="shared" si="26"/>
        <v>1.3123332061656057E-2</v>
      </c>
      <c r="AH150" s="33">
        <f t="shared" si="27"/>
        <v>0.24721002762994135</v>
      </c>
      <c r="AI150" s="33">
        <f t="shared" si="28"/>
        <v>0.16801181187859657</v>
      </c>
      <c r="AJ150" s="33">
        <f>AJ149/'1950~2004'!Q55*'1950~2004'!Q56</f>
        <v>2.3304932947433934</v>
      </c>
      <c r="AK150" s="33"/>
    </row>
    <row r="151" spans="27:37" x14ac:dyDescent="0.2">
      <c r="AA151" s="1">
        <v>1953</v>
      </c>
      <c r="AB151" s="33">
        <f t="shared" si="21"/>
        <v>0.17923654765156072</v>
      </c>
      <c r="AC151" s="33">
        <f t="shared" si="22"/>
        <v>0.69350769149545899</v>
      </c>
      <c r="AD151" s="33">
        <f t="shared" si="23"/>
        <v>0.37263761430040482</v>
      </c>
      <c r="AE151" s="33">
        <f t="shared" si="24"/>
        <v>0.11992549711196628</v>
      </c>
      <c r="AF151" s="33">
        <f t="shared" si="25"/>
        <v>0.45114601900463303</v>
      </c>
      <c r="AG151" s="33">
        <f t="shared" si="26"/>
        <v>1.253210538805772E-2</v>
      </c>
      <c r="AH151" s="33">
        <f t="shared" si="27"/>
        <v>0.23607282850786418</v>
      </c>
      <c r="AI151" s="33">
        <f t="shared" si="28"/>
        <v>0.1604426164794765</v>
      </c>
      <c r="AJ151" s="33">
        <f>AJ150/'1950~2004'!Q56*'1950~2004'!Q57</f>
        <v>2.2255009199394222</v>
      </c>
      <c r="AK151" s="33"/>
    </row>
    <row r="152" spans="27:37" x14ac:dyDescent="0.2">
      <c r="AA152" s="1">
        <v>1952</v>
      </c>
      <c r="AB152" s="33">
        <f t="shared" si="21"/>
        <v>0.15035607621991556</v>
      </c>
      <c r="AC152" s="33">
        <f t="shared" si="22"/>
        <v>0.58176246244319441</v>
      </c>
      <c r="AD152" s="33">
        <f t="shared" si="23"/>
        <v>0.31259433565457484</v>
      </c>
      <c r="AE152" s="33">
        <f t="shared" si="24"/>
        <v>0.10060184388025425</v>
      </c>
      <c r="AF152" s="33">
        <f t="shared" si="25"/>
        <v>0.37845264321671629</v>
      </c>
      <c r="AG152" s="33">
        <f t="shared" si="26"/>
        <v>1.0512801198257255E-2</v>
      </c>
      <c r="AH152" s="33">
        <f t="shared" si="27"/>
        <v>0.19803429970980255</v>
      </c>
      <c r="AI152" s="33">
        <f t="shared" si="28"/>
        <v>0.13459042024848325</v>
      </c>
      <c r="AJ152" s="33">
        <f>AJ151/'1950~2004'!Q57*'1950~2004'!Q58</f>
        <v>1.8669048825711985</v>
      </c>
      <c r="AK152" s="33"/>
    </row>
    <row r="153" spans="27:37" x14ac:dyDescent="0.2">
      <c r="AA153" s="1">
        <v>1951</v>
      </c>
      <c r="AB153" s="33">
        <f t="shared" si="21"/>
        <v>0.18240737414320765</v>
      </c>
      <c r="AC153" s="33">
        <f t="shared" si="22"/>
        <v>0.70577635315607967</v>
      </c>
      <c r="AD153" s="33">
        <f t="shared" si="23"/>
        <v>0.37922984805344967</v>
      </c>
      <c r="AE153" s="33">
        <f t="shared" si="24"/>
        <v>0.12204706745154785</v>
      </c>
      <c r="AF153" s="33">
        <f t="shared" si="25"/>
        <v>0.45912712423905139</v>
      </c>
      <c r="AG153" s="33">
        <f t="shared" si="26"/>
        <v>1.2753807559189773E-2</v>
      </c>
      <c r="AH153" s="33">
        <f t="shared" si="27"/>
        <v>0.24024913065381909</v>
      </c>
      <c r="AI153" s="33">
        <f t="shared" si="28"/>
        <v>0.16328096449157539</v>
      </c>
      <c r="AJ153" s="33">
        <f>AJ152/'1950~2004'!Q58*'1950~2004'!Q59</f>
        <v>2.2648716697479205</v>
      </c>
      <c r="AK153" s="33"/>
    </row>
    <row r="154" spans="27:37" x14ac:dyDescent="0.2">
      <c r="AA154" s="1">
        <v>1950</v>
      </c>
      <c r="AB154" s="33">
        <f t="shared" si="21"/>
        <v>0.13911343832557277</v>
      </c>
      <c r="AC154" s="33">
        <f t="shared" si="22"/>
        <v>0.53826209404967751</v>
      </c>
      <c r="AD154" s="33">
        <f t="shared" si="23"/>
        <v>0.28922058840110981</v>
      </c>
      <c r="AE154" s="33">
        <f t="shared" si="24"/>
        <v>9.3079500050300731E-2</v>
      </c>
      <c r="AF154" s="33">
        <f t="shared" si="25"/>
        <v>0.3501544451337919</v>
      </c>
      <c r="AG154" s="33">
        <f t="shared" si="26"/>
        <v>9.726723108840046E-3</v>
      </c>
      <c r="AH154" s="33">
        <f t="shared" si="27"/>
        <v>0.18322659803075222</v>
      </c>
      <c r="AI154" s="33">
        <f t="shared" si="28"/>
        <v>0.12452663435473635</v>
      </c>
      <c r="AJ154" s="33">
        <f>AJ153/'1950~2004'!Q59*'1950~2004'!Q60</f>
        <v>1.7273100214547814</v>
      </c>
      <c r="AK154" s="33"/>
    </row>
  </sheetData>
  <mergeCells count="7">
    <mergeCell ref="B1:D1"/>
    <mergeCell ref="Q1:Y1"/>
    <mergeCell ref="AB42:AI42"/>
    <mergeCell ref="AB62:AJ62"/>
    <mergeCell ref="AB82:AJ82"/>
    <mergeCell ref="AB1:AI1"/>
    <mergeCell ref="AB22:AI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00D7-B50E-1949-94EC-96144A4F50F0}">
  <dimension ref="A1:Q67"/>
  <sheetViews>
    <sheetView zoomScale="107" workbookViewId="0">
      <pane xSplit="1" topLeftCell="B1" activePane="topRight" state="frozen"/>
      <selection activeCell="CI42" sqref="CI42"/>
      <selection pane="topRight" activeCell="Q10" sqref="Q10"/>
    </sheetView>
  </sheetViews>
  <sheetFormatPr baseColWidth="10" defaultRowHeight="16" x14ac:dyDescent="0.2"/>
  <cols>
    <col min="1" max="3" width="10.83203125" style="13"/>
    <col min="4" max="4" width="9.6640625" style="13" customWidth="1"/>
    <col min="5" max="6" width="10.83203125" style="13" customWidth="1"/>
    <col min="7" max="7" width="11" style="13" bestFit="1" customWidth="1"/>
    <col min="8" max="10" width="11" style="13" customWidth="1"/>
    <col min="11" max="11" width="11" style="13" bestFit="1" customWidth="1"/>
    <col min="12" max="12" width="11" style="13" customWidth="1"/>
    <col min="13" max="13" width="22" style="13" bestFit="1" customWidth="1"/>
    <col min="14" max="14" width="24.83203125" style="13" bestFit="1" customWidth="1"/>
    <col min="15" max="15" width="51.1640625" style="13" bestFit="1" customWidth="1"/>
    <col min="16" max="16" width="23.5" style="13" bestFit="1" customWidth="1"/>
    <col min="17" max="17" width="12.6640625" style="13" customWidth="1"/>
    <col min="18" max="16384" width="10.83203125" style="13"/>
  </cols>
  <sheetData>
    <row r="1" spans="1:17" x14ac:dyDescent="0.2">
      <c r="A1" s="13" t="s">
        <v>213</v>
      </c>
    </row>
    <row r="2" spans="1:17" x14ac:dyDescent="0.2">
      <c r="A2" s="74" t="s">
        <v>194</v>
      </c>
      <c r="B2" s="191" t="s">
        <v>195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74" t="s">
        <v>196</v>
      </c>
      <c r="N2" s="74" t="s">
        <v>197</v>
      </c>
      <c r="O2" s="74" t="s">
        <v>198</v>
      </c>
      <c r="P2" s="74" t="s">
        <v>199</v>
      </c>
      <c r="Q2" s="84"/>
    </row>
    <row r="3" spans="1:17" x14ac:dyDescent="0.2">
      <c r="A3" s="75"/>
      <c r="B3" s="191" t="s">
        <v>76</v>
      </c>
      <c r="C3" s="192"/>
      <c r="D3" s="193"/>
      <c r="E3" s="194" t="s">
        <v>77</v>
      </c>
      <c r="F3" s="194"/>
      <c r="G3" s="75" t="s">
        <v>78</v>
      </c>
      <c r="H3" s="75" t="s">
        <v>79</v>
      </c>
      <c r="I3" s="74" t="s">
        <v>200</v>
      </c>
      <c r="J3" s="74" t="s">
        <v>201</v>
      </c>
      <c r="K3" s="191" t="s">
        <v>202</v>
      </c>
      <c r="L3" s="192"/>
      <c r="M3" s="74" t="s">
        <v>202</v>
      </c>
      <c r="N3" s="74" t="s">
        <v>202</v>
      </c>
      <c r="O3" s="74" t="s">
        <v>202</v>
      </c>
      <c r="P3" s="74" t="s">
        <v>202</v>
      </c>
      <c r="Q3" s="74" t="s">
        <v>77</v>
      </c>
    </row>
    <row r="4" spans="1:17" x14ac:dyDescent="0.2">
      <c r="A4" s="74"/>
      <c r="B4" s="74" t="s">
        <v>203</v>
      </c>
      <c r="C4" s="74" t="s">
        <v>204</v>
      </c>
      <c r="D4" s="74" t="s">
        <v>205</v>
      </c>
      <c r="E4" s="74" t="s">
        <v>206</v>
      </c>
      <c r="F4" s="74" t="s">
        <v>207</v>
      </c>
      <c r="G4" s="74" t="s">
        <v>207</v>
      </c>
      <c r="H4" s="74" t="s">
        <v>207</v>
      </c>
      <c r="I4" s="74"/>
      <c r="J4" s="74"/>
      <c r="K4" s="74" t="s">
        <v>208</v>
      </c>
      <c r="L4" s="74" t="s">
        <v>209</v>
      </c>
      <c r="M4" s="74" t="s">
        <v>207</v>
      </c>
      <c r="N4" s="74" t="s">
        <v>207</v>
      </c>
      <c r="O4" s="74" t="s">
        <v>207</v>
      </c>
      <c r="P4" s="74" t="s">
        <v>207</v>
      </c>
      <c r="Q4" s="74" t="s">
        <v>210</v>
      </c>
    </row>
    <row r="5" spans="1:17" x14ac:dyDescent="0.2">
      <c r="A5" s="1"/>
      <c r="B5" s="1"/>
      <c r="C5" s="1"/>
      <c r="D5" s="81">
        <v>0.62166852387206795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6">
        <f>SUM(Production_Consumption!D20,Production_Consumption!E20,Production_Consumption!N20)</f>
        <v>63.360527349109347</v>
      </c>
    </row>
    <row r="6" spans="1:17" x14ac:dyDescent="0.2">
      <c r="A6" s="1">
        <v>2004</v>
      </c>
      <c r="B6" s="77">
        <v>20.738140259243721</v>
      </c>
      <c r="C6" s="77">
        <v>4.82</v>
      </c>
      <c r="D6" s="82">
        <v>17.564389246386046</v>
      </c>
      <c r="E6" s="77">
        <v>113940</v>
      </c>
      <c r="F6" s="77">
        <f>E6/2204.62</f>
        <v>51.682376101096793</v>
      </c>
      <c r="G6" s="77">
        <v>59.145099999999999</v>
      </c>
      <c r="H6" s="77">
        <f>J6-SUM(F6,G6)</f>
        <v>85.688906717001927</v>
      </c>
      <c r="I6" s="78">
        <f t="shared" ref="I6:I60" si="0">D6*(1+D$5)</f>
        <v>28.483617181901284</v>
      </c>
      <c r="J6" s="78">
        <f t="shared" ref="J6:J60" si="1">K6-I6</f>
        <v>196.51638281809872</v>
      </c>
      <c r="K6" s="78">
        <v>225</v>
      </c>
      <c r="L6" s="78">
        <f>SUM(D6,F6,G6,H6)</f>
        <v>214.08077206448479</v>
      </c>
      <c r="M6" s="76">
        <f>SUM(D6,F6,G6,H6)*SUM(Additives!$Q$6:$Q$12)</f>
        <v>18.122733618593227</v>
      </c>
      <c r="N6" s="77">
        <f>'Fiber Fabric'!D20</f>
        <v>34.183999999999997</v>
      </c>
      <c r="O6" s="77">
        <f t="shared" ref="O6:O60" si="2">SUM(D6,F6,G6,H6,M6,N6)</f>
        <v>266.38750568307802</v>
      </c>
      <c r="P6" s="76">
        <f>O12</f>
        <v>199.984752610741</v>
      </c>
      <c r="Q6" s="76">
        <f>F6+$F6*SUM(Additives!$Q$6:$Q$12)+'Fiber Fabric'!M20</f>
        <v>60.009383310650747</v>
      </c>
    </row>
    <row r="7" spans="1:17" x14ac:dyDescent="0.2">
      <c r="A7" s="1">
        <v>2003</v>
      </c>
      <c r="B7" s="77">
        <v>16.520799999999998</v>
      </c>
      <c r="C7" s="77">
        <v>3.87</v>
      </c>
      <c r="D7" s="82">
        <v>13.959141699932323</v>
      </c>
      <c r="E7" s="77">
        <v>106466</v>
      </c>
      <c r="F7" s="77">
        <f t="shared" ref="F7:F55" si="3">E7/2204.62</f>
        <v>48.292222695974822</v>
      </c>
      <c r="G7" s="77">
        <v>57.1571</v>
      </c>
      <c r="H7" s="77">
        <f t="shared" ref="H7:H60" si="4">J7-SUM(F7,G7)</f>
        <v>83.913576588974905</v>
      </c>
      <c r="I7" s="78">
        <f t="shared" si="0"/>
        <v>22.637100715050281</v>
      </c>
      <c r="J7" s="78">
        <f t="shared" si="1"/>
        <v>189.36289928494972</v>
      </c>
      <c r="K7" s="78">
        <v>212</v>
      </c>
      <c r="L7" s="78">
        <f t="shared" ref="L7:L60" si="5">SUM(D7,F7,G7,H7)</f>
        <v>203.32204098488205</v>
      </c>
      <c r="M7" s="76">
        <f>SUM(D7,F7,G7,H7)*SUM(Additives!$Q$6:$Q$12)</f>
        <v>17.211967016112037</v>
      </c>
      <c r="N7" s="77">
        <f>'Fiber Fabric'!D21</f>
        <v>32.131999999999998</v>
      </c>
      <c r="O7" s="77">
        <f t="shared" si="2"/>
        <v>252.66600800099408</v>
      </c>
      <c r="P7" s="76">
        <f t="shared" ref="P7:P54" si="6">O13</f>
        <v>191.27638240747331</v>
      </c>
      <c r="Q7" s="76">
        <f>F7+$F7*SUM(Additives!$Q$6:$Q$12)+'Fiber Fabric'!M21</f>
        <v>56.253980112412215</v>
      </c>
    </row>
    <row r="8" spans="1:17" x14ac:dyDescent="0.2">
      <c r="A8" s="1">
        <v>2002</v>
      </c>
      <c r="B8" s="77">
        <v>14.556700000000001</v>
      </c>
      <c r="C8" s="77">
        <v>3.226381075597601</v>
      </c>
      <c r="D8" s="82">
        <v>12.502096892778159</v>
      </c>
      <c r="E8" s="77">
        <v>108262</v>
      </c>
      <c r="F8" s="77">
        <f t="shared" si="3"/>
        <v>49.106875561321225</v>
      </c>
      <c r="G8" s="77">
        <v>55.964199999999998</v>
      </c>
      <c r="H8" s="77">
        <f t="shared" si="4"/>
        <v>78.65466742526165</v>
      </c>
      <c r="I8" s="78">
        <f t="shared" si="0"/>
        <v>20.274257013417124</v>
      </c>
      <c r="J8" s="78">
        <f t="shared" si="1"/>
        <v>183.72574298658287</v>
      </c>
      <c r="K8" s="78">
        <v>204</v>
      </c>
      <c r="L8" s="78">
        <f t="shared" si="5"/>
        <v>196.22783987936106</v>
      </c>
      <c r="M8" s="76">
        <f>SUM(D8,F8,G8,H8)*SUM(Additives!$Q$6:$Q$12)</f>
        <v>16.611416505983271</v>
      </c>
      <c r="N8" s="77">
        <f>'Fiber Fabric'!D22</f>
        <v>30.635999999999999</v>
      </c>
      <c r="O8" s="77">
        <f t="shared" si="2"/>
        <v>243.47525638534432</v>
      </c>
      <c r="P8" s="76">
        <f t="shared" si="6"/>
        <v>178.35475752422025</v>
      </c>
      <c r="Q8" s="76">
        <f>F8+$F8*SUM(Additives!$Q$6:$Q$12)+'Fiber Fabric'!M22</f>
        <v>57.129582336386243</v>
      </c>
    </row>
    <row r="9" spans="1:17" x14ac:dyDescent="0.2">
      <c r="A9" s="1">
        <v>2001</v>
      </c>
      <c r="B9" s="77">
        <v>12.8871</v>
      </c>
      <c r="C9" s="77">
        <v>2.5181707277661189</v>
      </c>
      <c r="D9" s="82">
        <v>11.441280629500815</v>
      </c>
      <c r="E9" s="77">
        <v>101958</v>
      </c>
      <c r="F9" s="77">
        <f t="shared" si="3"/>
        <v>46.247425860238955</v>
      </c>
      <c r="G9" s="77">
        <v>53.578499999999998</v>
      </c>
      <c r="H9" s="77">
        <f t="shared" si="4"/>
        <v>73.620109470112368</v>
      </c>
      <c r="I9" s="78">
        <f t="shared" si="0"/>
        <v>18.553964669648671</v>
      </c>
      <c r="J9" s="78">
        <f t="shared" si="1"/>
        <v>173.44603533035132</v>
      </c>
      <c r="K9" s="78">
        <v>192</v>
      </c>
      <c r="L9" s="78">
        <f t="shared" si="5"/>
        <v>184.88731595985215</v>
      </c>
      <c r="M9" s="76">
        <f>SUM(D9,F9,G9,H9)*SUM(Additives!$Q$6:$Q$12)</f>
        <v>15.651398975652999</v>
      </c>
      <c r="N9" s="77">
        <f>'Fiber Fabric'!D23</f>
        <v>28.905000000000001</v>
      </c>
      <c r="O9" s="77">
        <f t="shared" si="2"/>
        <v>229.44371493550514</v>
      </c>
      <c r="P9" s="76">
        <f t="shared" si="6"/>
        <v>166.71422734376833</v>
      </c>
      <c r="Q9" s="76">
        <f>F9+$F9*SUM(Additives!$Q$6:$Q$12)+'Fiber Fabric'!M23</f>
        <v>54.039746612407413</v>
      </c>
    </row>
    <row r="10" spans="1:17" x14ac:dyDescent="0.2">
      <c r="A10" s="1">
        <v>2000</v>
      </c>
      <c r="B10" s="77">
        <v>10.8751</v>
      </c>
      <c r="C10" s="77">
        <v>1.8897262761893217</v>
      </c>
      <c r="D10" s="82">
        <v>9.914638207664483</v>
      </c>
      <c r="E10" s="77">
        <v>103239</v>
      </c>
      <c r="F10" s="77">
        <f t="shared" si="3"/>
        <v>46.828478377226013</v>
      </c>
      <c r="G10" s="77">
        <v>52.3857</v>
      </c>
      <c r="H10" s="77">
        <f t="shared" si="4"/>
        <v>71.707564915825117</v>
      </c>
      <c r="I10" s="78">
        <f t="shared" si="0"/>
        <v>16.078256706948867</v>
      </c>
      <c r="J10" s="78">
        <f t="shared" si="1"/>
        <v>170.92174329305112</v>
      </c>
      <c r="K10" s="78">
        <v>187</v>
      </c>
      <c r="L10" s="78">
        <f t="shared" si="5"/>
        <v>180.83638150071562</v>
      </c>
      <c r="M10" s="76">
        <f>SUM(D10,F10,G10,H10)*SUM(Additives!$Q$6:$Q$12)</f>
        <v>15.308472306427433</v>
      </c>
      <c r="N10" s="77">
        <f>'Fiber Fabric'!D24</f>
        <v>28.375</v>
      </c>
      <c r="O10" s="77">
        <f t="shared" si="2"/>
        <v>224.51985380714305</v>
      </c>
      <c r="P10" s="76">
        <f t="shared" si="6"/>
        <v>161.25675385889562</v>
      </c>
      <c r="Q10" s="76">
        <f>F10+$F10*SUM(Additives!$Q$6:$Q$12)+'Fiber Fabric'!M24</f>
        <v>54.991569646252522</v>
      </c>
    </row>
    <row r="11" spans="1:17" x14ac:dyDescent="0.2">
      <c r="A11" s="1">
        <v>1999</v>
      </c>
      <c r="B11" s="77">
        <v>8.7110000000000003</v>
      </c>
      <c r="C11" s="77">
        <v>1.3410477208672091</v>
      </c>
      <c r="D11" s="82">
        <v>8.1321503925565057</v>
      </c>
      <c r="E11" s="77">
        <v>100281</v>
      </c>
      <c r="F11" s="77">
        <f t="shared" si="3"/>
        <v>45.486750551115385</v>
      </c>
      <c r="G11" s="77">
        <v>51.192799999999998</v>
      </c>
      <c r="H11" s="77">
        <f t="shared" si="4"/>
        <v>68.132797125881851</v>
      </c>
      <c r="I11" s="78">
        <f t="shared" si="0"/>
        <v>13.187652323002768</v>
      </c>
      <c r="J11" s="78">
        <f t="shared" si="1"/>
        <v>164.81234767699723</v>
      </c>
      <c r="K11" s="78">
        <v>178</v>
      </c>
      <c r="L11" s="78">
        <f t="shared" si="5"/>
        <v>172.94449806955373</v>
      </c>
      <c r="M11" s="76">
        <f>SUM(D11,F11,G11,H11)*SUM(Additives!$Q$6:$Q$12)</f>
        <v>14.640395020491377</v>
      </c>
      <c r="N11" s="77">
        <f>'Fiber Fabric'!D25</f>
        <v>26.821000000000002</v>
      </c>
      <c r="O11" s="77">
        <f t="shared" si="2"/>
        <v>214.40589309004511</v>
      </c>
      <c r="P11" s="76">
        <f t="shared" si="6"/>
        <v>146.74134500778163</v>
      </c>
      <c r="Q11" s="76">
        <f>F11+$F11*SUM(Additives!$Q$6:$Q$12)+'Fiber Fabric'!M25</f>
        <v>53.323319465908888</v>
      </c>
    </row>
    <row r="12" spans="1:17" x14ac:dyDescent="0.2">
      <c r="A12" s="1">
        <v>1998</v>
      </c>
      <c r="B12" s="77">
        <v>6.9258000000000006</v>
      </c>
      <c r="C12" s="77">
        <v>0.87213506171246991</v>
      </c>
      <c r="D12" s="82">
        <v>6.6797330348648085</v>
      </c>
      <c r="E12" s="77">
        <v>94010</v>
      </c>
      <c r="F12" s="77">
        <f t="shared" si="3"/>
        <v>42.642269416044492</v>
      </c>
      <c r="G12" s="77">
        <v>48.807200000000002</v>
      </c>
      <c r="H12" s="77">
        <f t="shared" si="4"/>
        <v>62.718217773446796</v>
      </c>
      <c r="I12" s="78">
        <f t="shared" si="0"/>
        <v>10.832312810508704</v>
      </c>
      <c r="J12" s="78">
        <f t="shared" si="1"/>
        <v>154.16768718949129</v>
      </c>
      <c r="K12" s="78">
        <v>165</v>
      </c>
      <c r="L12" s="78">
        <f t="shared" si="5"/>
        <v>160.84742022435609</v>
      </c>
      <c r="M12" s="76">
        <f>SUM(D12,F12,G12,H12)*SUM(Additives!$Q$6:$Q$12)</f>
        <v>13.616332386384908</v>
      </c>
      <c r="N12" s="77">
        <f>'Fiber Fabric'!D26</f>
        <v>25.521000000000001</v>
      </c>
      <c r="O12" s="77">
        <f t="shared" si="2"/>
        <v>199.984752610741</v>
      </c>
      <c r="P12" s="76">
        <f t="shared" si="6"/>
        <v>141.15425241599709</v>
      </c>
      <c r="Q12" s="76">
        <f>F12+$F12*SUM(Additives!$Q$6:$Q$12)+'Fiber Fabric'!M26</f>
        <v>50.284539412948007</v>
      </c>
    </row>
    <row r="13" spans="1:17" x14ac:dyDescent="0.2">
      <c r="A13" s="1">
        <v>1997</v>
      </c>
      <c r="B13" s="77">
        <v>6.8575999999999997</v>
      </c>
      <c r="C13" s="77">
        <v>0.48298829884151928</v>
      </c>
      <c r="D13" s="82">
        <v>7.033872009558122</v>
      </c>
      <c r="E13" s="77">
        <v>90716</v>
      </c>
      <c r="F13" s="77">
        <f t="shared" si="3"/>
        <v>41.148134372363494</v>
      </c>
      <c r="G13" s="77">
        <v>46.421500000000002</v>
      </c>
      <c r="H13" s="77">
        <f t="shared" si="4"/>
        <v>59.023756788791317</v>
      </c>
      <c r="I13" s="78">
        <f t="shared" si="0"/>
        <v>11.406608838845177</v>
      </c>
      <c r="J13" s="78">
        <f t="shared" si="1"/>
        <v>146.59339116115481</v>
      </c>
      <c r="K13" s="78">
        <v>158</v>
      </c>
      <c r="L13" s="78">
        <f t="shared" si="5"/>
        <v>153.62726317071292</v>
      </c>
      <c r="M13" s="76">
        <f>SUM(D13,F13,G13,H13)*SUM(Additives!$Q$6:$Q$12)</f>
        <v>13.005119236760391</v>
      </c>
      <c r="N13" s="77">
        <f>'Fiber Fabric'!D27</f>
        <v>24.643999999999998</v>
      </c>
      <c r="O13" s="77">
        <f t="shared" si="2"/>
        <v>191.27638240747331</v>
      </c>
      <c r="P13" s="76">
        <f t="shared" si="6"/>
        <v>132.98698608102586</v>
      </c>
      <c r="Q13" s="76">
        <f>F13+$F13*SUM(Additives!$Q$6:$Q$12)+'Fiber Fabric'!M27</f>
        <v>48.672434468250884</v>
      </c>
    </row>
    <row r="14" spans="1:17" x14ac:dyDescent="0.2">
      <c r="A14" s="1">
        <v>1996</v>
      </c>
      <c r="B14" s="77">
        <v>5.7686000000000002</v>
      </c>
      <c r="C14" s="77">
        <v>0.41398997043558794</v>
      </c>
      <c r="D14" s="82">
        <v>5.9083820905056168</v>
      </c>
      <c r="E14" s="83">
        <v>86424</v>
      </c>
      <c r="F14" s="77">
        <f t="shared" si="3"/>
        <v>39.201313605065728</v>
      </c>
      <c r="G14" s="77">
        <v>42.8429</v>
      </c>
      <c r="H14" s="77">
        <f t="shared" si="4"/>
        <v>56.37434913175187</v>
      </c>
      <c r="I14" s="78">
        <f t="shared" si="0"/>
        <v>9.5814372631824067</v>
      </c>
      <c r="J14" s="78">
        <f t="shared" si="1"/>
        <v>138.41856273681759</v>
      </c>
      <c r="K14" s="78">
        <v>148</v>
      </c>
      <c r="L14" s="78">
        <f t="shared" si="5"/>
        <v>144.32694482732322</v>
      </c>
      <c r="M14" s="76">
        <f>SUM(D14,F14,G14,H14)*SUM(Additives!$Q$6:$Q$12)</f>
        <v>12.217812696897024</v>
      </c>
      <c r="N14" s="77">
        <f>'Fiber Fabric'!D28</f>
        <v>21.81</v>
      </c>
      <c r="O14" s="77">
        <f t="shared" si="2"/>
        <v>178.35475752422025</v>
      </c>
      <c r="P14" s="76">
        <f t="shared" si="6"/>
        <v>128.39069140200115</v>
      </c>
      <c r="Q14" s="76">
        <f>F14+$F14*SUM(Additives!$Q$6:$Q$12)+'Fiber Fabric'!M28</f>
        <v>46.411589441909975</v>
      </c>
    </row>
    <row r="15" spans="1:17" x14ac:dyDescent="0.2">
      <c r="A15" s="1">
        <v>1995</v>
      </c>
      <c r="B15" s="77">
        <v>5.1687000000000003</v>
      </c>
      <c r="C15" s="77">
        <v>0.3449916420296566</v>
      </c>
      <c r="D15" s="82">
        <v>5.3225747374123307</v>
      </c>
      <c r="E15" s="77">
        <v>79240</v>
      </c>
      <c r="F15" s="77">
        <f t="shared" si="3"/>
        <v>35.942702143680094</v>
      </c>
      <c r="G15" s="77">
        <v>42.047699999999999</v>
      </c>
      <c r="H15" s="77">
        <f t="shared" si="4"/>
        <v>51.378145938701692</v>
      </c>
      <c r="I15" s="78">
        <f t="shared" si="0"/>
        <v>8.6314519176182145</v>
      </c>
      <c r="J15" s="78">
        <f t="shared" si="1"/>
        <v>129.36854808238178</v>
      </c>
      <c r="K15" s="78">
        <v>138</v>
      </c>
      <c r="L15" s="78">
        <f t="shared" si="5"/>
        <v>134.69112281979412</v>
      </c>
      <c r="M15" s="76">
        <f>SUM(D15,F15,G15,H15)*SUM(Additives!$Q$6:$Q$12)</f>
        <v>11.402104523974202</v>
      </c>
      <c r="N15" s="77">
        <f>'Fiber Fabric'!D29</f>
        <v>20.620999999999999</v>
      </c>
      <c r="O15" s="77">
        <f t="shared" si="2"/>
        <v>166.71422734376833</v>
      </c>
      <c r="P15" s="76">
        <f t="shared" si="6"/>
        <v>121.45150354246294</v>
      </c>
      <c r="Q15" s="76">
        <f>F15+$F15*SUM(Additives!$Q$6:$Q$12)+'Fiber Fabric'!M29</f>
        <v>42.733371211345585</v>
      </c>
    </row>
    <row r="16" spans="1:17" x14ac:dyDescent="0.2">
      <c r="A16" s="1">
        <v>1994</v>
      </c>
      <c r="B16" s="77">
        <v>4.0139999999999993</v>
      </c>
      <c r="C16" s="77">
        <v>0.27599331362372526</v>
      </c>
      <c r="D16" s="82">
        <v>4.1245901453205258</v>
      </c>
      <c r="E16" s="77">
        <v>78744</v>
      </c>
      <c r="F16" s="77">
        <f t="shared" si="3"/>
        <v>35.717720060600016</v>
      </c>
      <c r="G16" s="77">
        <v>42.047699999999999</v>
      </c>
      <c r="H16" s="77">
        <f t="shared" si="4"/>
        <v>48.54586192686078</v>
      </c>
      <c r="I16" s="78">
        <f t="shared" si="0"/>
        <v>6.6887180125392156</v>
      </c>
      <c r="J16" s="78">
        <f t="shared" si="1"/>
        <v>126.31128198746079</v>
      </c>
      <c r="K16" s="78">
        <v>133</v>
      </c>
      <c r="L16" s="78">
        <f t="shared" si="5"/>
        <v>130.4358721327813</v>
      </c>
      <c r="M16" s="76">
        <f>SUM(D16,F16,G16,H16)*SUM(Additives!$Q$6:$Q$12)</f>
        <v>11.041881726114335</v>
      </c>
      <c r="N16" s="77">
        <f>'Fiber Fabric'!D30</f>
        <v>19.779</v>
      </c>
      <c r="O16" s="77">
        <f t="shared" si="2"/>
        <v>161.25675385889562</v>
      </c>
      <c r="P16" s="76">
        <f t="shared" si="6"/>
        <v>117.88212307469659</v>
      </c>
      <c r="Q16" s="76">
        <f>F16+$F16*SUM(Additives!$Q$6:$Q$12)+'Fiber Fabric'!M30</f>
        <v>42.495260648750559</v>
      </c>
    </row>
    <row r="17" spans="1:17" x14ac:dyDescent="0.2">
      <c r="A17" s="1">
        <v>1993</v>
      </c>
      <c r="B17" s="77">
        <v>3.5989999999999998</v>
      </c>
      <c r="C17" s="77">
        <v>0.20699498521779391</v>
      </c>
      <c r="D17" s="82">
        <v>3.7428050912373809</v>
      </c>
      <c r="E17" s="77">
        <v>71094</v>
      </c>
      <c r="F17" s="77">
        <f t="shared" si="3"/>
        <v>32.247734303417367</v>
      </c>
      <c r="G17" s="77">
        <v>37.276299999999999</v>
      </c>
      <c r="H17" s="77">
        <f t="shared" si="4"/>
        <v>45.406376489134843</v>
      </c>
      <c r="I17" s="78">
        <f t="shared" si="0"/>
        <v>6.0695892074477849</v>
      </c>
      <c r="J17" s="78">
        <f t="shared" si="1"/>
        <v>114.93041079255221</v>
      </c>
      <c r="K17" s="78">
        <v>121</v>
      </c>
      <c r="L17" s="78">
        <f t="shared" si="5"/>
        <v>118.67321588378958</v>
      </c>
      <c r="M17" s="76">
        <f>SUM(D17,F17,G17,H17)*SUM(Additives!$Q$6:$Q$12)</f>
        <v>10.046129123992053</v>
      </c>
      <c r="N17" s="77">
        <f>'Fiber Fabric'!D31</f>
        <v>18.021999999999998</v>
      </c>
      <c r="O17" s="77">
        <f t="shared" si="2"/>
        <v>146.74134500778163</v>
      </c>
      <c r="P17" s="76">
        <f t="shared" si="6"/>
        <v>111.0614442712512</v>
      </c>
      <c r="Q17" s="76">
        <f>F17+$F17*SUM(Additives!$Q$6:$Q$12)+'Fiber Fabric'!M31</f>
        <v>38.370104142625486</v>
      </c>
    </row>
    <row r="18" spans="1:17" x14ac:dyDescent="0.2">
      <c r="A18" s="1">
        <v>1992</v>
      </c>
      <c r="B18" s="77">
        <v>3.3080000000000003</v>
      </c>
      <c r="C18" s="77">
        <v>0.13799665681186257</v>
      </c>
      <c r="D18" s="82">
        <v>3.4978440775937032</v>
      </c>
      <c r="E18" s="77">
        <v>67675</v>
      </c>
      <c r="F18" s="77">
        <f t="shared" si="3"/>
        <v>30.696900146056919</v>
      </c>
      <c r="G18" s="77">
        <v>37.276299999999999</v>
      </c>
      <c r="H18" s="77">
        <f t="shared" si="4"/>
        <v>42.354456211897059</v>
      </c>
      <c r="I18" s="78">
        <f t="shared" si="0"/>
        <v>5.6723436420460365</v>
      </c>
      <c r="J18" s="78">
        <f t="shared" si="1"/>
        <v>110.32765635795397</v>
      </c>
      <c r="K18" s="78">
        <v>116</v>
      </c>
      <c r="L18" s="78">
        <f t="shared" si="5"/>
        <v>113.82550043554768</v>
      </c>
      <c r="M18" s="76">
        <f>SUM(D18,F18,G18,H18)*SUM(Additives!$Q$6:$Q$12)</f>
        <v>9.6357519804494096</v>
      </c>
      <c r="N18" s="77">
        <f>'Fiber Fabric'!D32</f>
        <v>17.693000000000001</v>
      </c>
      <c r="O18" s="77">
        <f t="shared" si="2"/>
        <v>141.15425241599709</v>
      </c>
      <c r="P18" s="76">
        <f t="shared" si="6"/>
        <v>102.64449668200639</v>
      </c>
      <c r="Q18" s="76">
        <f>F18+$F18*SUM(Additives!$Q$6:$Q$12)+'Fiber Fabric'!M32</f>
        <v>36.403846867018416</v>
      </c>
    </row>
    <row r="19" spans="1:17" x14ac:dyDescent="0.2">
      <c r="A19" s="1">
        <v>1991</v>
      </c>
      <c r="B19" s="77">
        <v>2.83</v>
      </c>
      <c r="C19" s="77">
        <v>6.8998328405931245E-2</v>
      </c>
      <c r="D19" s="82">
        <v>3.0465435836098602</v>
      </c>
      <c r="E19" s="77">
        <v>63639</v>
      </c>
      <c r="F19" s="77">
        <f t="shared" si="3"/>
        <v>28.866199163574677</v>
      </c>
      <c r="G19" s="77">
        <v>36.083500000000001</v>
      </c>
      <c r="H19" s="77">
        <f t="shared" si="4"/>
        <v>39.109817000280799</v>
      </c>
      <c r="I19" s="78">
        <f t="shared" si="0"/>
        <v>4.940483836144522</v>
      </c>
      <c r="J19" s="78">
        <f t="shared" si="1"/>
        <v>104.05951616385548</v>
      </c>
      <c r="K19" s="78">
        <v>109</v>
      </c>
      <c r="L19" s="78">
        <f t="shared" si="5"/>
        <v>107.10605974746534</v>
      </c>
      <c r="M19" s="76">
        <f>SUM(D19,F19,G19,H19)*SUM(Additives!$Q$6:$Q$12)</f>
        <v>9.0669263335605201</v>
      </c>
      <c r="N19" s="77">
        <f>'Fiber Fabric'!D33</f>
        <v>16.814</v>
      </c>
      <c r="O19" s="77">
        <f t="shared" si="2"/>
        <v>132.98698608102586</v>
      </c>
      <c r="P19" s="76">
        <f t="shared" si="6"/>
        <v>96.709856531667214</v>
      </c>
      <c r="Q19" s="76">
        <f>F19+$F19*SUM(Additives!$Q$6:$Q$12)+'Fiber Fabric'!M33</f>
        <v>34.285285773687086</v>
      </c>
    </row>
    <row r="20" spans="1:17" x14ac:dyDescent="0.2">
      <c r="A20" s="1">
        <v>1990</v>
      </c>
      <c r="B20" s="77">
        <v>2.27</v>
      </c>
      <c r="C20" s="77">
        <v>0</v>
      </c>
      <c r="D20" s="82">
        <v>2.5047626757870161</v>
      </c>
      <c r="E20" s="77">
        <v>63039</v>
      </c>
      <c r="F20" s="77">
        <f t="shared" si="3"/>
        <v>28.594043417913294</v>
      </c>
      <c r="G20" s="77">
        <v>36.083500000000001</v>
      </c>
      <c r="H20" s="77">
        <f t="shared" si="4"/>
        <v>36.260561790993322</v>
      </c>
      <c r="I20" s="78">
        <f t="shared" si="0"/>
        <v>4.0618947910933816</v>
      </c>
      <c r="J20" s="78">
        <f t="shared" si="1"/>
        <v>100.93810520890662</v>
      </c>
      <c r="K20" s="78">
        <v>105</v>
      </c>
      <c r="L20" s="78">
        <f t="shared" si="5"/>
        <v>103.44286788469363</v>
      </c>
      <c r="M20" s="76">
        <f>SUM(D20,F20,G20,H20)*SUM(Additives!$Q$6:$Q$12)</f>
        <v>8.7568235173075362</v>
      </c>
      <c r="N20" s="77">
        <f>'Fiber Fabric'!D34</f>
        <v>16.190999999999999</v>
      </c>
      <c r="O20" s="77">
        <f t="shared" si="2"/>
        <v>128.39069140200115</v>
      </c>
      <c r="P20" s="76">
        <f t="shared" si="6"/>
        <v>91.773240500659725</v>
      </c>
      <c r="Q20" s="76">
        <f>F20+$F20*SUM(Additives!$Q$6:$Q$12)+'Fiber Fabric'!M34</f>
        <v>33.806509537182819</v>
      </c>
    </row>
    <row r="21" spans="1:17" x14ac:dyDescent="0.2">
      <c r="A21" s="1">
        <v>1989</v>
      </c>
      <c r="B21" s="77">
        <v>2.0580000000000003</v>
      </c>
      <c r="C21" s="77"/>
      <c r="D21" s="82">
        <v>2.270837703422766</v>
      </c>
      <c r="E21" s="77">
        <v>59676</v>
      </c>
      <c r="F21" s="77">
        <f t="shared" si="3"/>
        <v>27.068610463481235</v>
      </c>
      <c r="G21" s="77">
        <v>26.540800000000001</v>
      </c>
      <c r="H21" s="77">
        <f t="shared" si="4"/>
        <v>41.708043510056129</v>
      </c>
      <c r="I21" s="78">
        <f t="shared" si="0"/>
        <v>3.6825460264626342</v>
      </c>
      <c r="J21" s="78">
        <f t="shared" si="1"/>
        <v>95.317453973537368</v>
      </c>
      <c r="K21" s="78">
        <v>99</v>
      </c>
      <c r="L21" s="78">
        <f t="shared" si="5"/>
        <v>97.588291676960125</v>
      </c>
      <c r="M21" s="76">
        <f>SUM(D21,F21,G21,H21)*SUM(Additives!$Q$6:$Q$12)</f>
        <v>8.2612118655028208</v>
      </c>
      <c r="N21" s="77">
        <f>'Fiber Fabric'!D35</f>
        <v>15.602</v>
      </c>
      <c r="O21" s="77">
        <f t="shared" si="2"/>
        <v>121.45150354246294</v>
      </c>
      <c r="P21" s="76">
        <f t="shared" si="6"/>
        <v>85.562970750199412</v>
      </c>
      <c r="Q21" s="76">
        <f>F21+$F21*SUM(Additives!$Q$6:$Q$12)+'Fiber Fabric'!M35</f>
        <v>32.113242093647472</v>
      </c>
    </row>
    <row r="22" spans="1:17" x14ac:dyDescent="0.2">
      <c r="A22" s="1">
        <v>1988</v>
      </c>
      <c r="B22" s="77">
        <v>1.9040000000000001</v>
      </c>
      <c r="C22" s="77"/>
      <c r="D22" s="82">
        <v>2.1009110725543958</v>
      </c>
      <c r="E22" s="77">
        <v>58554</v>
      </c>
      <c r="F22" s="77">
        <f t="shared" si="3"/>
        <v>26.559679219094448</v>
      </c>
      <c r="G22" s="77">
        <v>26.540800000000001</v>
      </c>
      <c r="H22" s="77">
        <f t="shared" si="4"/>
        <v>39.492539423089781</v>
      </c>
      <c r="I22" s="78">
        <f t="shared" si="0"/>
        <v>3.4069813578157704</v>
      </c>
      <c r="J22" s="78">
        <f t="shared" si="1"/>
        <v>92.593018642184234</v>
      </c>
      <c r="K22" s="78">
        <v>96</v>
      </c>
      <c r="L22" s="78">
        <f t="shared" si="5"/>
        <v>94.69392971473863</v>
      </c>
      <c r="M22" s="76">
        <f>SUM(D22,F22,G22,H22)*SUM(Additives!$Q$6:$Q$12)</f>
        <v>8.0161933599579651</v>
      </c>
      <c r="N22" s="77">
        <f>'Fiber Fabric'!D36</f>
        <v>15.172000000000001</v>
      </c>
      <c r="O22" s="77">
        <f t="shared" si="2"/>
        <v>117.88212307469659</v>
      </c>
      <c r="P22" s="76">
        <f t="shared" si="6"/>
        <v>77.968047280286228</v>
      </c>
      <c r="Q22" s="76">
        <f>F22+$F22*SUM(Additives!$Q$6:$Q$12)+'Fiber Fabric'!M36</f>
        <v>31.611944772441436</v>
      </c>
    </row>
    <row r="23" spans="1:17" x14ac:dyDescent="0.2">
      <c r="A23" s="1">
        <v>1987</v>
      </c>
      <c r="B23" s="77">
        <v>1.526</v>
      </c>
      <c r="C23" s="77"/>
      <c r="D23" s="82">
        <v>1.6838184331502142</v>
      </c>
      <c r="E23" s="77">
        <v>55818</v>
      </c>
      <c r="F23" s="77">
        <f t="shared" si="3"/>
        <v>25.318649018878538</v>
      </c>
      <c r="G23" s="77">
        <v>25.7455</v>
      </c>
      <c r="H23" s="77">
        <f t="shared" si="4"/>
        <v>36.205255628166171</v>
      </c>
      <c r="I23" s="78">
        <f t="shared" si="0"/>
        <v>2.7305953529552864</v>
      </c>
      <c r="J23" s="78">
        <f t="shared" si="1"/>
        <v>87.269404647044709</v>
      </c>
      <c r="K23" s="78">
        <v>90</v>
      </c>
      <c r="L23" s="78">
        <f t="shared" si="5"/>
        <v>88.953223080194931</v>
      </c>
      <c r="M23" s="76">
        <f>SUM(D23,F23,G23,H23)*SUM(Additives!$Q$6:$Q$12)</f>
        <v>7.5302211910562749</v>
      </c>
      <c r="N23" s="77">
        <f>'Fiber Fabric'!D37</f>
        <v>14.577999999999999</v>
      </c>
      <c r="O23" s="77">
        <f t="shared" si="2"/>
        <v>111.0614442712512</v>
      </c>
      <c r="P23" s="76">
        <f t="shared" si="6"/>
        <v>76.612738688184407</v>
      </c>
      <c r="Q23" s="76">
        <f>F23+$F23*SUM(Additives!$Q$6:$Q$12)+'Fiber Fabric'!M37</f>
        <v>30.114982554345008</v>
      </c>
    </row>
    <row r="24" spans="1:17" x14ac:dyDescent="0.2">
      <c r="A24" s="1">
        <v>1986</v>
      </c>
      <c r="B24" s="77">
        <f>AVERAGE(B23,B25)</f>
        <v>1.38</v>
      </c>
      <c r="C24" s="77"/>
      <c r="D24" s="82">
        <v>1.5227191597295513</v>
      </c>
      <c r="E24" s="77">
        <v>50452</v>
      </c>
      <c r="F24" s="77">
        <f t="shared" si="3"/>
        <v>22.884669466846894</v>
      </c>
      <c r="G24" s="77">
        <v>24.552700000000002</v>
      </c>
      <c r="H24" s="77">
        <f t="shared" si="4"/>
        <v>33.09328480112277</v>
      </c>
      <c r="I24" s="78">
        <f t="shared" si="0"/>
        <v>2.4693457320303374</v>
      </c>
      <c r="J24" s="78">
        <f t="shared" si="1"/>
        <v>80.530654267969666</v>
      </c>
      <c r="K24" s="78">
        <v>83</v>
      </c>
      <c r="L24" s="78">
        <f t="shared" si="5"/>
        <v>82.053373427699228</v>
      </c>
      <c r="M24" s="76">
        <f>SUM(D24,F24,G24,H24)*SUM(Additives!$Q$6:$Q$12)</f>
        <v>6.946123254307162</v>
      </c>
      <c r="N24" s="77">
        <f>'Fiber Fabric'!D38</f>
        <v>13.645</v>
      </c>
      <c r="O24" s="77">
        <f t="shared" si="2"/>
        <v>102.64449668200639</v>
      </c>
      <c r="P24" s="76">
        <f t="shared" si="6"/>
        <v>75.190083815535402</v>
      </c>
      <c r="Q24" s="76">
        <f>F24+$F24*SUM(Additives!$Q$6:$Q$12)+'Fiber Fabric'!M38</f>
        <v>27.377857166382185</v>
      </c>
    </row>
    <row r="25" spans="1:17" x14ac:dyDescent="0.2">
      <c r="A25" s="1">
        <v>1985</v>
      </c>
      <c r="B25" s="77">
        <v>1.234</v>
      </c>
      <c r="C25" s="77"/>
      <c r="D25" s="82">
        <v>1.3616198863088889</v>
      </c>
      <c r="E25" s="77">
        <v>47470</v>
      </c>
      <c r="F25" s="77">
        <f t="shared" si="3"/>
        <v>21.532055410909816</v>
      </c>
      <c r="G25" s="77">
        <v>23.3598</v>
      </c>
      <c r="H25" s="77">
        <f t="shared" si="4"/>
        <v>30.900048477984797</v>
      </c>
      <c r="I25" s="78">
        <f t="shared" si="0"/>
        <v>2.2080961111053887</v>
      </c>
      <c r="J25" s="78">
        <f t="shared" si="1"/>
        <v>75.791903888894609</v>
      </c>
      <c r="K25" s="78">
        <v>78</v>
      </c>
      <c r="L25" s="78">
        <f t="shared" si="5"/>
        <v>77.153523775203496</v>
      </c>
      <c r="M25" s="76">
        <f>SUM(D25,F25,G25,H25)*SUM(Additives!$Q$6:$Q$12)</f>
        <v>6.5313327564637165</v>
      </c>
      <c r="N25" s="77">
        <f>'Fiber Fabric'!D39</f>
        <v>13.025</v>
      </c>
      <c r="O25" s="77">
        <f t="shared" si="2"/>
        <v>96.709856531667214</v>
      </c>
      <c r="P25" s="76">
        <f t="shared" si="6"/>
        <v>75.692608870181985</v>
      </c>
      <c r="Q25" s="76">
        <f>F25+$F25*SUM(Additives!$Q$6:$Q$12)+'Fiber Fabric'!M39</f>
        <v>25.861306995276401</v>
      </c>
    </row>
    <row r="26" spans="1:17" x14ac:dyDescent="0.2">
      <c r="A26" s="1">
        <v>1984</v>
      </c>
      <c r="B26" s="79">
        <f>B25-(B$25-B$30)/5</f>
        <v>1.1668000000000001</v>
      </c>
      <c r="C26" s="77"/>
      <c r="D26" s="82">
        <v>1.2874700837481454</v>
      </c>
      <c r="E26" s="77">
        <v>45221</v>
      </c>
      <c r="F26" s="77">
        <f t="shared" si="3"/>
        <v>20.511924957589063</v>
      </c>
      <c r="G26" s="77">
        <v>23.3598</v>
      </c>
      <c r="H26" s="77">
        <f t="shared" si="4"/>
        <v>28.040425332169633</v>
      </c>
      <c r="I26" s="78">
        <f t="shared" si="0"/>
        <v>2.0878497102413029</v>
      </c>
      <c r="J26" s="78">
        <f t="shared" si="1"/>
        <v>71.912150289758699</v>
      </c>
      <c r="K26" s="78">
        <v>74</v>
      </c>
      <c r="L26" s="78">
        <f t="shared" si="5"/>
        <v>73.199620373506846</v>
      </c>
      <c r="M26" s="76">
        <f>SUM(D26,F26,G26,H26)*SUM(Additives!$Q$6:$Q$12)</f>
        <v>6.1966201271528787</v>
      </c>
      <c r="N26" s="77">
        <f>'Fiber Fabric'!D40</f>
        <v>12.377000000000001</v>
      </c>
      <c r="O26" s="77">
        <f t="shared" si="2"/>
        <v>91.773240500659725</v>
      </c>
      <c r="P26" s="76">
        <f t="shared" si="6"/>
        <v>68.602557888658765</v>
      </c>
      <c r="Q26" s="76">
        <f>F26+$F26*SUM(Additives!$Q$6:$Q$12)+'Fiber Fabric'!M40</f>
        <v>24.626467716604221</v>
      </c>
    </row>
    <row r="27" spans="1:17" x14ac:dyDescent="0.2">
      <c r="A27" s="1">
        <v>1983</v>
      </c>
      <c r="B27" s="79">
        <f>B26-(B$25-B$30)/5</f>
        <v>1.0996000000000001</v>
      </c>
      <c r="C27" s="77"/>
      <c r="D27" s="82">
        <v>1.2133202811874022</v>
      </c>
      <c r="E27" s="77">
        <v>42212</v>
      </c>
      <c r="F27" s="77">
        <f t="shared" si="3"/>
        <v>19.147063893097226</v>
      </c>
      <c r="G27" s="77">
        <v>23.3598</v>
      </c>
      <c r="H27" s="77">
        <f t="shared" si="4"/>
        <v>24.525532797525564</v>
      </c>
      <c r="I27" s="78">
        <f t="shared" si="0"/>
        <v>1.9676033093772172</v>
      </c>
      <c r="J27" s="78">
        <f t="shared" si="1"/>
        <v>67.032396690622789</v>
      </c>
      <c r="K27" s="78">
        <v>69</v>
      </c>
      <c r="L27" s="78">
        <f t="shared" si="5"/>
        <v>68.245716971810197</v>
      </c>
      <c r="M27" s="76">
        <f>SUM(D27,F27,G27,H27)*SUM(Additives!$Q$6:$Q$12)</f>
        <v>5.7772537783892046</v>
      </c>
      <c r="N27" s="77">
        <f>'Fiber Fabric'!D41</f>
        <v>11.54</v>
      </c>
      <c r="O27" s="77">
        <f t="shared" si="2"/>
        <v>85.562970750199412</v>
      </c>
      <c r="P27" s="76">
        <f t="shared" si="6"/>
        <v>63.68689855417351</v>
      </c>
      <c r="Q27" s="76">
        <f>F27+$F27*SUM(Additives!$Q$6:$Q$12)+'Fiber Fabric'!M41</f>
        <v>23.182965227607241</v>
      </c>
    </row>
    <row r="28" spans="1:17" x14ac:dyDescent="0.2">
      <c r="A28" s="1">
        <v>1982</v>
      </c>
      <c r="B28" s="79">
        <f>B27-(B$25-B$30)/5</f>
        <v>1.0324000000000002</v>
      </c>
      <c r="C28" s="77"/>
      <c r="D28" s="82">
        <v>1.139170478626659</v>
      </c>
      <c r="E28" s="77">
        <v>36639</v>
      </c>
      <c r="F28" s="77">
        <f t="shared" si="3"/>
        <v>16.619190608812403</v>
      </c>
      <c r="G28" s="77">
        <v>20.9742</v>
      </c>
      <c r="H28" s="77">
        <f t="shared" si="4"/>
        <v>23.559252482674466</v>
      </c>
      <c r="I28" s="78">
        <f t="shared" si="0"/>
        <v>1.8473569085131314</v>
      </c>
      <c r="J28" s="78">
        <f t="shared" si="1"/>
        <v>61.152643091486866</v>
      </c>
      <c r="K28" s="78">
        <v>63</v>
      </c>
      <c r="L28" s="78">
        <f t="shared" si="5"/>
        <v>62.291813570113533</v>
      </c>
      <c r="M28" s="76">
        <f>SUM(D28,F28,G28,H28)*SUM(Additives!$Q$6:$Q$12)</f>
        <v>5.2732337101726952</v>
      </c>
      <c r="N28" s="77">
        <f>'Fiber Fabric'!D42</f>
        <v>10.403</v>
      </c>
      <c r="O28" s="77">
        <f t="shared" si="2"/>
        <v>77.968047280286228</v>
      </c>
      <c r="P28" s="76">
        <f t="shared" si="6"/>
        <v>58.771239219688269</v>
      </c>
      <c r="Q28" s="76">
        <f>F28+$F28*SUM(Additives!$Q$6:$Q$12)+'Fiber Fabric'!M42</f>
        <v>20.165490098397392</v>
      </c>
    </row>
    <row r="29" spans="1:17" x14ac:dyDescent="0.2">
      <c r="A29" s="1">
        <v>1981</v>
      </c>
      <c r="B29" s="79">
        <f>B28-(B$25-B$30)/5</f>
        <v>0.96520000000000017</v>
      </c>
      <c r="C29" s="77"/>
      <c r="D29" s="82">
        <v>1.0650206760659156</v>
      </c>
      <c r="E29" s="77">
        <v>38801</v>
      </c>
      <c r="F29" s="77">
        <f t="shared" si="3"/>
        <v>17.599858479012259</v>
      </c>
      <c r="G29" s="77">
        <v>20.9742</v>
      </c>
      <c r="H29" s="77">
        <f t="shared" si="4"/>
        <v>20.698831013338697</v>
      </c>
      <c r="I29" s="78">
        <f t="shared" si="0"/>
        <v>1.7271105076490452</v>
      </c>
      <c r="J29" s="78">
        <f t="shared" si="1"/>
        <v>59.272889492350956</v>
      </c>
      <c r="K29" s="78">
        <v>61</v>
      </c>
      <c r="L29" s="78">
        <f t="shared" si="5"/>
        <v>60.337910168416876</v>
      </c>
      <c r="M29" s="76">
        <f>SUM(D29,F29,G29,H29)*SUM(Additives!$Q$6:$Q$12)</f>
        <v>5.1078285197675264</v>
      </c>
      <c r="N29" s="77">
        <f>'Fiber Fabric'!D43</f>
        <v>11.167</v>
      </c>
      <c r="O29" s="77">
        <f t="shared" si="2"/>
        <v>76.612738688184407</v>
      </c>
      <c r="P29" s="76">
        <f t="shared" si="6"/>
        <v>50.601618726844528</v>
      </c>
      <c r="Q29" s="76">
        <f>F29+$F29*SUM(Additives!$Q$6:$Q$12)+'Fiber Fabric'!M43</f>
        <v>21.506597877126161</v>
      </c>
    </row>
    <row r="30" spans="1:17" x14ac:dyDescent="0.2">
      <c r="A30" s="1">
        <v>1980</v>
      </c>
      <c r="B30" s="77">
        <v>0.89800000000000002</v>
      </c>
      <c r="C30" s="77"/>
      <c r="D30" s="82">
        <v>0.99087087350517189</v>
      </c>
      <c r="E30" s="77">
        <v>36896</v>
      </c>
      <c r="F30" s="77">
        <f t="shared" si="3"/>
        <v>16.735763986537364</v>
      </c>
      <c r="G30" s="77">
        <v>20.9742</v>
      </c>
      <c r="H30" s="77">
        <f t="shared" si="4"/>
        <v>20.683171906677678</v>
      </c>
      <c r="I30" s="78">
        <f t="shared" si="0"/>
        <v>1.6068641067849587</v>
      </c>
      <c r="J30" s="78">
        <f t="shared" si="1"/>
        <v>58.393135893215039</v>
      </c>
      <c r="K30" s="78">
        <v>60</v>
      </c>
      <c r="L30" s="78">
        <f t="shared" si="5"/>
        <v>59.384006766720212</v>
      </c>
      <c r="M30" s="76">
        <f>SUM(D30,F30,G30,H30)*SUM(Additives!$Q$6:$Q$12)</f>
        <v>5.0270770488151921</v>
      </c>
      <c r="N30" s="77">
        <f>'Fiber Fabric'!D44</f>
        <v>10.779</v>
      </c>
      <c r="O30" s="77">
        <f t="shared" si="2"/>
        <v>75.190083815535402</v>
      </c>
      <c r="P30" s="76">
        <f t="shared" si="6"/>
        <v>55.517403462227136</v>
      </c>
      <c r="Q30" s="76">
        <f>F30+$F30*SUM(Additives!$Q$6:$Q$12)+'Fiber Fabric'!M44</f>
        <v>20.667903511334391</v>
      </c>
    </row>
    <row r="31" spans="1:17" x14ac:dyDescent="0.2">
      <c r="A31" s="1">
        <v>1979</v>
      </c>
      <c r="B31" s="77">
        <f>AVERAGE(B30,B32)</f>
        <v>0.78849999999999998</v>
      </c>
      <c r="C31" s="77"/>
      <c r="D31" s="82">
        <v>0.8700464184396749</v>
      </c>
      <c r="E31" s="77">
        <v>40607</v>
      </c>
      <c r="F31" s="77">
        <f t="shared" si="3"/>
        <v>18.419047273453021</v>
      </c>
      <c r="G31" s="77">
        <v>21.769400000000001</v>
      </c>
      <c r="H31" s="77">
        <f t="shared" si="4"/>
        <v>19.400625835455727</v>
      </c>
      <c r="I31" s="78">
        <f t="shared" si="0"/>
        <v>1.4109268910912471</v>
      </c>
      <c r="J31" s="78">
        <f t="shared" si="1"/>
        <v>59.58907310890875</v>
      </c>
      <c r="K31" s="78">
        <v>61</v>
      </c>
      <c r="L31" s="78">
        <f t="shared" si="5"/>
        <v>60.45911952734842</v>
      </c>
      <c r="M31" s="76">
        <f>SUM(D31,F31,G31,H31)*SUM(Additives!$Q$6:$Q$12)</f>
        <v>5.1180893428335752</v>
      </c>
      <c r="N31" s="77">
        <f>'Fiber Fabric'!D45</f>
        <v>10.115399999999999</v>
      </c>
      <c r="O31" s="77">
        <f t="shared" si="2"/>
        <v>75.692608870181985</v>
      </c>
      <c r="P31" s="76">
        <f t="shared" si="6"/>
        <v>53.925265880892724</v>
      </c>
      <c r="Q31" s="76">
        <f>F31+$F31*SUM(Additives!$Q$6:$Q$12)+'Fiber Fabric'!M45</f>
        <v>22.338824836854243</v>
      </c>
    </row>
    <row r="32" spans="1:17" x14ac:dyDescent="0.2">
      <c r="A32" s="1">
        <v>1978</v>
      </c>
      <c r="B32" s="77">
        <v>0.67900000000000005</v>
      </c>
      <c r="C32" s="77"/>
      <c r="D32" s="82">
        <v>0.7492219633741779</v>
      </c>
      <c r="E32" s="77">
        <v>36818</v>
      </c>
      <c r="F32" s="77">
        <f t="shared" si="3"/>
        <v>16.700383739601385</v>
      </c>
      <c r="G32" s="77">
        <v>20.576499999999999</v>
      </c>
      <c r="H32" s="77">
        <f t="shared" si="4"/>
        <v>16.508126585001079</v>
      </c>
      <c r="I32" s="78">
        <f t="shared" si="0"/>
        <v>1.2149896753975358</v>
      </c>
      <c r="J32" s="78">
        <f t="shared" si="1"/>
        <v>53.785010324602467</v>
      </c>
      <c r="K32" s="78">
        <v>55</v>
      </c>
      <c r="L32" s="78">
        <f t="shared" si="5"/>
        <v>54.534232287976643</v>
      </c>
      <c r="M32" s="76">
        <f>SUM(D32,F32,G32,H32)*SUM(Additives!$Q$6:$Q$12)</f>
        <v>4.616525600682114</v>
      </c>
      <c r="N32" s="77">
        <f>'Fiber Fabric'!D46</f>
        <v>9.4517999999999986</v>
      </c>
      <c r="O32" s="77">
        <f t="shared" si="2"/>
        <v>68.602557888658765</v>
      </c>
      <c r="P32" s="76">
        <f t="shared" si="6"/>
        <v>46.909859702294142</v>
      </c>
      <c r="Q32" s="76">
        <f>F32+$F32*SUM(Additives!$Q$6:$Q$12)+'Fiber Fabric'!M46</f>
        <v>20.319811889848108</v>
      </c>
    </row>
    <row r="33" spans="1:17" x14ac:dyDescent="0.2">
      <c r="A33" s="1">
        <v>1977</v>
      </c>
      <c r="B33" s="79">
        <f>B32-(B$32-B$35)/3</f>
        <v>0.56266666666666665</v>
      </c>
      <c r="C33" s="77"/>
      <c r="D33" s="82">
        <v>0.62085747382209733</v>
      </c>
      <c r="E33" s="77">
        <v>32771</v>
      </c>
      <c r="F33" s="77">
        <f t="shared" si="3"/>
        <v>14.86469323511535</v>
      </c>
      <c r="G33" s="77">
        <v>19.781300000000002</v>
      </c>
      <c r="H33" s="77">
        <f t="shared" si="4"/>
        <v>15.347181741776623</v>
      </c>
      <c r="I33" s="78">
        <f t="shared" si="0"/>
        <v>1.0068250231080218</v>
      </c>
      <c r="J33" s="78">
        <f t="shared" si="1"/>
        <v>49.993174976891979</v>
      </c>
      <c r="K33" s="78">
        <v>51</v>
      </c>
      <c r="L33" s="78">
        <f t="shared" si="5"/>
        <v>50.61403245071407</v>
      </c>
      <c r="M33" s="76">
        <f>SUM(D33,F33,G33,H33)*SUM(Additives!$Q$6:$Q$12)</f>
        <v>4.2846661034594389</v>
      </c>
      <c r="N33" s="77">
        <f>'Fiber Fabric'!D47</f>
        <v>8.7881999999999998</v>
      </c>
      <c r="O33" s="77">
        <f t="shared" si="2"/>
        <v>63.68689855417351</v>
      </c>
      <c r="P33" s="76">
        <f t="shared" si="6"/>
        <v>40.979107243148391</v>
      </c>
      <c r="Q33" s="76">
        <f>F33+$F33*SUM(Additives!$Q$6:$Q$12)+'Fiber Fabric'!M47</f>
        <v>18.173865203867066</v>
      </c>
    </row>
    <row r="34" spans="1:17" x14ac:dyDescent="0.2">
      <c r="A34" s="1">
        <v>1976</v>
      </c>
      <c r="B34" s="79">
        <f>B33-(B$32-B$35)/3</f>
        <v>0.4463333333333333</v>
      </c>
      <c r="C34" s="77"/>
      <c r="D34" s="82">
        <v>0.49249298427001675</v>
      </c>
      <c r="E34" s="77">
        <v>28379</v>
      </c>
      <c r="F34" s="77">
        <f t="shared" si="3"/>
        <v>12.872513176874019</v>
      </c>
      <c r="G34" s="77">
        <v>19.383700000000001</v>
      </c>
      <c r="H34" s="77">
        <f t="shared" si="4"/>
        <v>13.94512645230747</v>
      </c>
      <c r="I34" s="78">
        <f t="shared" si="0"/>
        <v>0.79866037081850771</v>
      </c>
      <c r="J34" s="78">
        <f t="shared" si="1"/>
        <v>46.20133962918149</v>
      </c>
      <c r="K34" s="78">
        <v>47</v>
      </c>
      <c r="L34" s="78">
        <f t="shared" si="5"/>
        <v>46.693832613451505</v>
      </c>
      <c r="M34" s="76">
        <f>SUM(D34,F34,G34,H34)*SUM(Additives!$Q$6:$Q$12)</f>
        <v>3.9528066062367642</v>
      </c>
      <c r="N34" s="77">
        <f>'Fiber Fabric'!D48</f>
        <v>8.1245999999999992</v>
      </c>
      <c r="O34" s="77">
        <f t="shared" si="2"/>
        <v>58.771239219688269</v>
      </c>
      <c r="P34" s="76">
        <f t="shared" si="6"/>
        <v>37.217662222908316</v>
      </c>
      <c r="Q34" s="76">
        <f>F34+$F34*SUM(Additives!$Q$6:$Q$12)+'Fiber Fabric'!M48</f>
        <v>15.858181541349836</v>
      </c>
    </row>
    <row r="35" spans="1:17" x14ac:dyDescent="0.2">
      <c r="A35" s="1">
        <v>1975</v>
      </c>
      <c r="B35" s="78">
        <v>0.33</v>
      </c>
      <c r="C35" s="77"/>
      <c r="D35" s="82">
        <v>0.36412849471793624</v>
      </c>
      <c r="E35" s="77">
        <v>22278</v>
      </c>
      <c r="F35" s="77">
        <f t="shared" si="3"/>
        <v>10.105142836407182</v>
      </c>
      <c r="G35" s="77">
        <v>15.0099</v>
      </c>
      <c r="H35" s="77">
        <f t="shared" si="4"/>
        <v>14.294461445063824</v>
      </c>
      <c r="I35" s="78">
        <f t="shared" si="0"/>
        <v>0.59049571852899374</v>
      </c>
      <c r="J35" s="78">
        <f t="shared" si="1"/>
        <v>39.409504281471008</v>
      </c>
      <c r="K35" s="78">
        <v>40</v>
      </c>
      <c r="L35" s="78">
        <f t="shared" si="5"/>
        <v>39.773632776188947</v>
      </c>
      <c r="M35" s="76">
        <f>SUM(D35,F35,G35,H35)*SUM(Additives!$Q$6:$Q$12)</f>
        <v>3.3669859506555846</v>
      </c>
      <c r="N35" s="77">
        <f>'Fiber Fabric'!D49</f>
        <v>7.4610000000000003</v>
      </c>
      <c r="O35" s="77">
        <f t="shared" si="2"/>
        <v>50.601618726844528</v>
      </c>
      <c r="P35" s="76">
        <f t="shared" si="6"/>
        <v>34.956239786764243</v>
      </c>
      <c r="Q35" s="76">
        <f>F35+$F35*SUM(Additives!$Q$6:$Q$12)+'Fiber Fabric'!M49</f>
        <v>12.701684855933015</v>
      </c>
    </row>
    <row r="36" spans="1:17" x14ac:dyDescent="0.2">
      <c r="A36" s="1">
        <v>1974</v>
      </c>
      <c r="B36" s="79">
        <f>B35-(B$35-B$40)/5</f>
        <v>0.29920000000000002</v>
      </c>
      <c r="C36" s="77"/>
      <c r="D36" s="82">
        <v>0.33014316854426218</v>
      </c>
      <c r="E36" s="77">
        <v>27890</v>
      </c>
      <c r="F36" s="77">
        <f t="shared" si="3"/>
        <v>12.650706244159991</v>
      </c>
      <c r="G36" s="77">
        <v>18.5885</v>
      </c>
      <c r="H36" s="77">
        <f t="shared" si="4"/>
        <v>13.225410971040386</v>
      </c>
      <c r="I36" s="78">
        <f t="shared" si="0"/>
        <v>0.53538278479962098</v>
      </c>
      <c r="J36" s="78">
        <f t="shared" si="1"/>
        <v>44.464617215200377</v>
      </c>
      <c r="K36" s="78">
        <v>45</v>
      </c>
      <c r="L36" s="78">
        <f t="shared" si="5"/>
        <v>44.794760383744645</v>
      </c>
      <c r="M36" s="76">
        <f>SUM(D36,F36,G36,H36)*SUM(Additives!$Q$6:$Q$12)</f>
        <v>3.7920430784824894</v>
      </c>
      <c r="N36" s="77">
        <f>'Fiber Fabric'!D50</f>
        <v>6.9306000000000001</v>
      </c>
      <c r="O36" s="77">
        <f t="shared" si="2"/>
        <v>55.517403462227136</v>
      </c>
      <c r="P36" s="76">
        <f t="shared" si="6"/>
        <v>29.456141637604208</v>
      </c>
      <c r="Q36" s="76">
        <f>F36+$F36*SUM(Additives!$Q$6:$Q$12)+'Fiber Fabric'!M50</f>
        <v>15.338965165364545</v>
      </c>
    </row>
    <row r="37" spans="1:17" x14ac:dyDescent="0.2">
      <c r="A37" s="1">
        <v>1973</v>
      </c>
      <c r="B37" s="79">
        <f>B36-(B$35-B$40)/5</f>
        <v>0.26840000000000003</v>
      </c>
      <c r="C37" s="77"/>
      <c r="D37" s="82">
        <v>0.29615784237058818</v>
      </c>
      <c r="E37" s="77">
        <v>28719</v>
      </c>
      <c r="F37" s="77">
        <f t="shared" si="3"/>
        <v>13.026734766082138</v>
      </c>
      <c r="G37" s="77">
        <v>18.5885</v>
      </c>
      <c r="H37" s="77">
        <f t="shared" si="4"/>
        <v>11.904495382847614</v>
      </c>
      <c r="I37" s="78">
        <f t="shared" si="0"/>
        <v>0.48026985107024833</v>
      </c>
      <c r="J37" s="78">
        <f t="shared" si="1"/>
        <v>43.519730148929753</v>
      </c>
      <c r="K37" s="78">
        <v>44</v>
      </c>
      <c r="L37" s="78">
        <f t="shared" si="5"/>
        <v>43.815887991300343</v>
      </c>
      <c r="M37" s="76">
        <f>SUM(D37,F37,G37,H37)*SUM(Additives!$Q$6:$Q$12)</f>
        <v>3.7091778895923841</v>
      </c>
      <c r="N37" s="77">
        <f>'Fiber Fabric'!D51</f>
        <v>6.4002000000000008</v>
      </c>
      <c r="O37" s="77">
        <f t="shared" si="2"/>
        <v>53.925265880892724</v>
      </c>
      <c r="P37" s="76">
        <f t="shared" si="6"/>
        <v>24.582390514626283</v>
      </c>
      <c r="Q37" s="76">
        <f>F37+$F37*SUM(Additives!$Q$6:$Q$12)+'Fiber Fabric'!M51</f>
        <v>15.623051391397166</v>
      </c>
    </row>
    <row r="38" spans="1:17" x14ac:dyDescent="0.2">
      <c r="A38" s="1">
        <v>1972</v>
      </c>
      <c r="B38" s="79">
        <f>B37-(B$35-B$40)/5</f>
        <v>0.23760000000000003</v>
      </c>
      <c r="C38" s="77"/>
      <c r="D38" s="82">
        <v>0.26217251619691412</v>
      </c>
      <c r="E38" s="79">
        <f t="shared" ref="E38:E59" si="7">39.9804561331*A38^2-156030.805767975*A38+152238851.699439</f>
        <v>21460.848093479872</v>
      </c>
      <c r="F38" s="77">
        <f t="shared" si="3"/>
        <v>9.7344885256778362</v>
      </c>
      <c r="G38" s="77">
        <v>15.4076</v>
      </c>
      <c r="H38" s="77">
        <f t="shared" si="4"/>
        <v>12.432754556981287</v>
      </c>
      <c r="I38" s="78">
        <f t="shared" si="0"/>
        <v>0.42515691734087557</v>
      </c>
      <c r="J38" s="78">
        <f t="shared" si="1"/>
        <v>37.574843082659122</v>
      </c>
      <c r="K38" s="78">
        <v>38</v>
      </c>
      <c r="L38" s="78">
        <f t="shared" si="5"/>
        <v>37.837015598856041</v>
      </c>
      <c r="M38" s="76">
        <f>SUM(D38,F38,G38,H38)*SUM(Additives!$Q$6:$Q$12)</f>
        <v>3.2030441034381032</v>
      </c>
      <c r="N38" s="77">
        <f>'Fiber Fabric'!D52</f>
        <v>5.8698000000000015</v>
      </c>
      <c r="O38" s="77">
        <f t="shared" si="2"/>
        <v>46.909859702294142</v>
      </c>
      <c r="P38" s="76">
        <f t="shared" si="6"/>
        <v>21.963488685903979</v>
      </c>
      <c r="Q38" s="76">
        <f>F38+$F38*SUM(Additives!$Q$6:$Q$12)+'Fiber Fabric'!M52</f>
        <v>11.928329752497438</v>
      </c>
    </row>
    <row r="39" spans="1:17" x14ac:dyDescent="0.2">
      <c r="A39" s="1">
        <v>1971</v>
      </c>
      <c r="B39" s="79">
        <f>B38-(B$35-B$40)/5</f>
        <v>0.20680000000000004</v>
      </c>
      <c r="C39" s="77"/>
      <c r="D39" s="82">
        <v>0.22818719002324009</v>
      </c>
      <c r="E39" s="79">
        <f t="shared" si="7"/>
        <v>19848.715328633785</v>
      </c>
      <c r="F39" s="77">
        <f t="shared" si="3"/>
        <v>9.0032365344747785</v>
      </c>
      <c r="G39" s="77">
        <v>12.6243</v>
      </c>
      <c r="H39" s="77">
        <f t="shared" si="4"/>
        <v>11.002419481913719</v>
      </c>
      <c r="I39" s="78">
        <f t="shared" si="0"/>
        <v>0.37004398361150287</v>
      </c>
      <c r="J39" s="78">
        <f t="shared" si="1"/>
        <v>32.629956016388498</v>
      </c>
      <c r="K39" s="78">
        <v>33</v>
      </c>
      <c r="L39" s="78">
        <f t="shared" si="5"/>
        <v>32.858143206411739</v>
      </c>
      <c r="M39" s="76">
        <f>SUM(D39,F39,G39,H39)*SUM(Additives!$Q$6:$Q$12)</f>
        <v>2.7815640367366576</v>
      </c>
      <c r="N39" s="77">
        <f>'Fiber Fabric'!D53</f>
        <v>5.3394000000000013</v>
      </c>
      <c r="O39" s="77">
        <f t="shared" si="2"/>
        <v>40.979107243148391</v>
      </c>
      <c r="P39" s="76">
        <f t="shared" si="6"/>
        <v>18.718239830999551</v>
      </c>
      <c r="Q39" s="76">
        <f>F39+$F39*SUM(Additives!$Q$6:$Q$12)+'Fiber Fabric'!M53</f>
        <v>11.011400051491163</v>
      </c>
    </row>
    <row r="40" spans="1:17" x14ac:dyDescent="0.2">
      <c r="A40" s="1">
        <v>1970</v>
      </c>
      <c r="B40" s="77">
        <v>0.17600000000000002</v>
      </c>
      <c r="C40" s="77"/>
      <c r="D40" s="82">
        <v>0.194201863849566</v>
      </c>
      <c r="E40" s="79">
        <f t="shared" si="7"/>
        <v>18316.543476015329</v>
      </c>
      <c r="F40" s="77">
        <f t="shared" si="3"/>
        <v>8.3082542460901792</v>
      </c>
      <c r="G40" s="77">
        <v>11.4314</v>
      </c>
      <c r="H40" s="77">
        <f t="shared" si="4"/>
        <v>9.9454147040276908</v>
      </c>
      <c r="I40" s="78">
        <f t="shared" si="0"/>
        <v>0.31493104988213005</v>
      </c>
      <c r="J40" s="78">
        <f t="shared" si="1"/>
        <v>29.68506895011787</v>
      </c>
      <c r="K40" s="78">
        <v>30</v>
      </c>
      <c r="L40" s="78">
        <f t="shared" si="5"/>
        <v>29.879270813967437</v>
      </c>
      <c r="M40" s="76">
        <f>SUM(D40,F40,G40,H40)*SUM(Additives!$Q$6:$Q$12)</f>
        <v>2.5293914089408824</v>
      </c>
      <c r="N40" s="77">
        <f>'Fiber Fabric'!D54</f>
        <v>4.8090000000000002</v>
      </c>
      <c r="O40" s="77">
        <f t="shared" si="2"/>
        <v>37.217662222908316</v>
      </c>
      <c r="P40" s="76">
        <f t="shared" si="6"/>
        <v>16.226988304980516</v>
      </c>
      <c r="Q40" s="76">
        <f>F40+$F40*SUM(Additives!$Q$6:$Q$12)+'Fiber Fabric'!M54</f>
        <v>10.133810418550375</v>
      </c>
    </row>
    <row r="41" spans="1:17" x14ac:dyDescent="0.2">
      <c r="A41" s="1">
        <v>1969</v>
      </c>
      <c r="B41" s="79">
        <f>B40-(B$40-B$45)/5</f>
        <v>0.16020000000000001</v>
      </c>
      <c r="C41" s="77"/>
      <c r="D41" s="82">
        <v>0.17676783289034359</v>
      </c>
      <c r="E41" s="79">
        <f t="shared" si="7"/>
        <v>16864.332535773516</v>
      </c>
      <c r="F41" s="77">
        <f t="shared" si="3"/>
        <v>7.6495416605916287</v>
      </c>
      <c r="G41" s="77">
        <v>10.2386</v>
      </c>
      <c r="H41" s="77">
        <f t="shared" si="4"/>
        <v>9.8251995087770219</v>
      </c>
      <c r="I41" s="78">
        <f t="shared" si="0"/>
        <v>0.28665883063134789</v>
      </c>
      <c r="J41" s="78">
        <f t="shared" si="1"/>
        <v>27.71334116936865</v>
      </c>
      <c r="K41" s="78">
        <v>28</v>
      </c>
      <c r="L41" s="78">
        <f t="shared" si="5"/>
        <v>27.890109002258992</v>
      </c>
      <c r="M41" s="76">
        <f>SUM(D41,F41,G41,H41)*SUM(Additives!$Q$6:$Q$12)</f>
        <v>2.3610014629862222</v>
      </c>
      <c r="N41" s="77">
        <f>'Fiber Fabric'!D55</f>
        <v>4.7051293215190277</v>
      </c>
      <c r="O41" s="77">
        <f t="shared" si="2"/>
        <v>34.956239786764243</v>
      </c>
      <c r="P41" s="76">
        <f t="shared" si="6"/>
        <v>13.610467373725053</v>
      </c>
      <c r="Q41" s="76">
        <f>F41+$F41*SUM(Additives!$Q$6:$Q$12)+'Fiber Fabric'!M55</f>
        <v>9.3950960296504515</v>
      </c>
    </row>
    <row r="42" spans="1:17" x14ac:dyDescent="0.2">
      <c r="A42" s="1">
        <v>1968</v>
      </c>
      <c r="B42" s="79">
        <f>B41-(B$40-B$45)/5</f>
        <v>0.1444</v>
      </c>
      <c r="C42" s="77"/>
      <c r="D42" s="82">
        <v>0.15933380193112118</v>
      </c>
      <c r="E42" s="79">
        <f t="shared" si="7"/>
        <v>15492.082507699728</v>
      </c>
      <c r="F42" s="77">
        <f t="shared" si="3"/>
        <v>7.0270987778845013</v>
      </c>
      <c r="G42" s="77">
        <v>8.2505000000000006</v>
      </c>
      <c r="H42" s="77">
        <f t="shared" si="4"/>
        <v>8.0640146107349331</v>
      </c>
      <c r="I42" s="78">
        <f t="shared" si="0"/>
        <v>0.25838661138056573</v>
      </c>
      <c r="J42" s="78">
        <f t="shared" si="1"/>
        <v>23.341613388619436</v>
      </c>
      <c r="K42" s="78">
        <v>23.6</v>
      </c>
      <c r="L42" s="78">
        <f t="shared" si="5"/>
        <v>23.500947190550555</v>
      </c>
      <c r="M42" s="76">
        <f>SUM(D42,F42,G42,H42)*SUM(Additives!$Q$6:$Q$12)</f>
        <v>1.989442590344759</v>
      </c>
      <c r="N42" s="77">
        <f>'Fiber Fabric'!D56</f>
        <v>3.965751856708895</v>
      </c>
      <c r="O42" s="77">
        <f t="shared" si="2"/>
        <v>29.456141637604208</v>
      </c>
      <c r="P42" s="76">
        <f t="shared" si="6"/>
        <v>11.870832279124553</v>
      </c>
      <c r="Q42" s="76">
        <f>F42+$F42*SUM(Additives!$Q$6:$Q$12)+'Fiber Fabric'!M56</f>
        <v>8.5474194079297412</v>
      </c>
    </row>
    <row r="43" spans="1:17" x14ac:dyDescent="0.2">
      <c r="A43" s="1">
        <v>1967</v>
      </c>
      <c r="B43" s="79">
        <f>B42-(B$40-B$45)/5</f>
        <v>0.12859999999999999</v>
      </c>
      <c r="C43" s="77"/>
      <c r="D43" s="82">
        <v>0.14189977097189876</v>
      </c>
      <c r="E43" s="79">
        <f t="shared" si="7"/>
        <v>14199.793391913176</v>
      </c>
      <c r="F43" s="77">
        <f t="shared" si="3"/>
        <v>6.4409255980228686</v>
      </c>
      <c r="G43" s="77">
        <v>6.6600400000000004</v>
      </c>
      <c r="H43" s="77">
        <f t="shared" si="4"/>
        <v>6.3689200098473453</v>
      </c>
      <c r="I43" s="78">
        <f t="shared" si="0"/>
        <v>0.2301143921297836</v>
      </c>
      <c r="J43" s="78">
        <f t="shared" si="1"/>
        <v>19.469885607870214</v>
      </c>
      <c r="K43" s="78">
        <v>19.7</v>
      </c>
      <c r="L43" s="78">
        <f t="shared" si="5"/>
        <v>19.611785378842114</v>
      </c>
      <c r="M43" s="76">
        <f>SUM(D43,F43,G43,H43)*SUM(Additives!$Q$6:$Q$12)</f>
        <v>1.6602105774297129</v>
      </c>
      <c r="N43" s="77">
        <f>'Fiber Fabric'!D57</f>
        <v>3.3103945583544583</v>
      </c>
      <c r="O43" s="77">
        <f t="shared" si="2"/>
        <v>24.582390514626283</v>
      </c>
      <c r="P43" s="76">
        <f t="shared" si="6"/>
        <v>9.9958089650535165</v>
      </c>
      <c r="Q43" s="76">
        <f>F43+$F43*SUM(Additives!$Q$6:$Q$12)+'Fiber Fabric'!M57</f>
        <v>7.7586898581499231</v>
      </c>
    </row>
    <row r="44" spans="1:17" x14ac:dyDescent="0.2">
      <c r="A44" s="1">
        <v>1966</v>
      </c>
      <c r="B44" s="79">
        <f>B43-(B$40-B$45)/5</f>
        <v>0.11279999999999998</v>
      </c>
      <c r="C44" s="77"/>
      <c r="D44" s="82">
        <v>0.12446574001267637</v>
      </c>
      <c r="E44" s="79">
        <f t="shared" si="7"/>
        <v>12987.465188443661</v>
      </c>
      <c r="F44" s="77">
        <f t="shared" si="3"/>
        <v>5.8910221210202494</v>
      </c>
      <c r="G44" s="77">
        <v>5.8648100000000003</v>
      </c>
      <c r="H44" s="77">
        <f t="shared" si="4"/>
        <v>5.6423257061007508</v>
      </c>
      <c r="I44" s="78">
        <f t="shared" si="0"/>
        <v>0.20184217287900147</v>
      </c>
      <c r="J44" s="78">
        <f t="shared" si="1"/>
        <v>17.398157827121</v>
      </c>
      <c r="K44" s="78">
        <v>17.600000000000001</v>
      </c>
      <c r="L44" s="78">
        <f t="shared" si="5"/>
        <v>17.522623567133678</v>
      </c>
      <c r="M44" s="76">
        <f>SUM(D44,F44,G44,H44)*SUM(Additives!$Q$6:$Q$12)</f>
        <v>1.4833552595297703</v>
      </c>
      <c r="N44" s="77">
        <f>'Fiber Fabric'!D58</f>
        <v>2.9575098592405316</v>
      </c>
      <c r="O44" s="77">
        <f t="shared" si="2"/>
        <v>21.963488685903979</v>
      </c>
      <c r="P44" s="76">
        <f t="shared" si="6"/>
        <v>8.9976714876374455</v>
      </c>
      <c r="Q44" s="76">
        <f>F44+$F44*SUM(Additives!$Q$6:$Q$12)+'Fiber Fabric'!M58</f>
        <v>7.0798855903254614</v>
      </c>
    </row>
    <row r="45" spans="1:17" x14ac:dyDescent="0.2">
      <c r="A45" s="1">
        <v>1965</v>
      </c>
      <c r="B45" s="77">
        <v>9.6999999999999989E-2</v>
      </c>
      <c r="C45" s="77"/>
      <c r="D45" s="82">
        <v>0.10703170905345397</v>
      </c>
      <c r="E45" s="79">
        <f t="shared" si="7"/>
        <v>11855.097897171974</v>
      </c>
      <c r="F45" s="77">
        <f t="shared" si="3"/>
        <v>5.3773883468225705</v>
      </c>
      <c r="G45" s="77">
        <v>4.2743500000000001</v>
      </c>
      <c r="H45" s="77">
        <f t="shared" si="4"/>
        <v>5.1746916995492107</v>
      </c>
      <c r="I45" s="78">
        <f t="shared" si="0"/>
        <v>0.17356995362821936</v>
      </c>
      <c r="J45" s="78">
        <f t="shared" si="1"/>
        <v>14.826430046371781</v>
      </c>
      <c r="K45" s="78">
        <v>15</v>
      </c>
      <c r="L45" s="78">
        <f t="shared" si="5"/>
        <v>14.933461755425235</v>
      </c>
      <c r="M45" s="76">
        <f>SUM(D45,F45,G45,H45)*SUM(Additives!$Q$6:$Q$12)</f>
        <v>1.2641730819034096</v>
      </c>
      <c r="N45" s="77">
        <f>'Fiber Fabric'!D59</f>
        <v>2.5206049936709074</v>
      </c>
      <c r="O45" s="77">
        <f t="shared" si="2"/>
        <v>18.718239830999551</v>
      </c>
      <c r="P45" s="76">
        <f t="shared" si="6"/>
        <v>7.8742646049849476</v>
      </c>
      <c r="Q45" s="76">
        <f>F45+$F45*SUM(Additives!$Q$6:$Q$12)+'Fiber Fabric'!M59</f>
        <v>6.4208143867057501</v>
      </c>
    </row>
    <row r="46" spans="1:17" x14ac:dyDescent="0.2">
      <c r="A46" s="1">
        <v>1964</v>
      </c>
      <c r="B46" s="79">
        <f>B45-(B$45-B$48)/3</f>
        <v>7.7999999999999986E-2</v>
      </c>
      <c r="C46" s="77"/>
      <c r="D46" s="82">
        <v>8.6066735115148549E-2</v>
      </c>
      <c r="E46" s="79">
        <f t="shared" si="7"/>
        <v>10802.691518187523</v>
      </c>
      <c r="F46" s="77">
        <f t="shared" si="3"/>
        <v>4.9000242754703862</v>
      </c>
      <c r="G46" s="77">
        <v>4.2743500000000001</v>
      </c>
      <c r="H46" s="77">
        <f t="shared" si="4"/>
        <v>3.6860540092409426</v>
      </c>
      <c r="I46" s="78">
        <f t="shared" si="0"/>
        <v>0.13957171528867124</v>
      </c>
      <c r="J46" s="78">
        <f t="shared" si="1"/>
        <v>12.860428284711329</v>
      </c>
      <c r="K46" s="78">
        <v>13</v>
      </c>
      <c r="L46" s="78">
        <f t="shared" si="5"/>
        <v>12.946495019826477</v>
      </c>
      <c r="M46" s="76">
        <f>SUM(D46,F46,G46,H46)*SUM(Additives!$Q$6:$Q$12)</f>
        <v>1.0959689573059168</v>
      </c>
      <c r="N46" s="77">
        <f>'Fiber Fabric'!D60</f>
        <v>2.1845243278481199</v>
      </c>
      <c r="O46" s="77">
        <f t="shared" si="2"/>
        <v>16.226988304980516</v>
      </c>
      <c r="P46" s="76">
        <f t="shared" si="6"/>
        <v>6.1245106961503364</v>
      </c>
      <c r="Q46" s="76">
        <f>F46+$F46*SUM(Additives!$Q$6:$Q$12)+'Fiber Fabric'!M60</f>
        <v>5.8246116557961463</v>
      </c>
    </row>
    <row r="47" spans="1:17" x14ac:dyDescent="0.2">
      <c r="A47" s="1">
        <v>1963</v>
      </c>
      <c r="B47" s="79">
        <f>B46-(B$45-B$48)/3</f>
        <v>5.899999999999999E-2</v>
      </c>
      <c r="C47" s="77"/>
      <c r="D47" s="82">
        <v>6.5101761176843131E-2</v>
      </c>
      <c r="E47" s="79">
        <f t="shared" si="7"/>
        <v>9830.2460514903069</v>
      </c>
      <c r="F47" s="77">
        <f t="shared" si="3"/>
        <v>4.4589299069636974</v>
      </c>
      <c r="G47" s="77">
        <v>3.0815100000000002</v>
      </c>
      <c r="H47" s="77">
        <f t="shared" si="4"/>
        <v>3.2539866160871789</v>
      </c>
      <c r="I47" s="78">
        <f t="shared" si="0"/>
        <v>0.10557347694912311</v>
      </c>
      <c r="J47" s="78">
        <f t="shared" si="1"/>
        <v>10.794426523050877</v>
      </c>
      <c r="K47" s="78">
        <v>10.9</v>
      </c>
      <c r="L47" s="78">
        <f t="shared" si="5"/>
        <v>10.85952828422772</v>
      </c>
      <c r="M47" s="76">
        <f>SUM(D47,F47,G47,H47)*SUM(Additives!$Q$6:$Q$12)</f>
        <v>0.91929946076314073</v>
      </c>
      <c r="N47" s="77">
        <f>'Fiber Fabric'!D61</f>
        <v>1.8316396287341929</v>
      </c>
      <c r="O47" s="77">
        <f t="shared" si="2"/>
        <v>13.610467373725053</v>
      </c>
      <c r="P47" s="76">
        <f t="shared" si="6"/>
        <v>5.7527202449163752</v>
      </c>
      <c r="Q47" s="76">
        <f>F47+$F47*SUM(Additives!$Q$6:$Q$12)+'Fiber Fabric'!M61</f>
        <v>5.2638275922121416</v>
      </c>
    </row>
    <row r="48" spans="1:17" x14ac:dyDescent="0.2">
      <c r="A48" s="1">
        <v>1962</v>
      </c>
      <c r="B48" s="77">
        <v>0.04</v>
      </c>
      <c r="C48" s="77"/>
      <c r="D48" s="82">
        <v>4.4136787238537728E-2</v>
      </c>
      <c r="E48" s="79">
        <f t="shared" si="7"/>
        <v>8937.7614970505238</v>
      </c>
      <c r="F48" s="77">
        <f t="shared" si="3"/>
        <v>4.054105241288986</v>
      </c>
      <c r="G48" s="77">
        <v>3.0815100000000002</v>
      </c>
      <c r="H48" s="77">
        <f t="shared" si="4"/>
        <v>2.2928095201014376</v>
      </c>
      <c r="I48" s="78">
        <f t="shared" si="0"/>
        <v>7.1575238609575015E-2</v>
      </c>
      <c r="J48" s="78">
        <f t="shared" si="1"/>
        <v>9.4284247613904242</v>
      </c>
      <c r="K48" s="78">
        <v>9.5</v>
      </c>
      <c r="L48" s="78">
        <f t="shared" si="5"/>
        <v>9.4725615486289616</v>
      </c>
      <c r="M48" s="76">
        <f>SUM(D48,F48,G48,H48)*SUM(Additives!$Q$6:$Q$12)</f>
        <v>0.80188756783734894</v>
      </c>
      <c r="N48" s="77">
        <f>'Fiber Fabric'!D62</f>
        <v>1.5963831626582414</v>
      </c>
      <c r="O48" s="77">
        <f t="shared" si="2"/>
        <v>11.870832279124553</v>
      </c>
      <c r="P48" s="76">
        <f t="shared" si="6"/>
        <v>5.0027406805062977</v>
      </c>
      <c r="Q48" s="76">
        <f>F48+$F48*SUM(Additives!$Q$6:$Q$12)+'Fiber Fabric'!M62</f>
        <v>4.7698334020927993</v>
      </c>
    </row>
    <row r="49" spans="1:17" x14ac:dyDescent="0.2">
      <c r="A49" s="1">
        <v>1961</v>
      </c>
      <c r="B49" s="79">
        <f>B48-(B$48-B$53)/5</f>
        <v>3.4599999999999999E-2</v>
      </c>
      <c r="C49" s="77"/>
      <c r="D49" s="82">
        <v>3.8178320961335131E-2</v>
      </c>
      <c r="E49" s="79">
        <f t="shared" si="7"/>
        <v>8125.2378548979759</v>
      </c>
      <c r="F49" s="77">
        <f t="shared" si="3"/>
        <v>3.6855502784597691</v>
      </c>
      <c r="G49" s="77">
        <v>2.2862800000000001</v>
      </c>
      <c r="H49" s="77">
        <f t="shared" si="4"/>
        <v>1.9662571401429476</v>
      </c>
      <c r="I49" s="78">
        <f t="shared" si="0"/>
        <v>6.1912581397282375E-2</v>
      </c>
      <c r="J49" s="78">
        <f t="shared" si="1"/>
        <v>7.9380874186027173</v>
      </c>
      <c r="K49" s="78">
        <v>8</v>
      </c>
      <c r="L49" s="78">
        <f t="shared" si="5"/>
        <v>7.9762657395640515</v>
      </c>
      <c r="M49" s="76">
        <f>SUM(D49,F49,G49,H49)*SUM(Additives!$Q$6:$Q$12)</f>
        <v>0.67522056219831517</v>
      </c>
      <c r="N49" s="77">
        <f>'Fiber Fabric'!D63</f>
        <v>1.3443226632911507</v>
      </c>
      <c r="O49" s="77">
        <f t="shared" si="2"/>
        <v>9.9958089650535165</v>
      </c>
      <c r="P49" s="76">
        <f t="shared" si="6"/>
        <v>4.3780305213326436</v>
      </c>
      <c r="Q49" s="76">
        <f>F49+$F49*SUM(Additives!$Q$6:$Q$12)+'Fiber Fabric'!M63</f>
        <v>4.3112578792990561</v>
      </c>
    </row>
    <row r="50" spans="1:17" x14ac:dyDescent="0.2">
      <c r="A50" s="1">
        <v>1960</v>
      </c>
      <c r="B50" s="79">
        <f>B49-(B$48-B$53)/5</f>
        <v>2.9199999999999997E-2</v>
      </c>
      <c r="C50" s="77"/>
      <c r="D50" s="82">
        <v>3.2219854684132535E-2</v>
      </c>
      <c r="E50" s="79">
        <f t="shared" si="7"/>
        <v>7392.6751249730587</v>
      </c>
      <c r="F50" s="77">
        <f t="shared" si="3"/>
        <v>3.3532650184490111</v>
      </c>
      <c r="G50" s="77">
        <v>1.8886700000000001</v>
      </c>
      <c r="H50" s="77">
        <f t="shared" si="4"/>
        <v>1.9058150573659995</v>
      </c>
      <c r="I50" s="78">
        <f t="shared" si="0"/>
        <v>5.2249924184989742E-2</v>
      </c>
      <c r="J50" s="78">
        <f t="shared" si="1"/>
        <v>7.1477500758150105</v>
      </c>
      <c r="K50" s="78">
        <v>7.2</v>
      </c>
      <c r="L50" s="78">
        <f t="shared" si="5"/>
        <v>7.1799699304991433</v>
      </c>
      <c r="M50" s="76">
        <f>SUM(D50,F50,G50,H50)*SUM(Additives!$Q$6:$Q$12)</f>
        <v>0.60781116017626613</v>
      </c>
      <c r="N50" s="77">
        <f>'Fiber Fabric'!D64</f>
        <v>1.2098903969620356</v>
      </c>
      <c r="O50" s="77">
        <f t="shared" si="2"/>
        <v>8.9976714876374455</v>
      </c>
      <c r="P50" s="76">
        <f t="shared" si="6"/>
        <v>3.3775121464497184</v>
      </c>
      <c r="Q50" s="76">
        <f>F50+$F50*SUM(Additives!$Q$6:$Q$12)+'Fiber Fabric'!M64</f>
        <v>3.9194722299553115</v>
      </c>
    </row>
    <row r="51" spans="1:17" x14ac:dyDescent="0.2">
      <c r="A51" s="1">
        <v>1959</v>
      </c>
      <c r="B51" s="79">
        <f>B50-(B$48-B$53)/5</f>
        <v>2.3799999999999995E-2</v>
      </c>
      <c r="C51" s="77"/>
      <c r="D51" s="82">
        <v>2.6261388406929941E-2</v>
      </c>
      <c r="E51" s="79">
        <f t="shared" si="7"/>
        <v>6740.0733073055744</v>
      </c>
      <c r="F51" s="77">
        <f t="shared" si="3"/>
        <v>3.0572494612702301</v>
      </c>
      <c r="G51" s="77">
        <v>1.09344</v>
      </c>
      <c r="H51" s="77">
        <f t="shared" si="4"/>
        <v>2.1067232717570725</v>
      </c>
      <c r="I51" s="78">
        <f t="shared" si="0"/>
        <v>4.2587266972697116E-2</v>
      </c>
      <c r="J51" s="78">
        <f t="shared" si="1"/>
        <v>6.2574127330273024</v>
      </c>
      <c r="K51" s="78">
        <v>6.3</v>
      </c>
      <c r="L51" s="78">
        <f t="shared" si="5"/>
        <v>6.2836741214342329</v>
      </c>
      <c r="M51" s="76">
        <f>SUM(D51,F51,G51,H51)*SUM(Additives!$Q$6:$Q$12)</f>
        <v>0.53193638620893335</v>
      </c>
      <c r="N51" s="77">
        <f>'Fiber Fabric'!D65</f>
        <v>1.0586540973417811</v>
      </c>
      <c r="O51" s="77">
        <f t="shared" si="2"/>
        <v>7.8742646049849476</v>
      </c>
      <c r="P51" s="76">
        <f t="shared" si="6"/>
        <v>3.0033407977489088</v>
      </c>
      <c r="Q51" s="76">
        <f>F51+$F51*SUM(Additives!$Q$6:$Q$12)+'Fiber Fabric'!M65</f>
        <v>3.5631052479225049</v>
      </c>
    </row>
    <row r="52" spans="1:17" x14ac:dyDescent="0.2">
      <c r="A52" s="1">
        <v>1958</v>
      </c>
      <c r="B52" s="79">
        <f>B51-(B$48-B$53)/5</f>
        <v>1.8399999999999993E-2</v>
      </c>
      <c r="C52" s="77"/>
      <c r="D52" s="82">
        <v>2.0302922129727344E-2</v>
      </c>
      <c r="E52" s="79">
        <f t="shared" si="7"/>
        <v>6167.4324019551277</v>
      </c>
      <c r="F52" s="77">
        <f t="shared" si="3"/>
        <v>2.7975036069504622</v>
      </c>
      <c r="G52" s="77">
        <v>1.09344</v>
      </c>
      <c r="H52" s="77">
        <f t="shared" si="4"/>
        <v>0.97613178328913364</v>
      </c>
      <c r="I52" s="78">
        <f t="shared" si="0"/>
        <v>3.292460976040449E-2</v>
      </c>
      <c r="J52" s="78">
        <f t="shared" si="1"/>
        <v>4.867075390239596</v>
      </c>
      <c r="K52" s="78">
        <v>4.9000000000000004</v>
      </c>
      <c r="L52" s="78">
        <f t="shared" si="5"/>
        <v>4.8873783123693233</v>
      </c>
      <c r="M52" s="76">
        <f>SUM(D52,F52,G52,H52)*SUM(Additives!$Q$6:$Q$12)</f>
        <v>0.41373475251518321</v>
      </c>
      <c r="N52" s="77">
        <f>'Fiber Fabric'!D66</f>
        <v>0.82339763126582988</v>
      </c>
      <c r="O52" s="77">
        <f t="shared" si="2"/>
        <v>6.1245106961503364</v>
      </c>
      <c r="P52" s="76">
        <f t="shared" si="6"/>
        <v>2.3786306385752538</v>
      </c>
      <c r="Q52" s="76">
        <f>F52+$F52*SUM(Additives!$Q$6:$Q$12)+'Fiber Fabric'!M66</f>
        <v>3.2264713301530978</v>
      </c>
    </row>
    <row r="53" spans="1:17" x14ac:dyDescent="0.2">
      <c r="A53" s="1">
        <v>1957</v>
      </c>
      <c r="B53" s="77">
        <v>1.3000000000000001E-2</v>
      </c>
      <c r="C53" s="77"/>
      <c r="D53" s="82">
        <v>1.4344455852524762E-2</v>
      </c>
      <c r="E53" s="79">
        <f t="shared" si="7"/>
        <v>5674.7524088323116</v>
      </c>
      <c r="F53" s="77">
        <f t="shared" si="3"/>
        <v>2.5740274554491531</v>
      </c>
      <c r="G53" s="77">
        <v>1.09344</v>
      </c>
      <c r="H53" s="77">
        <f t="shared" si="4"/>
        <v>0.90927059200273419</v>
      </c>
      <c r="I53" s="78">
        <f t="shared" si="0"/>
        <v>2.3261952548111878E-2</v>
      </c>
      <c r="J53" s="78">
        <f t="shared" si="1"/>
        <v>4.5767380474518875</v>
      </c>
      <c r="K53" s="78">
        <v>4.5999999999999996</v>
      </c>
      <c r="L53" s="78">
        <f t="shared" si="5"/>
        <v>4.5910825033044125</v>
      </c>
      <c r="M53" s="76">
        <f>SUM(D53,F53,G53,H53)*SUM(Additives!$Q$6:$Q$12)</f>
        <v>0.38865221021955143</v>
      </c>
      <c r="N53" s="77">
        <f>'Fiber Fabric'!D67</f>
        <v>0.77298553139241155</v>
      </c>
      <c r="O53" s="77">
        <f t="shared" si="2"/>
        <v>5.7527202449163752</v>
      </c>
      <c r="P53" s="76">
        <f t="shared" si="6"/>
        <v>2.5046440742700669</v>
      </c>
      <c r="Q53" s="76">
        <f>F53+$F53*SUM(Additives!$Q$6:$Q$12)+'Fiber Fabric'!M67</f>
        <v>2.972312888910551</v>
      </c>
    </row>
    <row r="54" spans="1:17" x14ac:dyDescent="0.2">
      <c r="A54" s="1">
        <v>1956</v>
      </c>
      <c r="B54" s="79">
        <f>B53-(B$53-B$58)/5</f>
        <v>1.0800000000000001E-2</v>
      </c>
      <c r="C54" s="77"/>
      <c r="D54" s="82">
        <v>1.1916932554405187E-2</v>
      </c>
      <c r="E54" s="79">
        <f t="shared" si="7"/>
        <v>5262.0333279669285</v>
      </c>
      <c r="F54" s="77">
        <f t="shared" si="3"/>
        <v>2.386821006779821</v>
      </c>
      <c r="G54" s="77">
        <v>1.09344</v>
      </c>
      <c r="H54" s="77">
        <f t="shared" si="4"/>
        <v>0.50041367879559395</v>
      </c>
      <c r="I54" s="78">
        <f t="shared" si="0"/>
        <v>1.9325314424585252E-2</v>
      </c>
      <c r="J54" s="78">
        <f t="shared" si="1"/>
        <v>3.9806746855754147</v>
      </c>
      <c r="K54" s="78">
        <v>4</v>
      </c>
      <c r="L54" s="78">
        <f t="shared" si="5"/>
        <v>3.9925916181298202</v>
      </c>
      <c r="M54" s="76">
        <f>SUM(D54,F54,G54,H54)*SUM(Additives!$Q$6:$Q$12)</f>
        <v>0.3379877307309026</v>
      </c>
      <c r="N54" s="77">
        <f>'Fiber Fabric'!D68</f>
        <v>0.67216133164557534</v>
      </c>
      <c r="O54" s="77">
        <f t="shared" si="2"/>
        <v>5.0027406805062977</v>
      </c>
      <c r="P54" s="76">
        <f t="shared" si="6"/>
        <v>2.1295798890191895</v>
      </c>
      <c r="Q54" s="76">
        <f>F54+$F54*SUM(Additives!$Q$6:$Q$12)+'Fiber Fabric'!M68</f>
        <v>2.7457303134405109</v>
      </c>
    </row>
    <row r="55" spans="1:17" x14ac:dyDescent="0.2">
      <c r="A55" s="1">
        <v>1955</v>
      </c>
      <c r="B55" s="79">
        <f>B54-(B$53-B$58)/5</f>
        <v>8.6E-3</v>
      </c>
      <c r="C55" s="77"/>
      <c r="D55" s="82">
        <v>9.4894092562856115E-3</v>
      </c>
      <c r="E55" s="79">
        <f t="shared" si="7"/>
        <v>4929.2751594185829</v>
      </c>
      <c r="F55" s="77">
        <f t="shared" si="3"/>
        <v>2.235884260969502</v>
      </c>
      <c r="G55" s="77">
        <v>1.09344</v>
      </c>
      <c r="H55" s="77">
        <f t="shared" si="4"/>
        <v>0.15528706272943982</v>
      </c>
      <c r="I55" s="78">
        <f t="shared" si="0"/>
        <v>1.5388676301058626E-2</v>
      </c>
      <c r="J55" s="78">
        <f t="shared" si="1"/>
        <v>3.4846113236989416</v>
      </c>
      <c r="K55" s="78">
        <v>3.5</v>
      </c>
      <c r="L55" s="78">
        <f t="shared" si="5"/>
        <v>3.4941007329552276</v>
      </c>
      <c r="M55" s="76">
        <f>SUM(D55,F55,G55,H55)*SUM(Additives!$Q$6:$Q$12)</f>
        <v>0.29578862318753718</v>
      </c>
      <c r="N55" s="77">
        <f>'Fiber Fabric'!D69</f>
        <v>0.58814116518987847</v>
      </c>
      <c r="O55" s="77">
        <f t="shared" si="2"/>
        <v>4.3780305213326436</v>
      </c>
      <c r="P55" s="80">
        <f>P54-P$54/6</f>
        <v>1.7746499075159912</v>
      </c>
      <c r="Q55" s="76">
        <f>F55+$F55*SUM(Additives!$Q$6:$Q$12)+'Fiber Fabric'!M69</f>
        <v>2.5624092068491646</v>
      </c>
    </row>
    <row r="56" spans="1:17" x14ac:dyDescent="0.2">
      <c r="A56" s="1">
        <v>1954</v>
      </c>
      <c r="B56" s="79">
        <f>B55-(B$53-B$58)/5</f>
        <v>6.3999999999999994E-3</v>
      </c>
      <c r="C56" s="77"/>
      <c r="D56" s="82">
        <v>7.0618859581660356E-3</v>
      </c>
      <c r="E56" s="79">
        <f t="shared" si="7"/>
        <v>4676.477903097868</v>
      </c>
      <c r="F56" s="79">
        <f>J56-D56-G56</f>
        <v>1.806734075864302</v>
      </c>
      <c r="G56" s="77">
        <v>0.87475199999999997</v>
      </c>
      <c r="H56" s="77">
        <f t="shared" si="4"/>
        <v>7.0618859581661475E-3</v>
      </c>
      <c r="I56" s="78">
        <f t="shared" si="0"/>
        <v>1.1452038177532001E-2</v>
      </c>
      <c r="J56" s="78">
        <f t="shared" si="1"/>
        <v>2.6885479618224681</v>
      </c>
      <c r="K56" s="78">
        <v>2.7</v>
      </c>
      <c r="L56" s="78">
        <f t="shared" si="5"/>
        <v>2.6956098477806338</v>
      </c>
      <c r="M56" s="76">
        <f>SUM(D56,F56,G56,H56)*SUM(Additives!$Q$6:$Q$12)</f>
        <v>0.22819339980832121</v>
      </c>
      <c r="N56" s="77">
        <f>'Fiber Fabric'!D70</f>
        <v>0.45370889886076338</v>
      </c>
      <c r="O56" s="77">
        <f t="shared" si="2"/>
        <v>3.3775121464497184</v>
      </c>
      <c r="P56" s="80">
        <f>P55-P$54/6</f>
        <v>1.4197199260127928</v>
      </c>
      <c r="Q56" s="76">
        <f>F56+$F56*SUM(Additives!$Q$6:$Q$12)+'Fiber Fabric'!M70</f>
        <v>2.0655586562172128</v>
      </c>
    </row>
    <row r="57" spans="1:17" x14ac:dyDescent="0.2">
      <c r="A57" s="1">
        <v>1953</v>
      </c>
      <c r="B57" s="79">
        <f>B56-(B$53-B$58)/5</f>
        <v>4.1999999999999989E-3</v>
      </c>
      <c r="C57" s="77"/>
      <c r="D57" s="82">
        <v>4.6343626600464597E-3</v>
      </c>
      <c r="E57" s="79">
        <f t="shared" si="7"/>
        <v>4503.641559034586</v>
      </c>
      <c r="F57" s="79">
        <f>J57-D57-G57</f>
        <v>1.7317862372859485</v>
      </c>
      <c r="G57" s="77">
        <v>0.65606399999999998</v>
      </c>
      <c r="H57" s="77">
        <f t="shared" si="4"/>
        <v>4.6343626600462429E-3</v>
      </c>
      <c r="I57" s="78">
        <f t="shared" si="0"/>
        <v>7.5154000540053733E-3</v>
      </c>
      <c r="J57" s="78">
        <f t="shared" si="1"/>
        <v>2.3924845999459947</v>
      </c>
      <c r="K57" s="78">
        <v>2.4</v>
      </c>
      <c r="L57" s="78">
        <f t="shared" si="5"/>
        <v>2.397118962606041</v>
      </c>
      <c r="M57" s="76">
        <f>SUM(D57,F57,G57,H57)*SUM(Additives!$Q$6:$Q$12)</f>
        <v>0.20292503615552282</v>
      </c>
      <c r="N57" s="77">
        <f>'Fiber Fabric'!D71</f>
        <v>0.40329679898734522</v>
      </c>
      <c r="O57" s="77">
        <f t="shared" si="2"/>
        <v>3.0033407977489088</v>
      </c>
      <c r="P57" s="80">
        <f>P56-P$54/6</f>
        <v>1.0647899445095945</v>
      </c>
      <c r="Q57" s="76">
        <f>F57+$F57*SUM(Additives!$Q$6:$Q$12)+'Fiber Fabric'!M71</f>
        <v>1.9725020020306048</v>
      </c>
    </row>
    <row r="58" spans="1:17" x14ac:dyDescent="0.2">
      <c r="A58" s="1">
        <v>1952</v>
      </c>
      <c r="B58" s="77">
        <v>2E-3</v>
      </c>
      <c r="C58" s="77"/>
      <c r="D58" s="82">
        <v>2.2068393619268864E-3</v>
      </c>
      <c r="E58" s="79">
        <f t="shared" si="7"/>
        <v>4410.7661272883415</v>
      </c>
      <c r="F58" s="79">
        <f>J58-D58-G58</f>
        <v>1.4568383987075944</v>
      </c>
      <c r="G58" s="77">
        <v>0.43737599999999999</v>
      </c>
      <c r="H58" s="77">
        <f t="shared" si="4"/>
        <v>2.2068393619267823E-3</v>
      </c>
      <c r="I58" s="78">
        <f t="shared" si="0"/>
        <v>3.5787619304787502E-3</v>
      </c>
      <c r="J58" s="78">
        <f t="shared" si="1"/>
        <v>1.8964212380695211</v>
      </c>
      <c r="K58" s="78">
        <v>1.9</v>
      </c>
      <c r="L58" s="78">
        <f t="shared" si="5"/>
        <v>1.8986280774314479</v>
      </c>
      <c r="M58" s="76">
        <f>SUM(D58,F58,G58,H58)*SUM(Additives!$Q$6:$Q$12)</f>
        <v>0.1607259286121574</v>
      </c>
      <c r="N58" s="77">
        <f>'Fiber Fabric'!D72</f>
        <v>0.31927663253164829</v>
      </c>
      <c r="O58" s="77">
        <f t="shared" si="2"/>
        <v>2.3786306385752538</v>
      </c>
      <c r="P58" s="80">
        <f>P57-P$54/6</f>
        <v>0.7098599630063962</v>
      </c>
      <c r="Q58" s="76">
        <f>F58+$F58*SUM(Additives!$Q$6:$Q$12)+'Fiber Fabric'!M72</f>
        <v>1.654671802414998</v>
      </c>
    </row>
    <row r="59" spans="1:17" x14ac:dyDescent="0.2">
      <c r="A59" s="1">
        <v>1951</v>
      </c>
      <c r="B59" s="79">
        <f>AVERAGE(B58,B60)</f>
        <v>1E-3</v>
      </c>
      <c r="C59" s="77"/>
      <c r="D59" s="82">
        <v>1.1034196809634432E-3</v>
      </c>
      <c r="E59" s="79">
        <f t="shared" si="7"/>
        <v>4397.8516077399254</v>
      </c>
      <c r="F59" s="79">
        <f>J59-D59-G59</f>
        <v>1.7784191993537972</v>
      </c>
      <c r="G59" s="77">
        <v>0.21868799999999999</v>
      </c>
      <c r="H59" s="77">
        <f t="shared" si="4"/>
        <v>1.1034196809633912E-3</v>
      </c>
      <c r="I59" s="78">
        <f t="shared" si="0"/>
        <v>1.7893809652393751E-3</v>
      </c>
      <c r="J59" s="78">
        <f t="shared" si="1"/>
        <v>1.9982106190347606</v>
      </c>
      <c r="K59" s="78">
        <v>2</v>
      </c>
      <c r="L59" s="78">
        <f t="shared" si="5"/>
        <v>1.999314038715724</v>
      </c>
      <c r="M59" s="76">
        <f>SUM(D59,F59,G59,H59)*SUM(Additives!$Q$6:$Q$12)</f>
        <v>0.16924936973155552</v>
      </c>
      <c r="N59" s="77">
        <f>'Fiber Fabric'!D73</f>
        <v>0.33608066582278767</v>
      </c>
      <c r="O59" s="77">
        <f t="shared" si="2"/>
        <v>2.5046440742700669</v>
      </c>
      <c r="P59" s="80">
        <f>P58-P$54/6</f>
        <v>0.35492998150319793</v>
      </c>
      <c r="Q59" s="76">
        <f>F59+$F59*SUM(Additives!$Q$6:$Q$12)+'Fiber Fabric'!M73</f>
        <v>2.007397014709738</v>
      </c>
    </row>
    <row r="60" spans="1:17" x14ac:dyDescent="0.2">
      <c r="A60" s="1">
        <v>1950</v>
      </c>
      <c r="B60" s="77">
        <v>0</v>
      </c>
      <c r="C60" s="77"/>
      <c r="D60" s="82">
        <v>0</v>
      </c>
      <c r="E60" s="79">
        <f>(K60-G60)*2204.62</f>
        <v>2976.2370000000001</v>
      </c>
      <c r="F60" s="79">
        <f>J60-D60-G60</f>
        <v>1.35</v>
      </c>
      <c r="G60" s="77">
        <v>0.35</v>
      </c>
      <c r="H60" s="77">
        <f t="shared" si="4"/>
        <v>0</v>
      </c>
      <c r="I60" s="78">
        <f t="shared" si="0"/>
        <v>0</v>
      </c>
      <c r="J60" s="78">
        <f t="shared" si="1"/>
        <v>1.7</v>
      </c>
      <c r="K60" s="78">
        <v>1.7</v>
      </c>
      <c r="L60" s="78">
        <f t="shared" si="5"/>
        <v>1.7000000000000002</v>
      </c>
      <c r="M60" s="76">
        <f>SUM(D60,F60,G60,H60)*SUM(Additives!$Q$6:$Q$12)</f>
        <v>0.14391132306981963</v>
      </c>
      <c r="N60" s="77">
        <f>'Fiber Fabric'!D74</f>
        <v>0.28566856594936951</v>
      </c>
      <c r="O60" s="77">
        <f t="shared" si="2"/>
        <v>2.1295798890191895</v>
      </c>
      <c r="P60" s="76">
        <v>0</v>
      </c>
      <c r="Q60" s="76">
        <f>F60+$F60*SUM(Additives!$Q$6:$Q$12)+'Fiber Fabric'!M74</f>
        <v>1.5309463343379901</v>
      </c>
    </row>
    <row r="67" spans="3:5" x14ac:dyDescent="0.2">
      <c r="C67" s="24"/>
      <c r="E67" s="24"/>
    </row>
  </sheetData>
  <mergeCells count="4">
    <mergeCell ref="B2:L2"/>
    <mergeCell ref="B3:D3"/>
    <mergeCell ref="E3:F3"/>
    <mergeCell ref="K3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44DC-BF35-544B-B7ED-3BA09C607AA5}">
  <dimension ref="A2:Q72"/>
  <sheetViews>
    <sheetView workbookViewId="0">
      <selection activeCell="B72" sqref="B72:P72"/>
    </sheetView>
  </sheetViews>
  <sheetFormatPr baseColWidth="10" defaultColWidth="10.83203125" defaultRowHeight="16" x14ac:dyDescent="0.2"/>
  <cols>
    <col min="1" max="1" width="10.83203125" style="13"/>
    <col min="2" max="2" width="35.83203125" style="13" bestFit="1" customWidth="1"/>
    <col min="3" max="9" width="12.5" style="13" customWidth="1"/>
    <col min="10" max="10" width="22" style="13" customWidth="1"/>
    <col min="11" max="11" width="17.83203125" style="13" customWidth="1"/>
    <col min="12" max="12" width="14.33203125" style="13" customWidth="1"/>
    <col min="13" max="13" width="12.5" style="13" customWidth="1"/>
    <col min="14" max="14" width="21.1640625" style="13" customWidth="1"/>
    <col min="15" max="15" width="12.5" style="13" customWidth="1"/>
    <col min="16" max="16" width="15.1640625" style="13" customWidth="1"/>
    <col min="17" max="17" width="12.5" style="13" customWidth="1"/>
    <col min="18" max="16384" width="10.83203125" style="13"/>
  </cols>
  <sheetData>
    <row r="2" spans="1:12" ht="21" x14ac:dyDescent="0.2">
      <c r="A2" s="72" t="s">
        <v>217</v>
      </c>
    </row>
    <row r="4" spans="1:12" x14ac:dyDescent="0.2">
      <c r="B4" s="171" t="s">
        <v>218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</row>
    <row r="5" spans="1:12" x14ac:dyDescent="0.2">
      <c r="B5" s="38" t="s">
        <v>219</v>
      </c>
      <c r="C5" s="38" t="s">
        <v>220</v>
      </c>
      <c r="D5" s="38" t="s">
        <v>87</v>
      </c>
      <c r="E5" s="38" t="s">
        <v>88</v>
      </c>
      <c r="F5" s="38" t="s">
        <v>89</v>
      </c>
      <c r="G5" s="38" t="s">
        <v>90</v>
      </c>
      <c r="H5" s="38" t="s">
        <v>91</v>
      </c>
      <c r="I5" s="38" t="s">
        <v>92</v>
      </c>
      <c r="J5" s="38" t="s">
        <v>139</v>
      </c>
      <c r="K5" s="38" t="s">
        <v>94</v>
      </c>
      <c r="L5" s="38" t="s">
        <v>221</v>
      </c>
    </row>
    <row r="6" spans="1:12" x14ac:dyDescent="0.2">
      <c r="B6" s="38" t="s">
        <v>39</v>
      </c>
      <c r="C6" s="14">
        <f>C19</f>
        <v>3.4587995930824011E-3</v>
      </c>
      <c r="D6" s="14">
        <f t="shared" ref="D6:K6" si="0">D19</f>
        <v>6.7141403865717203E-3</v>
      </c>
      <c r="E6" s="14">
        <f t="shared" si="0"/>
        <v>1.9125127161749748E-2</v>
      </c>
      <c r="F6" s="14">
        <f t="shared" si="0"/>
        <v>1.424211597151577E-3</v>
      </c>
      <c r="G6" s="14">
        <f t="shared" si="0"/>
        <v>3.0518819938962364E-3</v>
      </c>
      <c r="H6" s="14">
        <f t="shared" si="0"/>
        <v>0</v>
      </c>
      <c r="I6" s="14">
        <f t="shared" si="0"/>
        <v>1.2410986775178028E-2</v>
      </c>
      <c r="J6" s="14">
        <f t="shared" si="0"/>
        <v>3.5808748728382508E-2</v>
      </c>
      <c r="K6" s="14">
        <f t="shared" si="0"/>
        <v>6.3072227873855555E-3</v>
      </c>
      <c r="L6" s="14">
        <f>SUM(C6:K6)</f>
        <v>8.8301119023397781E-2</v>
      </c>
    </row>
    <row r="7" spans="1:12" x14ac:dyDescent="0.2">
      <c r="B7" s="38" t="s">
        <v>40</v>
      </c>
      <c r="C7" s="14">
        <f>C17</f>
        <v>0.1204476093591048</v>
      </c>
      <c r="D7" s="14">
        <f t="shared" ref="D7:K8" si="1">D17</f>
        <v>7.2634791454730424E-2</v>
      </c>
      <c r="E7" s="14">
        <f t="shared" si="1"/>
        <v>9.4811800610376418E-2</v>
      </c>
      <c r="F7" s="14">
        <f t="shared" si="1"/>
        <v>1.7497456765005092E-2</v>
      </c>
      <c r="G7" s="14">
        <f t="shared" si="1"/>
        <v>8.1383519837232975E-3</v>
      </c>
      <c r="H7" s="14">
        <f t="shared" si="1"/>
        <v>8.3418107833163793E-2</v>
      </c>
      <c r="I7" s="14">
        <f t="shared" si="1"/>
        <v>1.0172939979654122E-3</v>
      </c>
      <c r="J7" s="14">
        <f t="shared" si="1"/>
        <v>3.0518819938962364E-3</v>
      </c>
      <c r="K7" s="14">
        <f t="shared" si="1"/>
        <v>3.8657171922685659E-3</v>
      </c>
      <c r="L7" s="14">
        <f t="shared" ref="L7:L12" si="2">SUM(C7:K7)</f>
        <v>0.40488301119023401</v>
      </c>
    </row>
    <row r="8" spans="1:12" x14ac:dyDescent="0.2">
      <c r="B8" s="38" t="s">
        <v>41</v>
      </c>
      <c r="C8" s="14">
        <f>C18</f>
        <v>9.3591047812817928E-3</v>
      </c>
      <c r="D8" s="14">
        <f t="shared" si="1"/>
        <v>2.8280773143438458E-2</v>
      </c>
      <c r="E8" s="14">
        <f t="shared" si="1"/>
        <v>1.6480162767039678E-2</v>
      </c>
      <c r="F8" s="14">
        <f t="shared" si="1"/>
        <v>3.0722278738555445E-2</v>
      </c>
      <c r="G8" s="14">
        <f t="shared" si="1"/>
        <v>6.9582909460834189E-2</v>
      </c>
      <c r="H8" s="14">
        <f t="shared" si="1"/>
        <v>0</v>
      </c>
      <c r="I8" s="14">
        <f t="shared" si="1"/>
        <v>2.0345879959308245E-2</v>
      </c>
      <c r="J8" s="14">
        <f t="shared" si="1"/>
        <v>1.50559511698881E-2</v>
      </c>
      <c r="K8" s="14">
        <f t="shared" si="1"/>
        <v>1.424211597151577E-2</v>
      </c>
      <c r="L8" s="14">
        <f t="shared" si="2"/>
        <v>0.2040691759918617</v>
      </c>
    </row>
    <row r="9" spans="1:12" x14ac:dyDescent="0.2">
      <c r="B9" s="38" t="s">
        <v>50</v>
      </c>
      <c r="C9" s="14">
        <f>C20</f>
        <v>5.6968463886063079E-3</v>
      </c>
      <c r="D9" s="14">
        <f t="shared" ref="D9:K9" si="3">D20</f>
        <v>3.4587995930824011E-3</v>
      </c>
      <c r="E9" s="14">
        <f t="shared" si="3"/>
        <v>9.9694811800610395E-3</v>
      </c>
      <c r="F9" s="14">
        <f t="shared" si="3"/>
        <v>3.4587995930824011E-3</v>
      </c>
      <c r="G9" s="14">
        <f t="shared" si="3"/>
        <v>2.6449643947100716E-3</v>
      </c>
      <c r="H9" s="14">
        <f t="shared" si="3"/>
        <v>2.0345879959308242E-4</v>
      </c>
      <c r="I9" s="14">
        <f t="shared" si="3"/>
        <v>6.5106815869786375E-3</v>
      </c>
      <c r="J9" s="14">
        <f t="shared" si="3"/>
        <v>2.5635808748728384E-2</v>
      </c>
      <c r="K9" s="14">
        <f t="shared" si="3"/>
        <v>4.0691759918616488E-3</v>
      </c>
      <c r="L9" s="14">
        <f t="shared" si="2"/>
        <v>6.1648016276703972E-2</v>
      </c>
    </row>
    <row r="10" spans="1:12" x14ac:dyDescent="0.2">
      <c r="B10" s="38" t="s">
        <v>53</v>
      </c>
      <c r="C10" s="14">
        <f>C22</f>
        <v>4.7483525739119344E-3</v>
      </c>
      <c r="D10" s="14">
        <f t="shared" ref="D10:K10" si="4">D22</f>
        <v>5.8763033596064699E-3</v>
      </c>
      <c r="E10" s="14">
        <f t="shared" si="4"/>
        <v>2.744175620083928E-2</v>
      </c>
      <c r="F10" s="14">
        <f t="shared" si="4"/>
        <v>6.1497747187349329E-3</v>
      </c>
      <c r="G10" s="14">
        <f t="shared" si="4"/>
        <v>5.2576741053641414E-3</v>
      </c>
      <c r="H10" s="14">
        <f t="shared" si="4"/>
        <v>2.0345879959308242E-4</v>
      </c>
      <c r="I10" s="14">
        <f t="shared" si="4"/>
        <v>2.2567757734895954E-2</v>
      </c>
      <c r="J10" s="14">
        <f t="shared" si="4"/>
        <v>1.167853509664293E-2</v>
      </c>
      <c r="K10" s="14">
        <f t="shared" si="4"/>
        <v>1.7273652085452697E-2</v>
      </c>
      <c r="L10" s="14">
        <f t="shared" si="2"/>
        <v>0.10119726467504142</v>
      </c>
    </row>
    <row r="11" spans="1:12" x14ac:dyDescent="0.2">
      <c r="B11" s="38" t="s">
        <v>44</v>
      </c>
      <c r="C11" s="14">
        <f>C21</f>
        <v>1.0783316378433369E-2</v>
      </c>
      <c r="D11" s="14">
        <f t="shared" ref="D11:K11" si="5">D21</f>
        <v>8.1383519837232969E-4</v>
      </c>
      <c r="E11" s="14">
        <f t="shared" si="5"/>
        <v>1.0783316378433369E-2</v>
      </c>
      <c r="F11" s="14">
        <f t="shared" si="5"/>
        <v>4.0691759918616484E-4</v>
      </c>
      <c r="G11" s="14">
        <f t="shared" si="5"/>
        <v>2.848423194303154E-3</v>
      </c>
      <c r="H11" s="14">
        <f t="shared" si="5"/>
        <v>2.0345879959308242E-4</v>
      </c>
      <c r="I11" s="14">
        <f t="shared" si="5"/>
        <v>0</v>
      </c>
      <c r="J11" s="14">
        <f t="shared" si="5"/>
        <v>2.2380467955239068E-3</v>
      </c>
      <c r="K11" s="14">
        <f t="shared" si="5"/>
        <v>3.8657171922685659E-3</v>
      </c>
      <c r="L11" s="14">
        <f t="shared" si="2"/>
        <v>3.1943031536113942E-2</v>
      </c>
    </row>
    <row r="12" spans="1:12" x14ac:dyDescent="0.2">
      <c r="B12" s="38" t="s">
        <v>55</v>
      </c>
      <c r="C12" s="14">
        <f>C23</f>
        <v>2.007362097644412E-2</v>
      </c>
      <c r="D12" s="14">
        <f t="shared" ref="D12:K12" si="6">D23</f>
        <v>1.0603859407433205E-2</v>
      </c>
      <c r="E12" s="14">
        <f t="shared" si="6"/>
        <v>1.8539932507197345E-2</v>
      </c>
      <c r="F12" s="14">
        <f t="shared" si="6"/>
        <v>1.1747420666160333E-3</v>
      </c>
      <c r="G12" s="14">
        <f t="shared" si="6"/>
        <v>4.1014306759176496E-3</v>
      </c>
      <c r="H12" s="14">
        <f t="shared" si="6"/>
        <v>2.0345879959308239E-4</v>
      </c>
      <c r="I12" s="14">
        <f t="shared" si="6"/>
        <v>1.4665202590638127E-2</v>
      </c>
      <c r="J12" s="14">
        <f t="shared" si="6"/>
        <v>1.3957273652085454E-2</v>
      </c>
      <c r="K12" s="14">
        <f t="shared" si="6"/>
        <v>2.4638860630722278E-2</v>
      </c>
      <c r="L12" s="14">
        <f t="shared" si="2"/>
        <v>0.1079583813066473</v>
      </c>
    </row>
    <row r="13" spans="1:12" x14ac:dyDescent="0.2">
      <c r="B13" s="38" t="s">
        <v>221</v>
      </c>
      <c r="C13" s="14">
        <f>SUM(C6:C12)</f>
        <v>0.17456765005086472</v>
      </c>
      <c r="D13" s="14">
        <f t="shared" ref="D13:K13" si="7">SUM(D6:D12)</f>
        <v>0.12838250254323502</v>
      </c>
      <c r="E13" s="14">
        <f t="shared" si="7"/>
        <v>0.19715157680569687</v>
      </c>
      <c r="F13" s="14">
        <f t="shared" si="7"/>
        <v>6.0834181078331641E-2</v>
      </c>
      <c r="G13" s="14">
        <f t="shared" si="7"/>
        <v>9.5625635808748735E-2</v>
      </c>
      <c r="H13" s="14">
        <f t="shared" si="7"/>
        <v>8.4231943031536097E-2</v>
      </c>
      <c r="I13" s="14">
        <f t="shared" si="7"/>
        <v>7.7517802644964398E-2</v>
      </c>
      <c r="J13" s="14">
        <f t="shared" si="7"/>
        <v>0.10742624618514751</v>
      </c>
      <c r="K13" s="14">
        <f t="shared" si="7"/>
        <v>7.4262461851475087E-2</v>
      </c>
      <c r="L13" s="14">
        <f>SUM(L6:L12)</f>
        <v>1.0000000000000002</v>
      </c>
    </row>
    <row r="15" spans="1:12" x14ac:dyDescent="0.2">
      <c r="B15" s="195" t="s">
        <v>218</v>
      </c>
      <c r="C15" s="195"/>
      <c r="D15" s="195"/>
      <c r="E15" s="195"/>
      <c r="F15" s="195"/>
      <c r="G15" s="195"/>
      <c r="H15" s="195"/>
      <c r="I15" s="195"/>
      <c r="J15" s="195"/>
      <c r="K15" s="195"/>
      <c r="L15" s="195"/>
    </row>
    <row r="16" spans="1:12" x14ac:dyDescent="0.2">
      <c r="B16" s="38" t="s">
        <v>219</v>
      </c>
      <c r="C16" s="38" t="s">
        <v>220</v>
      </c>
      <c r="D16" s="38" t="s">
        <v>87</v>
      </c>
      <c r="E16" s="38" t="s">
        <v>88</v>
      </c>
      <c r="F16" s="38" t="s">
        <v>89</v>
      </c>
      <c r="G16" s="38" t="s">
        <v>90</v>
      </c>
      <c r="H16" s="38" t="s">
        <v>91</v>
      </c>
      <c r="I16" s="38" t="s">
        <v>92</v>
      </c>
      <c r="J16" s="38" t="s">
        <v>139</v>
      </c>
      <c r="K16" s="38" t="s">
        <v>94</v>
      </c>
      <c r="L16" s="38" t="s">
        <v>221</v>
      </c>
    </row>
    <row r="17" spans="2:12" x14ac:dyDescent="0.2">
      <c r="B17" s="38" t="s">
        <v>40</v>
      </c>
      <c r="C17" s="14">
        <f t="shared" ref="C17:K17" si="8">C28</f>
        <v>0.1204476093591048</v>
      </c>
      <c r="D17" s="14">
        <f t="shared" si="8"/>
        <v>7.2634791454730424E-2</v>
      </c>
      <c r="E17" s="14">
        <f t="shared" si="8"/>
        <v>9.4811800610376418E-2</v>
      </c>
      <c r="F17" s="14">
        <f t="shared" si="8"/>
        <v>1.7497456765005092E-2</v>
      </c>
      <c r="G17" s="14">
        <f t="shared" si="8"/>
        <v>8.1383519837232975E-3</v>
      </c>
      <c r="H17" s="14">
        <f t="shared" si="8"/>
        <v>8.3418107833163793E-2</v>
      </c>
      <c r="I17" s="14">
        <f t="shared" si="8"/>
        <v>1.0172939979654122E-3</v>
      </c>
      <c r="J17" s="14">
        <f t="shared" si="8"/>
        <v>3.0518819938962364E-3</v>
      </c>
      <c r="K17" s="14">
        <f t="shared" si="8"/>
        <v>3.8657171922685659E-3</v>
      </c>
      <c r="L17" s="14">
        <f>SUM(C17:K17)</f>
        <v>0.40488301119023401</v>
      </c>
    </row>
    <row r="18" spans="2:12" x14ac:dyDescent="0.2">
      <c r="B18" s="38" t="s">
        <v>149</v>
      </c>
      <c r="C18" s="14">
        <f t="shared" ref="C18:J21" si="9">C29</f>
        <v>9.3591047812817928E-3</v>
      </c>
      <c r="D18" s="14">
        <f t="shared" si="9"/>
        <v>2.8280773143438458E-2</v>
      </c>
      <c r="E18" s="14">
        <f t="shared" si="9"/>
        <v>1.6480162767039678E-2</v>
      </c>
      <c r="F18" s="14">
        <f t="shared" si="9"/>
        <v>3.0722278738555445E-2</v>
      </c>
      <c r="G18" s="14">
        <f t="shared" si="9"/>
        <v>6.9582909460834189E-2</v>
      </c>
      <c r="H18" s="14">
        <f t="shared" si="9"/>
        <v>0</v>
      </c>
      <c r="I18" s="14">
        <f t="shared" si="9"/>
        <v>2.0345879959308245E-2</v>
      </c>
      <c r="J18" s="14">
        <f t="shared" si="9"/>
        <v>1.50559511698881E-2</v>
      </c>
      <c r="K18" s="14">
        <f>K29</f>
        <v>1.424211597151577E-2</v>
      </c>
      <c r="L18" s="14">
        <f t="shared" ref="L18:L23" si="10">SUM(C18:K18)</f>
        <v>0.2040691759918617</v>
      </c>
    </row>
    <row r="19" spans="2:12" x14ac:dyDescent="0.2">
      <c r="B19" s="38" t="s">
        <v>147</v>
      </c>
      <c r="C19" s="14">
        <f t="shared" si="9"/>
        <v>3.4587995930824011E-3</v>
      </c>
      <c r="D19" s="14">
        <f t="shared" si="9"/>
        <v>6.7141403865717203E-3</v>
      </c>
      <c r="E19" s="14">
        <f t="shared" si="9"/>
        <v>1.9125127161749748E-2</v>
      </c>
      <c r="F19" s="14">
        <f t="shared" si="9"/>
        <v>1.424211597151577E-3</v>
      </c>
      <c r="G19" s="14">
        <f t="shared" si="9"/>
        <v>3.0518819938962364E-3</v>
      </c>
      <c r="H19" s="14">
        <f t="shared" si="9"/>
        <v>0</v>
      </c>
      <c r="I19" s="14">
        <f t="shared" si="9"/>
        <v>1.2410986775178028E-2</v>
      </c>
      <c r="J19" s="14">
        <f t="shared" si="9"/>
        <v>3.5808748728382508E-2</v>
      </c>
      <c r="K19" s="14">
        <f>K30</f>
        <v>6.3072227873855555E-3</v>
      </c>
      <c r="L19" s="14">
        <f t="shared" si="10"/>
        <v>8.8301119023397781E-2</v>
      </c>
    </row>
    <row r="20" spans="2:12" x14ac:dyDescent="0.2">
      <c r="B20" s="38" t="s">
        <v>42</v>
      </c>
      <c r="C20" s="14">
        <f t="shared" si="9"/>
        <v>5.6968463886063079E-3</v>
      </c>
      <c r="D20" s="14">
        <f t="shared" si="9"/>
        <v>3.4587995930824011E-3</v>
      </c>
      <c r="E20" s="14">
        <f t="shared" si="9"/>
        <v>9.9694811800610395E-3</v>
      </c>
      <c r="F20" s="14">
        <f t="shared" si="9"/>
        <v>3.4587995930824011E-3</v>
      </c>
      <c r="G20" s="14">
        <f t="shared" si="9"/>
        <v>2.6449643947100716E-3</v>
      </c>
      <c r="H20" s="14">
        <f t="shared" si="9"/>
        <v>2.0345879959308242E-4</v>
      </c>
      <c r="I20" s="14">
        <f t="shared" si="9"/>
        <v>6.5106815869786375E-3</v>
      </c>
      <c r="J20" s="14">
        <f t="shared" si="9"/>
        <v>2.5635808748728384E-2</v>
      </c>
      <c r="K20" s="14">
        <f>K31</f>
        <v>4.0691759918616488E-3</v>
      </c>
      <c r="L20" s="14">
        <f t="shared" si="10"/>
        <v>6.1648016276703972E-2</v>
      </c>
    </row>
    <row r="21" spans="2:12" x14ac:dyDescent="0.2">
      <c r="B21" s="38" t="s">
        <v>44</v>
      </c>
      <c r="C21" s="14">
        <f t="shared" si="9"/>
        <v>1.0783316378433369E-2</v>
      </c>
      <c r="D21" s="14">
        <f t="shared" si="9"/>
        <v>8.1383519837232969E-4</v>
      </c>
      <c r="E21" s="14">
        <f t="shared" si="9"/>
        <v>1.0783316378433369E-2</v>
      </c>
      <c r="F21" s="14">
        <f t="shared" si="9"/>
        <v>4.0691759918616484E-4</v>
      </c>
      <c r="G21" s="14">
        <f t="shared" si="9"/>
        <v>2.848423194303154E-3</v>
      </c>
      <c r="H21" s="14">
        <f t="shared" si="9"/>
        <v>2.0345879959308242E-4</v>
      </c>
      <c r="I21" s="14">
        <f t="shared" si="9"/>
        <v>0</v>
      </c>
      <c r="J21" s="14">
        <f t="shared" si="9"/>
        <v>2.2380467955239068E-3</v>
      </c>
      <c r="K21" s="14">
        <f>K32</f>
        <v>3.8657171922685659E-3</v>
      </c>
      <c r="L21" s="14">
        <f t="shared" si="10"/>
        <v>3.1943031536113942E-2</v>
      </c>
    </row>
    <row r="22" spans="2:12" x14ac:dyDescent="0.2">
      <c r="B22" s="38" t="s">
        <v>43</v>
      </c>
      <c r="C22" s="14">
        <f>C33+C34</f>
        <v>4.7483525739119344E-3</v>
      </c>
      <c r="D22" s="14">
        <f t="shared" ref="D22:J22" si="11">D33+D34</f>
        <v>5.8763033596064699E-3</v>
      </c>
      <c r="E22" s="14">
        <f t="shared" si="11"/>
        <v>2.744175620083928E-2</v>
      </c>
      <c r="F22" s="14">
        <f t="shared" si="11"/>
        <v>6.1497747187349329E-3</v>
      </c>
      <c r="G22" s="14">
        <f t="shared" si="11"/>
        <v>5.2576741053641414E-3</v>
      </c>
      <c r="H22" s="14">
        <f t="shared" si="11"/>
        <v>2.0345879959308242E-4</v>
      </c>
      <c r="I22" s="14">
        <f t="shared" si="11"/>
        <v>2.2567757734895954E-2</v>
      </c>
      <c r="J22" s="14">
        <f t="shared" si="11"/>
        <v>1.167853509664293E-2</v>
      </c>
      <c r="K22" s="14">
        <f>K33+K34</f>
        <v>1.7273652085452697E-2</v>
      </c>
      <c r="L22" s="14">
        <f t="shared" si="10"/>
        <v>0.10119726467504142</v>
      </c>
    </row>
    <row r="23" spans="2:12" x14ac:dyDescent="0.2">
      <c r="B23" s="38" t="s">
        <v>45</v>
      </c>
      <c r="C23" s="14">
        <f>C35</f>
        <v>2.007362097644412E-2</v>
      </c>
      <c r="D23" s="14">
        <f t="shared" ref="D23:K23" si="12">D35</f>
        <v>1.0603859407433205E-2</v>
      </c>
      <c r="E23" s="14">
        <f t="shared" si="12"/>
        <v>1.8539932507197345E-2</v>
      </c>
      <c r="F23" s="14">
        <f t="shared" si="12"/>
        <v>1.1747420666160333E-3</v>
      </c>
      <c r="G23" s="14">
        <f t="shared" si="12"/>
        <v>4.1014306759176496E-3</v>
      </c>
      <c r="H23" s="14">
        <f t="shared" si="12"/>
        <v>2.0345879959308239E-4</v>
      </c>
      <c r="I23" s="14">
        <f t="shared" si="12"/>
        <v>1.4665202590638127E-2</v>
      </c>
      <c r="J23" s="14">
        <f t="shared" si="12"/>
        <v>1.3957273652085454E-2</v>
      </c>
      <c r="K23" s="14">
        <f t="shared" si="12"/>
        <v>2.4638860630722278E-2</v>
      </c>
      <c r="L23" s="14">
        <f t="shared" si="10"/>
        <v>0.1079583813066473</v>
      </c>
    </row>
    <row r="24" spans="2:12" x14ac:dyDescent="0.2">
      <c r="B24" s="38" t="s">
        <v>221</v>
      </c>
      <c r="C24" s="14">
        <f>SUM(C17:C23)</f>
        <v>0.17456765005086472</v>
      </c>
      <c r="D24" s="14">
        <f t="shared" ref="D24:K24" si="13">SUM(D17:D23)</f>
        <v>0.12838250254323502</v>
      </c>
      <c r="E24" s="14">
        <f t="shared" si="13"/>
        <v>0.19715157680569687</v>
      </c>
      <c r="F24" s="14">
        <f t="shared" si="13"/>
        <v>6.0834181078331655E-2</v>
      </c>
      <c r="G24" s="14">
        <f t="shared" si="13"/>
        <v>9.5625635808748735E-2</v>
      </c>
      <c r="H24" s="14">
        <f t="shared" si="13"/>
        <v>8.4231943031536097E-2</v>
      </c>
      <c r="I24" s="14">
        <f t="shared" si="13"/>
        <v>7.7517802644964398E-2</v>
      </c>
      <c r="J24" s="14">
        <f t="shared" si="13"/>
        <v>0.10742624618514751</v>
      </c>
      <c r="K24" s="14">
        <f t="shared" si="13"/>
        <v>7.4262461851475087E-2</v>
      </c>
      <c r="L24" s="14">
        <f>SUM(L17:L23)</f>
        <v>1.0000000000000002</v>
      </c>
    </row>
    <row r="25" spans="2:12" x14ac:dyDescent="0.2">
      <c r="B25" s="38"/>
      <c r="C25" s="14"/>
      <c r="D25" s="14"/>
      <c r="E25" s="14"/>
      <c r="F25" s="14"/>
      <c r="G25" s="14"/>
      <c r="H25" s="14"/>
      <c r="I25" s="14"/>
      <c r="J25" s="14"/>
      <c r="K25" s="14"/>
    </row>
    <row r="26" spans="2:12" x14ac:dyDescent="0.2">
      <c r="B26" s="195" t="s">
        <v>222</v>
      </c>
      <c r="C26" s="195"/>
      <c r="D26" s="195"/>
      <c r="E26" s="195"/>
      <c r="F26" s="195"/>
      <c r="G26" s="195"/>
      <c r="H26" s="195"/>
      <c r="I26" s="195"/>
      <c r="J26" s="195"/>
      <c r="K26" s="195"/>
      <c r="L26" s="195"/>
    </row>
    <row r="27" spans="2:12" x14ac:dyDescent="0.2">
      <c r="B27" s="38" t="s">
        <v>219</v>
      </c>
      <c r="C27" s="38" t="s">
        <v>220</v>
      </c>
      <c r="D27" s="38" t="s">
        <v>87</v>
      </c>
      <c r="E27" s="38" t="s">
        <v>88</v>
      </c>
      <c r="F27" s="38" t="s">
        <v>89</v>
      </c>
      <c r="G27" s="38" t="s">
        <v>90</v>
      </c>
      <c r="H27" s="38" t="s">
        <v>91</v>
      </c>
      <c r="I27" s="38" t="s">
        <v>92</v>
      </c>
      <c r="J27" s="38" t="s">
        <v>139</v>
      </c>
      <c r="K27" s="38" t="s">
        <v>94</v>
      </c>
      <c r="L27" s="38" t="s">
        <v>221</v>
      </c>
    </row>
    <row r="28" spans="2:12" x14ac:dyDescent="0.2">
      <c r="B28" s="38" t="s">
        <v>40</v>
      </c>
      <c r="C28" s="14">
        <f>C45/SUM($C$45:$P$51)</f>
        <v>0.1204476093591048</v>
      </c>
      <c r="D28" s="14">
        <f>D45/SUM($C$45:$P$51)</f>
        <v>7.2634791454730424E-2</v>
      </c>
      <c r="E28" s="14">
        <f>E45/SUM($C$45:$P$51)</f>
        <v>9.4811800610376418E-2</v>
      </c>
      <c r="F28" s="14">
        <f>(F45+G45)/SUM($C$45:$P$51)</f>
        <v>1.7497456765005092E-2</v>
      </c>
      <c r="G28" s="14">
        <f t="shared" ref="G28:H32" si="14">H45/SUM($C$45:$P$51)</f>
        <v>8.1383519837232975E-3</v>
      </c>
      <c r="H28" s="14">
        <f t="shared" si="14"/>
        <v>8.3418107833163793E-2</v>
      </c>
      <c r="I28" s="14">
        <f>O45/SUM($C$45:$P$51)</f>
        <v>1.0172939979654122E-3</v>
      </c>
      <c r="J28" s="14">
        <f>(J45+K45+L45+M45+N45)/SUM($C$45:$P$51)</f>
        <v>3.0518819938962364E-3</v>
      </c>
      <c r="K28" s="14">
        <f>P45/SUM($C$45:$P$51)</f>
        <v>3.8657171922685659E-3</v>
      </c>
      <c r="L28" s="14">
        <f>SUM(C28:K28)</f>
        <v>0.40488301119023401</v>
      </c>
    </row>
    <row r="29" spans="2:12" x14ac:dyDescent="0.2">
      <c r="B29" s="38" t="s">
        <v>149</v>
      </c>
      <c r="C29" s="14">
        <f t="shared" ref="C29:E32" si="15">C46/SUM($C$45:$P$51)</f>
        <v>9.3591047812817928E-3</v>
      </c>
      <c r="D29" s="14">
        <f t="shared" si="15"/>
        <v>2.8280773143438458E-2</v>
      </c>
      <c r="E29" s="14">
        <f t="shared" si="15"/>
        <v>1.6480162767039678E-2</v>
      </c>
      <c r="F29" s="14">
        <f>(F46+G46)/SUM($C$45:$P$51)</f>
        <v>3.0722278738555445E-2</v>
      </c>
      <c r="G29" s="14">
        <f t="shared" si="14"/>
        <v>6.9582909460834189E-2</v>
      </c>
      <c r="H29" s="14">
        <f t="shared" si="14"/>
        <v>0</v>
      </c>
      <c r="I29" s="14">
        <f>O46/SUM($C$45:$P$51)</f>
        <v>2.0345879959308245E-2</v>
      </c>
      <c r="J29" s="14">
        <f>(J46+K46+L46+M46+N46)/SUM($C$45:$P$51)</f>
        <v>1.50559511698881E-2</v>
      </c>
      <c r="K29" s="14">
        <f>P46/SUM($C$45:$P$51)</f>
        <v>1.424211597151577E-2</v>
      </c>
      <c r="L29" s="14">
        <f t="shared" ref="L29:L35" si="16">SUM(C29:K29)</f>
        <v>0.2040691759918617</v>
      </c>
    </row>
    <row r="30" spans="2:12" x14ac:dyDescent="0.2">
      <c r="B30" s="38" t="s">
        <v>147</v>
      </c>
      <c r="C30" s="14">
        <f t="shared" si="15"/>
        <v>3.4587995930824011E-3</v>
      </c>
      <c r="D30" s="14">
        <f t="shared" si="15"/>
        <v>6.7141403865717203E-3</v>
      </c>
      <c r="E30" s="14">
        <f t="shared" si="15"/>
        <v>1.9125127161749748E-2</v>
      </c>
      <c r="F30" s="14">
        <f>(F47+G47)/SUM($C$45:$P$51)</f>
        <v>1.424211597151577E-3</v>
      </c>
      <c r="G30" s="14">
        <f t="shared" si="14"/>
        <v>3.0518819938962364E-3</v>
      </c>
      <c r="H30" s="14">
        <f t="shared" si="14"/>
        <v>0</v>
      </c>
      <c r="I30" s="14">
        <f>O47/SUM($C$45:$P$51)</f>
        <v>1.2410986775178028E-2</v>
      </c>
      <c r="J30" s="14">
        <f>(J47+K47+L47+M47+N47)/SUM($C$45:$P$51)</f>
        <v>3.5808748728382508E-2</v>
      </c>
      <c r="K30" s="14">
        <f>P47/SUM($C$45:$P$51)</f>
        <v>6.3072227873855555E-3</v>
      </c>
      <c r="L30" s="14">
        <f t="shared" si="16"/>
        <v>8.8301119023397781E-2</v>
      </c>
    </row>
    <row r="31" spans="2:12" x14ac:dyDescent="0.2">
      <c r="B31" s="38" t="s">
        <v>42</v>
      </c>
      <c r="C31" s="14">
        <f t="shared" si="15"/>
        <v>5.6968463886063079E-3</v>
      </c>
      <c r="D31" s="14">
        <f t="shared" si="15"/>
        <v>3.4587995930824011E-3</v>
      </c>
      <c r="E31" s="14">
        <f t="shared" si="15"/>
        <v>9.9694811800610395E-3</v>
      </c>
      <c r="F31" s="14">
        <f>(F48+G48)/SUM($C$45:$P$51)</f>
        <v>3.4587995930824011E-3</v>
      </c>
      <c r="G31" s="14">
        <f t="shared" si="14"/>
        <v>2.6449643947100716E-3</v>
      </c>
      <c r="H31" s="14">
        <f t="shared" si="14"/>
        <v>2.0345879959308242E-4</v>
      </c>
      <c r="I31" s="14">
        <f>O48/SUM($C$45:$P$51)</f>
        <v>6.5106815869786375E-3</v>
      </c>
      <c r="J31" s="14">
        <f>(J48+K48+L48+M48+N48)/SUM($C$45:$P$51)</f>
        <v>2.5635808748728384E-2</v>
      </c>
      <c r="K31" s="14">
        <f>P48/SUM($C$45:$P$51)</f>
        <v>4.0691759918616488E-3</v>
      </c>
      <c r="L31" s="14">
        <f t="shared" si="16"/>
        <v>6.1648016276703972E-2</v>
      </c>
    </row>
    <row r="32" spans="2:12" x14ac:dyDescent="0.2">
      <c r="B32" s="38" t="s">
        <v>44</v>
      </c>
      <c r="C32" s="14">
        <f t="shared" si="15"/>
        <v>1.0783316378433369E-2</v>
      </c>
      <c r="D32" s="14">
        <f t="shared" si="15"/>
        <v>8.1383519837232969E-4</v>
      </c>
      <c r="E32" s="14">
        <f t="shared" si="15"/>
        <v>1.0783316378433369E-2</v>
      </c>
      <c r="F32" s="14">
        <f>(F49+G49)/SUM($C$45:$P$51)</f>
        <v>4.0691759918616484E-4</v>
      </c>
      <c r="G32" s="14">
        <f t="shared" si="14"/>
        <v>2.848423194303154E-3</v>
      </c>
      <c r="H32" s="14">
        <f t="shared" si="14"/>
        <v>2.0345879959308242E-4</v>
      </c>
      <c r="I32" s="14">
        <f>O49/SUM($C$45:$P$51)</f>
        <v>0</v>
      </c>
      <c r="J32" s="14">
        <f>(J49+K49+L49+M49+N49)/SUM($C$45:$P$51)</f>
        <v>2.2380467955239068E-3</v>
      </c>
      <c r="K32" s="14">
        <f>P49/SUM($C$45:$P$51)</f>
        <v>3.8657171922685659E-3</v>
      </c>
      <c r="L32" s="14">
        <f t="shared" si="16"/>
        <v>3.1943031536113942E-2</v>
      </c>
    </row>
    <row r="33" spans="1:17" x14ac:dyDescent="0.2">
      <c r="B33" s="38" t="s">
        <v>223</v>
      </c>
      <c r="C33" s="14">
        <f>C37*[1]NAFTA!C90/([1]NAFTA!C90+[1]NAFTA!C93)</f>
        <v>3.5275997763534396E-3</v>
      </c>
      <c r="D33" s="14">
        <f>D37*[1]NAFTA!D90/([1]NAFTA!D90+[1]NAFTA!D93)</f>
        <v>7.8983336977940901E-4</v>
      </c>
      <c r="E33" s="14">
        <f>E37*[1]NAFTA!E90/([1]NAFTA!E90+[1]NAFTA!E93)</f>
        <v>1.1571969832578851E-2</v>
      </c>
      <c r="F33" s="14">
        <f>F37*[1]NAFTA!F90/([1]NAFTA!F90+[1]NAFTA!F93)</f>
        <v>2.8944339252456146E-3</v>
      </c>
      <c r="G33" s="14">
        <f>G37*[1]NAFTA!G90/([1]NAFTA!G90+[1]NAFTA!G93)</f>
        <v>1.3919569130955757E-3</v>
      </c>
      <c r="H33" s="14">
        <v>0</v>
      </c>
      <c r="I33" s="14">
        <f>I37*[1]NAFTA!I90/([1]NAFTA!I90+[1]NAFTA!I93)</f>
        <v>2.1753922536523623E-2</v>
      </c>
      <c r="J33" s="14">
        <f>J37*30%</f>
        <v>5.9816887080366221E-3</v>
      </c>
      <c r="K33" s="14">
        <f>K37*30%</f>
        <v>1.0559511698880976E-2</v>
      </c>
      <c r="L33" s="14">
        <f t="shared" si="16"/>
        <v>5.8470916760494103E-2</v>
      </c>
    </row>
    <row r="34" spans="1:17" x14ac:dyDescent="0.2">
      <c r="B34" s="38" t="s">
        <v>53</v>
      </c>
      <c r="C34" s="14">
        <f>C50/SUM($C$45:$P$51)</f>
        <v>1.2207527975584946E-3</v>
      </c>
      <c r="D34" s="14">
        <f>D50/SUM($C$45:$P$51)</f>
        <v>5.0864699898270612E-3</v>
      </c>
      <c r="E34" s="14">
        <f>E50/SUM($C$45:$P$51)</f>
        <v>1.5869786368260429E-2</v>
      </c>
      <c r="F34" s="14">
        <f>(F50+G50)/SUM($C$45:$P$51)</f>
        <v>3.2553407934893188E-3</v>
      </c>
      <c r="G34" s="14">
        <f>H50/SUM($C$45:$P$51)</f>
        <v>3.8657171922685659E-3</v>
      </c>
      <c r="H34" s="14">
        <f>I50/SUM($C$45:$P$51)</f>
        <v>2.0345879959308242E-4</v>
      </c>
      <c r="I34" s="14">
        <f>O50/SUM($C$45:$P$51)</f>
        <v>8.1383519837232969E-4</v>
      </c>
      <c r="J34" s="14">
        <f>(J50+K50+L50+M50+N50)/SUM($C$45:$P$51)</f>
        <v>5.6968463886063079E-3</v>
      </c>
      <c r="K34" s="14">
        <f>P50/SUM($C$45:$P$51)</f>
        <v>6.7141403865717203E-3</v>
      </c>
      <c r="L34" s="14">
        <f t="shared" si="16"/>
        <v>4.2726347914547311E-2</v>
      </c>
    </row>
    <row r="35" spans="1:17" x14ac:dyDescent="0.2">
      <c r="B35" s="38" t="s">
        <v>224</v>
      </c>
      <c r="C35" s="14">
        <f t="shared" ref="C35:K35" si="17">C37-C33</f>
        <v>2.007362097644412E-2</v>
      </c>
      <c r="D35" s="14">
        <f t="shared" si="17"/>
        <v>1.0603859407433205E-2</v>
      </c>
      <c r="E35" s="14">
        <f t="shared" si="17"/>
        <v>1.8539932507197345E-2</v>
      </c>
      <c r="F35" s="14">
        <f t="shared" si="17"/>
        <v>1.1747420666160333E-3</v>
      </c>
      <c r="G35" s="14">
        <f t="shared" si="17"/>
        <v>4.1014306759176496E-3</v>
      </c>
      <c r="H35" s="14">
        <f t="shared" si="17"/>
        <v>2.0345879959308239E-4</v>
      </c>
      <c r="I35" s="14">
        <f t="shared" si="17"/>
        <v>1.4665202590638127E-2</v>
      </c>
      <c r="J35" s="14">
        <f t="shared" si="17"/>
        <v>1.3957273652085454E-2</v>
      </c>
      <c r="K35" s="14">
        <f t="shared" si="17"/>
        <v>2.4638860630722278E-2</v>
      </c>
      <c r="L35" s="14">
        <f t="shared" si="16"/>
        <v>0.1079583813066473</v>
      </c>
    </row>
    <row r="36" spans="1:17" x14ac:dyDescent="0.2">
      <c r="B36" s="38" t="s">
        <v>221</v>
      </c>
      <c r="C36" s="14">
        <f>SUM(C28:C35)</f>
        <v>0.17456765005086472</v>
      </c>
      <c r="D36" s="14">
        <f t="shared" ref="D36:K36" si="18">SUM(D28:D35)</f>
        <v>0.12838250254323502</v>
      </c>
      <c r="E36" s="14">
        <f t="shared" si="18"/>
        <v>0.19715157680569687</v>
      </c>
      <c r="F36" s="14">
        <f t="shared" si="18"/>
        <v>6.0834181078331648E-2</v>
      </c>
      <c r="G36" s="14">
        <f t="shared" si="18"/>
        <v>9.5625635808748735E-2</v>
      </c>
      <c r="H36" s="14">
        <f t="shared" si="18"/>
        <v>8.4231943031536097E-2</v>
      </c>
      <c r="I36" s="14">
        <f t="shared" si="18"/>
        <v>7.7517802644964398E-2</v>
      </c>
      <c r="J36" s="14">
        <f t="shared" si="18"/>
        <v>0.10742624618514751</v>
      </c>
      <c r="K36" s="14">
        <f t="shared" si="18"/>
        <v>7.4262461851475087E-2</v>
      </c>
      <c r="L36" s="14">
        <f>SUM(L28:L35)</f>
        <v>1.0000000000000002</v>
      </c>
    </row>
    <row r="37" spans="1:17" x14ac:dyDescent="0.2">
      <c r="B37" s="38" t="s">
        <v>225</v>
      </c>
      <c r="C37" s="14">
        <f>C51</f>
        <v>2.360122075279756E-2</v>
      </c>
      <c r="D37" s="14">
        <f>D51</f>
        <v>1.1393692777212614E-2</v>
      </c>
      <c r="E37" s="14">
        <f>E51</f>
        <v>3.0111902339776196E-2</v>
      </c>
      <c r="F37" s="14">
        <f>F51+G51</f>
        <v>4.0691759918616479E-3</v>
      </c>
      <c r="G37" s="14">
        <f>H51</f>
        <v>5.4933875890132251E-3</v>
      </c>
      <c r="H37" s="14">
        <f>I51</f>
        <v>2.0345879959308239E-4</v>
      </c>
      <c r="I37" s="14">
        <f>O51</f>
        <v>3.641912512716175E-2</v>
      </c>
      <c r="J37" s="14">
        <f>SUM(J51:N51)</f>
        <v>1.9938962360122076E-2</v>
      </c>
      <c r="K37" s="14">
        <f>P51</f>
        <v>3.5198372329603253E-2</v>
      </c>
      <c r="L37" s="14">
        <f>SUM(C37:K37)</f>
        <v>0.16642929806714141</v>
      </c>
    </row>
    <row r="38" spans="1:17" x14ac:dyDescent="0.2"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</row>
    <row r="39" spans="1:17" x14ac:dyDescent="0.2"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</row>
    <row r="40" spans="1:17" x14ac:dyDescent="0.2">
      <c r="C40" s="14"/>
      <c r="D40" s="14"/>
      <c r="E40" s="14"/>
      <c r="F40" s="14"/>
      <c r="G40" s="14"/>
      <c r="H40" s="14"/>
      <c r="I40" s="14"/>
      <c r="J40" s="14"/>
      <c r="K40" s="14"/>
    </row>
    <row r="41" spans="1:17" ht="21" x14ac:dyDescent="0.2">
      <c r="A41" s="72" t="s">
        <v>226</v>
      </c>
    </row>
    <row r="43" spans="1:17" x14ac:dyDescent="0.2">
      <c r="B43" s="170" t="s">
        <v>227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</row>
    <row r="44" spans="1:17" x14ac:dyDescent="0.2">
      <c r="B44" s="38" t="s">
        <v>228</v>
      </c>
      <c r="C44" s="38" t="s">
        <v>229</v>
      </c>
      <c r="D44" s="38" t="s">
        <v>87</v>
      </c>
      <c r="E44" s="38" t="s">
        <v>88</v>
      </c>
      <c r="F44" s="38" t="s">
        <v>89</v>
      </c>
      <c r="G44" s="38" t="s">
        <v>230</v>
      </c>
      <c r="H44" s="38" t="s">
        <v>90</v>
      </c>
      <c r="I44" s="38" t="s">
        <v>91</v>
      </c>
      <c r="J44" s="38" t="s">
        <v>231</v>
      </c>
      <c r="K44" s="38" t="s">
        <v>169</v>
      </c>
      <c r="L44" s="38" t="s">
        <v>173</v>
      </c>
      <c r="M44" s="38" t="s">
        <v>171</v>
      </c>
      <c r="N44" s="38" t="s">
        <v>184</v>
      </c>
      <c r="O44" s="38" t="s">
        <v>92</v>
      </c>
      <c r="P44" s="38" t="s">
        <v>94</v>
      </c>
      <c r="Q44" s="38" t="s">
        <v>221</v>
      </c>
    </row>
    <row r="45" spans="1:17" x14ac:dyDescent="0.2">
      <c r="B45" s="38" t="s">
        <v>40</v>
      </c>
      <c r="C45" s="14">
        <f>C55</f>
        <v>0.12044760935910478</v>
      </c>
      <c r="D45" s="14">
        <f t="shared" ref="D45:P45" si="19">D55</f>
        <v>7.263479145473041E-2</v>
      </c>
      <c r="E45" s="14">
        <f t="shared" si="19"/>
        <v>9.4811800610376404E-2</v>
      </c>
      <c r="F45" s="14">
        <f t="shared" si="19"/>
        <v>1.180061037639878E-2</v>
      </c>
      <c r="G45" s="14">
        <f t="shared" si="19"/>
        <v>5.6968463886063071E-3</v>
      </c>
      <c r="H45" s="14">
        <f t="shared" si="19"/>
        <v>8.1383519837232958E-3</v>
      </c>
      <c r="I45" s="14">
        <f t="shared" si="19"/>
        <v>8.3418107833163779E-2</v>
      </c>
      <c r="J45" s="14">
        <f t="shared" si="19"/>
        <v>4.0691759918616479E-4</v>
      </c>
      <c r="K45" s="14">
        <f t="shared" si="19"/>
        <v>0</v>
      </c>
      <c r="L45" s="14">
        <f t="shared" si="19"/>
        <v>1.2207527975584944E-3</v>
      </c>
      <c r="M45" s="14">
        <f t="shared" si="19"/>
        <v>4.0691759918616479E-4</v>
      </c>
      <c r="N45" s="14">
        <f t="shared" si="19"/>
        <v>1.017293997965412E-3</v>
      </c>
      <c r="O45" s="14">
        <f t="shared" si="19"/>
        <v>1.017293997965412E-3</v>
      </c>
      <c r="P45" s="14">
        <f t="shared" si="19"/>
        <v>3.8657171922685655E-3</v>
      </c>
      <c r="Q45" s="14">
        <f>SUM(C45:P45)</f>
        <v>0.40488301119023401</v>
      </c>
    </row>
    <row r="46" spans="1:17" x14ac:dyDescent="0.2">
      <c r="B46" s="38" t="s">
        <v>149</v>
      </c>
      <c r="C46" s="14">
        <f t="shared" ref="C46:P51" si="20">C56</f>
        <v>9.359104781281791E-3</v>
      </c>
      <c r="D46" s="14">
        <f t="shared" si="20"/>
        <v>2.8280773143438454E-2</v>
      </c>
      <c r="E46" s="14">
        <f t="shared" si="20"/>
        <v>1.6480162767039674E-2</v>
      </c>
      <c r="F46" s="14">
        <f t="shared" si="20"/>
        <v>5.0864699898270603E-3</v>
      </c>
      <c r="G46" s="14">
        <f t="shared" si="20"/>
        <v>2.5635808748728381E-2</v>
      </c>
      <c r="H46" s="14">
        <f t="shared" si="20"/>
        <v>6.9582909460834175E-2</v>
      </c>
      <c r="I46" s="14">
        <f t="shared" si="20"/>
        <v>0</v>
      </c>
      <c r="J46" s="14">
        <f t="shared" si="20"/>
        <v>2.4415055951169887E-3</v>
      </c>
      <c r="K46" s="14">
        <f t="shared" si="20"/>
        <v>1.6276703967446592E-3</v>
      </c>
      <c r="L46" s="14">
        <f t="shared" si="20"/>
        <v>1.017293997965412E-3</v>
      </c>
      <c r="M46" s="14">
        <f t="shared" si="20"/>
        <v>3.2553407934893183E-3</v>
      </c>
      <c r="N46" s="14">
        <f t="shared" si="20"/>
        <v>6.7141403865717195E-3</v>
      </c>
      <c r="O46" s="14">
        <f t="shared" si="20"/>
        <v>2.0345879959308241E-2</v>
      </c>
      <c r="P46" s="14">
        <f t="shared" si="20"/>
        <v>1.4242115971515769E-2</v>
      </c>
      <c r="Q46" s="14">
        <f t="shared" ref="Q46:Q51" si="21">SUM(C46:P46)</f>
        <v>0.20406917599186164</v>
      </c>
    </row>
    <row r="47" spans="1:17" x14ac:dyDescent="0.2">
      <c r="B47" s="38" t="s">
        <v>232</v>
      </c>
      <c r="C47" s="14">
        <f t="shared" si="20"/>
        <v>3.4587995930824007E-3</v>
      </c>
      <c r="D47" s="14">
        <f t="shared" si="20"/>
        <v>6.7141403865717195E-3</v>
      </c>
      <c r="E47" s="14">
        <f t="shared" si="20"/>
        <v>1.9125127161749744E-2</v>
      </c>
      <c r="F47" s="14">
        <f t="shared" si="20"/>
        <v>1.2207527975584944E-3</v>
      </c>
      <c r="G47" s="14">
        <f t="shared" si="20"/>
        <v>2.0345879959308239E-4</v>
      </c>
      <c r="H47" s="14">
        <f t="shared" si="20"/>
        <v>3.0518819938962359E-3</v>
      </c>
      <c r="I47" s="14">
        <f t="shared" si="20"/>
        <v>0</v>
      </c>
      <c r="J47" s="14">
        <f t="shared" si="20"/>
        <v>5.2899287894201423E-3</v>
      </c>
      <c r="K47" s="14">
        <f t="shared" si="20"/>
        <v>1.017293997965412E-3</v>
      </c>
      <c r="L47" s="14">
        <f t="shared" si="20"/>
        <v>5.2899287894201423E-3</v>
      </c>
      <c r="M47" s="14">
        <f t="shared" si="20"/>
        <v>3.8657171922685655E-3</v>
      </c>
      <c r="N47" s="14">
        <f t="shared" si="20"/>
        <v>2.0345879959308241E-2</v>
      </c>
      <c r="O47" s="14">
        <f t="shared" si="20"/>
        <v>1.2410986775178027E-2</v>
      </c>
      <c r="P47" s="14">
        <f t="shared" si="20"/>
        <v>6.3072227873855547E-3</v>
      </c>
      <c r="Q47" s="14">
        <f t="shared" si="21"/>
        <v>8.8301119023397767E-2</v>
      </c>
    </row>
    <row r="48" spans="1:17" x14ac:dyDescent="0.2">
      <c r="B48" s="38" t="s">
        <v>42</v>
      </c>
      <c r="C48" s="14">
        <f t="shared" si="20"/>
        <v>5.6968463886063071E-3</v>
      </c>
      <c r="D48" s="14">
        <f t="shared" si="20"/>
        <v>3.4587995930824007E-3</v>
      </c>
      <c r="E48" s="14">
        <f t="shared" si="20"/>
        <v>9.9694811800610378E-3</v>
      </c>
      <c r="F48" s="14">
        <f t="shared" si="20"/>
        <v>3.4587995930824007E-3</v>
      </c>
      <c r="G48" s="14">
        <f t="shared" si="20"/>
        <v>0</v>
      </c>
      <c r="H48" s="14">
        <f t="shared" si="20"/>
        <v>2.6449643947100711E-3</v>
      </c>
      <c r="I48" s="14">
        <f t="shared" si="20"/>
        <v>2.0345879959308239E-4</v>
      </c>
      <c r="J48" s="14">
        <f t="shared" si="20"/>
        <v>4.6795523906408955E-3</v>
      </c>
      <c r="K48" s="14">
        <f t="shared" si="20"/>
        <v>2.0345879959308239E-4</v>
      </c>
      <c r="L48" s="14">
        <f t="shared" si="20"/>
        <v>4.4760935910478127E-3</v>
      </c>
      <c r="M48" s="14">
        <f t="shared" si="20"/>
        <v>3.8657171922685655E-3</v>
      </c>
      <c r="N48" s="14">
        <f t="shared" si="20"/>
        <v>1.2410986775178027E-2</v>
      </c>
      <c r="O48" s="14">
        <f t="shared" si="20"/>
        <v>6.5106815869786366E-3</v>
      </c>
      <c r="P48" s="14">
        <f t="shared" si="20"/>
        <v>4.0691759918616479E-3</v>
      </c>
      <c r="Q48" s="14">
        <f t="shared" si="21"/>
        <v>6.1648016276703965E-2</v>
      </c>
    </row>
    <row r="49" spans="2:17" x14ac:dyDescent="0.2">
      <c r="B49" s="38" t="s">
        <v>44</v>
      </c>
      <c r="C49" s="14">
        <f t="shared" si="20"/>
        <v>1.0783316378433367E-2</v>
      </c>
      <c r="D49" s="14">
        <f t="shared" si="20"/>
        <v>8.1383519837232958E-4</v>
      </c>
      <c r="E49" s="14">
        <f t="shared" si="20"/>
        <v>1.0783316378433367E-2</v>
      </c>
      <c r="F49" s="14">
        <f t="shared" si="20"/>
        <v>4.0691759918616479E-4</v>
      </c>
      <c r="G49" s="14">
        <f t="shared" si="20"/>
        <v>0</v>
      </c>
      <c r="H49" s="14">
        <f t="shared" si="20"/>
        <v>2.8484231943031535E-3</v>
      </c>
      <c r="I49" s="14">
        <f t="shared" si="20"/>
        <v>2.0345879959308239E-4</v>
      </c>
      <c r="J49" s="14">
        <f t="shared" si="20"/>
        <v>0</v>
      </c>
      <c r="K49" s="14">
        <f t="shared" si="20"/>
        <v>0</v>
      </c>
      <c r="L49" s="14">
        <f t="shared" si="20"/>
        <v>0</v>
      </c>
      <c r="M49" s="14">
        <f t="shared" si="20"/>
        <v>2.0345879959308239E-4</v>
      </c>
      <c r="N49" s="14">
        <f t="shared" si="20"/>
        <v>2.0345879959308239E-3</v>
      </c>
      <c r="O49" s="14">
        <f t="shared" si="20"/>
        <v>0</v>
      </c>
      <c r="P49" s="14">
        <f t="shared" si="20"/>
        <v>3.8657171922685655E-3</v>
      </c>
      <c r="Q49" s="14">
        <f t="shared" si="21"/>
        <v>3.1943031536113935E-2</v>
      </c>
    </row>
    <row r="50" spans="2:17" x14ac:dyDescent="0.2">
      <c r="B50" s="38" t="s">
        <v>43</v>
      </c>
      <c r="C50" s="14">
        <f t="shared" si="20"/>
        <v>1.2207527975584944E-3</v>
      </c>
      <c r="D50" s="14">
        <f t="shared" si="20"/>
        <v>5.0864699898270603E-3</v>
      </c>
      <c r="E50" s="14">
        <f t="shared" si="20"/>
        <v>1.5869786368260426E-2</v>
      </c>
      <c r="F50" s="14">
        <f t="shared" si="20"/>
        <v>3.0518819938962359E-3</v>
      </c>
      <c r="G50" s="14">
        <f t="shared" si="20"/>
        <v>2.0345879959308239E-4</v>
      </c>
      <c r="H50" s="14">
        <f t="shared" si="20"/>
        <v>3.8657171922685655E-3</v>
      </c>
      <c r="I50" s="14">
        <f t="shared" si="20"/>
        <v>2.0345879959308239E-4</v>
      </c>
      <c r="J50" s="14">
        <f t="shared" si="20"/>
        <v>2.4415055951169887E-3</v>
      </c>
      <c r="K50" s="14">
        <f t="shared" si="20"/>
        <v>4.0691759918616479E-4</v>
      </c>
      <c r="L50" s="14">
        <f t="shared" si="20"/>
        <v>4.0691759918616479E-4</v>
      </c>
      <c r="M50" s="14">
        <f t="shared" si="20"/>
        <v>6.1037639877924718E-4</v>
      </c>
      <c r="N50" s="14">
        <f t="shared" si="20"/>
        <v>1.8311291963377416E-3</v>
      </c>
      <c r="O50" s="14">
        <f t="shared" si="20"/>
        <v>8.1383519837232958E-4</v>
      </c>
      <c r="P50" s="14">
        <f t="shared" si="20"/>
        <v>6.7141403865717195E-3</v>
      </c>
      <c r="Q50" s="14">
        <f t="shared" si="21"/>
        <v>4.2726347914547304E-2</v>
      </c>
    </row>
    <row r="51" spans="2:17" x14ac:dyDescent="0.2">
      <c r="B51" s="38" t="s">
        <v>45</v>
      </c>
      <c r="C51" s="14">
        <f t="shared" si="20"/>
        <v>2.360122075279756E-2</v>
      </c>
      <c r="D51" s="14">
        <f t="shared" si="20"/>
        <v>1.1393692777212614E-2</v>
      </c>
      <c r="E51" s="14">
        <f t="shared" si="20"/>
        <v>3.0111902339776196E-2</v>
      </c>
      <c r="F51" s="14">
        <f t="shared" si="20"/>
        <v>4.0691759918616479E-3</v>
      </c>
      <c r="G51" s="14">
        <f t="shared" si="20"/>
        <v>0</v>
      </c>
      <c r="H51" s="14">
        <f t="shared" si="20"/>
        <v>5.4933875890132251E-3</v>
      </c>
      <c r="I51" s="14">
        <f t="shared" si="20"/>
        <v>2.0345879959308239E-4</v>
      </c>
      <c r="J51" s="14">
        <f t="shared" si="20"/>
        <v>1.6276703967446592E-3</v>
      </c>
      <c r="K51" s="14">
        <f t="shared" si="20"/>
        <v>1.8311291963377416E-3</v>
      </c>
      <c r="L51" s="14">
        <f t="shared" si="20"/>
        <v>4.8830111902339775E-3</v>
      </c>
      <c r="M51" s="14">
        <f t="shared" si="20"/>
        <v>2.8484231943031535E-3</v>
      </c>
      <c r="N51" s="14">
        <f t="shared" si="20"/>
        <v>8.7487283825025425E-3</v>
      </c>
      <c r="O51" s="14">
        <f t="shared" si="20"/>
        <v>3.641912512716175E-2</v>
      </c>
      <c r="P51" s="14">
        <f t="shared" si="20"/>
        <v>3.5198372329603253E-2</v>
      </c>
      <c r="Q51" s="14">
        <f t="shared" si="21"/>
        <v>0.16642929806714141</v>
      </c>
    </row>
    <row r="52" spans="2:17" x14ac:dyDescent="0.2">
      <c r="B52" s="38" t="s">
        <v>221</v>
      </c>
      <c r="C52" s="14">
        <f>SUM(C45:C51)</f>
        <v>0.17456765005086469</v>
      </c>
      <c r="D52" s="14">
        <f t="shared" ref="D52:P52" si="22">SUM(D45:D51)</f>
        <v>0.12838250254323499</v>
      </c>
      <c r="E52" s="14">
        <f t="shared" si="22"/>
        <v>0.19715157680569684</v>
      </c>
      <c r="F52" s="14">
        <f t="shared" si="22"/>
        <v>2.9094608341810782E-2</v>
      </c>
      <c r="G52" s="14">
        <f t="shared" si="22"/>
        <v>3.1739572736520852E-2</v>
      </c>
      <c r="H52" s="14">
        <f t="shared" si="22"/>
        <v>9.5625635808748735E-2</v>
      </c>
      <c r="I52" s="14">
        <f t="shared" si="22"/>
        <v>8.4231943031536083E-2</v>
      </c>
      <c r="J52" s="14">
        <f t="shared" si="22"/>
        <v>1.688708036622584E-2</v>
      </c>
      <c r="K52" s="14">
        <f t="shared" si="22"/>
        <v>5.0864699898270603E-3</v>
      </c>
      <c r="L52" s="14">
        <f t="shared" si="22"/>
        <v>1.7293997965412006E-2</v>
      </c>
      <c r="M52" s="14">
        <f t="shared" si="22"/>
        <v>1.5055951169888098E-2</v>
      </c>
      <c r="N52" s="14">
        <f t="shared" si="22"/>
        <v>5.31027466937945E-2</v>
      </c>
      <c r="O52" s="14">
        <f t="shared" si="22"/>
        <v>7.7517802644964398E-2</v>
      </c>
      <c r="P52" s="14">
        <f t="shared" si="22"/>
        <v>7.4262461851475073E-2</v>
      </c>
      <c r="Q52" s="14">
        <f>SUM(Q45:Q51)</f>
        <v>1</v>
      </c>
    </row>
    <row r="53" spans="2:17" x14ac:dyDescent="0.2">
      <c r="B53" s="170" t="s">
        <v>218</v>
      </c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</row>
    <row r="54" spans="2:17" x14ac:dyDescent="0.2">
      <c r="B54" s="38" t="s">
        <v>228</v>
      </c>
      <c r="C54" s="38" t="s">
        <v>229</v>
      </c>
      <c r="D54" s="38" t="s">
        <v>87</v>
      </c>
      <c r="E54" s="38" t="s">
        <v>88</v>
      </c>
      <c r="F54" s="38" t="s">
        <v>89</v>
      </c>
      <c r="G54" s="38" t="s">
        <v>230</v>
      </c>
      <c r="H54" s="38" t="s">
        <v>90</v>
      </c>
      <c r="I54" s="38" t="s">
        <v>91</v>
      </c>
      <c r="J54" s="38" t="s">
        <v>231</v>
      </c>
      <c r="K54" s="38" t="s">
        <v>169</v>
      </c>
      <c r="L54" s="38" t="s">
        <v>173</v>
      </c>
      <c r="M54" s="38" t="s">
        <v>171</v>
      </c>
      <c r="N54" s="38" t="s">
        <v>184</v>
      </c>
      <c r="O54" s="38" t="s">
        <v>92</v>
      </c>
      <c r="P54" s="38" t="s">
        <v>233</v>
      </c>
      <c r="Q54" s="38" t="s">
        <v>221</v>
      </c>
    </row>
    <row r="55" spans="2:17" x14ac:dyDescent="0.2">
      <c r="B55" s="38" t="s">
        <v>40</v>
      </c>
      <c r="C55" s="14">
        <f>C65/SUM($C$65:$P$71)</f>
        <v>0.12044760935910478</v>
      </c>
      <c r="D55" s="14">
        <f t="shared" ref="D55:P55" si="23">D65/SUM($C$65:$P$71)</f>
        <v>7.263479145473041E-2</v>
      </c>
      <c r="E55" s="14">
        <f t="shared" si="23"/>
        <v>9.4811800610376404E-2</v>
      </c>
      <c r="F55" s="14">
        <f t="shared" si="23"/>
        <v>1.180061037639878E-2</v>
      </c>
      <c r="G55" s="14">
        <f t="shared" si="23"/>
        <v>5.6968463886063071E-3</v>
      </c>
      <c r="H55" s="14">
        <f t="shared" si="23"/>
        <v>8.1383519837232958E-3</v>
      </c>
      <c r="I55" s="14">
        <f t="shared" si="23"/>
        <v>8.3418107833163779E-2</v>
      </c>
      <c r="J55" s="14">
        <f t="shared" si="23"/>
        <v>4.0691759918616479E-4</v>
      </c>
      <c r="K55" s="14">
        <f t="shared" si="23"/>
        <v>0</v>
      </c>
      <c r="L55" s="14">
        <f t="shared" si="23"/>
        <v>1.2207527975584944E-3</v>
      </c>
      <c r="M55" s="14">
        <f t="shared" si="23"/>
        <v>4.0691759918616479E-4</v>
      </c>
      <c r="N55" s="14">
        <f t="shared" si="23"/>
        <v>1.017293997965412E-3</v>
      </c>
      <c r="O55" s="14">
        <f t="shared" si="23"/>
        <v>1.017293997965412E-3</v>
      </c>
      <c r="P55" s="14">
        <f t="shared" si="23"/>
        <v>3.8657171922685655E-3</v>
      </c>
      <c r="Q55" s="14">
        <f>SUM(C55:P55)</f>
        <v>0.40488301119023401</v>
      </c>
    </row>
    <row r="56" spans="2:17" x14ac:dyDescent="0.2">
      <c r="B56" s="38" t="s">
        <v>149</v>
      </c>
      <c r="C56" s="14">
        <f t="shared" ref="C56:P61" si="24">C66/SUM($C$65:$P$71)</f>
        <v>9.359104781281791E-3</v>
      </c>
      <c r="D56" s="14">
        <f t="shared" si="24"/>
        <v>2.8280773143438454E-2</v>
      </c>
      <c r="E56" s="14">
        <f t="shared" si="24"/>
        <v>1.6480162767039674E-2</v>
      </c>
      <c r="F56" s="14">
        <f t="shared" si="24"/>
        <v>5.0864699898270603E-3</v>
      </c>
      <c r="G56" s="14">
        <f t="shared" si="24"/>
        <v>2.5635808748728381E-2</v>
      </c>
      <c r="H56" s="14">
        <f t="shared" si="24"/>
        <v>6.9582909460834175E-2</v>
      </c>
      <c r="I56" s="14">
        <f t="shared" si="24"/>
        <v>0</v>
      </c>
      <c r="J56" s="14">
        <f t="shared" si="24"/>
        <v>2.4415055951169887E-3</v>
      </c>
      <c r="K56" s="14">
        <f t="shared" si="24"/>
        <v>1.6276703967446592E-3</v>
      </c>
      <c r="L56" s="14">
        <f t="shared" si="24"/>
        <v>1.017293997965412E-3</v>
      </c>
      <c r="M56" s="14">
        <f t="shared" si="24"/>
        <v>3.2553407934893183E-3</v>
      </c>
      <c r="N56" s="14">
        <f t="shared" si="24"/>
        <v>6.7141403865717195E-3</v>
      </c>
      <c r="O56" s="14">
        <f t="shared" si="24"/>
        <v>2.0345879959308241E-2</v>
      </c>
      <c r="P56" s="14">
        <f t="shared" si="24"/>
        <v>1.4242115971515769E-2</v>
      </c>
      <c r="Q56" s="14">
        <f t="shared" ref="Q56:Q61" si="25">SUM(C56:P56)</f>
        <v>0.20406917599186164</v>
      </c>
    </row>
    <row r="57" spans="2:17" x14ac:dyDescent="0.2">
      <c r="B57" s="38" t="s">
        <v>232</v>
      </c>
      <c r="C57" s="14">
        <f t="shared" si="24"/>
        <v>3.4587995930824007E-3</v>
      </c>
      <c r="D57" s="14">
        <f t="shared" si="24"/>
        <v>6.7141403865717195E-3</v>
      </c>
      <c r="E57" s="14">
        <f t="shared" si="24"/>
        <v>1.9125127161749744E-2</v>
      </c>
      <c r="F57" s="14">
        <f t="shared" si="24"/>
        <v>1.2207527975584944E-3</v>
      </c>
      <c r="G57" s="14">
        <f t="shared" si="24"/>
        <v>2.0345879959308239E-4</v>
      </c>
      <c r="H57" s="14">
        <f t="shared" si="24"/>
        <v>3.0518819938962359E-3</v>
      </c>
      <c r="I57" s="14">
        <f t="shared" si="24"/>
        <v>0</v>
      </c>
      <c r="J57" s="14">
        <f t="shared" si="24"/>
        <v>5.2899287894201423E-3</v>
      </c>
      <c r="K57" s="14">
        <f t="shared" si="24"/>
        <v>1.017293997965412E-3</v>
      </c>
      <c r="L57" s="14">
        <f t="shared" si="24"/>
        <v>5.2899287894201423E-3</v>
      </c>
      <c r="M57" s="14">
        <f t="shared" si="24"/>
        <v>3.8657171922685655E-3</v>
      </c>
      <c r="N57" s="14">
        <f t="shared" si="24"/>
        <v>2.0345879959308241E-2</v>
      </c>
      <c r="O57" s="14">
        <f t="shared" si="24"/>
        <v>1.2410986775178027E-2</v>
      </c>
      <c r="P57" s="14">
        <f t="shared" si="24"/>
        <v>6.3072227873855547E-3</v>
      </c>
      <c r="Q57" s="14">
        <f t="shared" si="25"/>
        <v>8.8301119023397767E-2</v>
      </c>
    </row>
    <row r="58" spans="2:17" x14ac:dyDescent="0.2">
      <c r="B58" s="38" t="s">
        <v>42</v>
      </c>
      <c r="C58" s="14">
        <f t="shared" si="24"/>
        <v>5.6968463886063071E-3</v>
      </c>
      <c r="D58" s="14">
        <f t="shared" si="24"/>
        <v>3.4587995930824007E-3</v>
      </c>
      <c r="E58" s="14">
        <f t="shared" si="24"/>
        <v>9.9694811800610378E-3</v>
      </c>
      <c r="F58" s="14">
        <f t="shared" si="24"/>
        <v>3.4587995930824007E-3</v>
      </c>
      <c r="G58" s="14">
        <f t="shared" si="24"/>
        <v>0</v>
      </c>
      <c r="H58" s="14">
        <f t="shared" si="24"/>
        <v>2.6449643947100711E-3</v>
      </c>
      <c r="I58" s="14">
        <f t="shared" si="24"/>
        <v>2.0345879959308239E-4</v>
      </c>
      <c r="J58" s="14">
        <f t="shared" si="24"/>
        <v>4.6795523906408955E-3</v>
      </c>
      <c r="K58" s="14">
        <f t="shared" si="24"/>
        <v>2.0345879959308239E-4</v>
      </c>
      <c r="L58" s="14">
        <f t="shared" si="24"/>
        <v>4.4760935910478127E-3</v>
      </c>
      <c r="M58" s="14">
        <f t="shared" si="24"/>
        <v>3.8657171922685655E-3</v>
      </c>
      <c r="N58" s="14">
        <f t="shared" si="24"/>
        <v>1.2410986775178027E-2</v>
      </c>
      <c r="O58" s="14">
        <f t="shared" si="24"/>
        <v>6.5106815869786366E-3</v>
      </c>
      <c r="P58" s="14">
        <f t="shared" si="24"/>
        <v>4.0691759918616479E-3</v>
      </c>
      <c r="Q58" s="14">
        <f t="shared" si="25"/>
        <v>6.1648016276703965E-2</v>
      </c>
    </row>
    <row r="59" spans="2:17" x14ac:dyDescent="0.2">
      <c r="B59" s="38" t="s">
        <v>44</v>
      </c>
      <c r="C59" s="14">
        <f t="shared" si="24"/>
        <v>1.0783316378433367E-2</v>
      </c>
      <c r="D59" s="14">
        <f t="shared" si="24"/>
        <v>8.1383519837232958E-4</v>
      </c>
      <c r="E59" s="14">
        <f t="shared" si="24"/>
        <v>1.0783316378433367E-2</v>
      </c>
      <c r="F59" s="14">
        <f t="shared" si="24"/>
        <v>4.0691759918616479E-4</v>
      </c>
      <c r="G59" s="14">
        <f t="shared" si="24"/>
        <v>0</v>
      </c>
      <c r="H59" s="14">
        <f t="shared" si="24"/>
        <v>2.8484231943031535E-3</v>
      </c>
      <c r="I59" s="14">
        <f t="shared" si="24"/>
        <v>2.0345879959308239E-4</v>
      </c>
      <c r="J59" s="14">
        <f t="shared" si="24"/>
        <v>0</v>
      </c>
      <c r="K59" s="14">
        <f t="shared" si="24"/>
        <v>0</v>
      </c>
      <c r="L59" s="14">
        <f t="shared" si="24"/>
        <v>0</v>
      </c>
      <c r="M59" s="14">
        <f t="shared" si="24"/>
        <v>2.0345879959308239E-4</v>
      </c>
      <c r="N59" s="14">
        <f t="shared" si="24"/>
        <v>2.0345879959308239E-3</v>
      </c>
      <c r="O59" s="14">
        <f t="shared" si="24"/>
        <v>0</v>
      </c>
      <c r="P59" s="14">
        <f t="shared" si="24"/>
        <v>3.8657171922685655E-3</v>
      </c>
      <c r="Q59" s="14">
        <f t="shared" si="25"/>
        <v>3.1943031536113935E-2</v>
      </c>
    </row>
    <row r="60" spans="2:17" x14ac:dyDescent="0.2">
      <c r="B60" s="38" t="s">
        <v>43</v>
      </c>
      <c r="C60" s="14">
        <f t="shared" si="24"/>
        <v>1.2207527975584944E-3</v>
      </c>
      <c r="D60" s="14">
        <f t="shared" si="24"/>
        <v>5.0864699898270603E-3</v>
      </c>
      <c r="E60" s="14">
        <f t="shared" si="24"/>
        <v>1.5869786368260426E-2</v>
      </c>
      <c r="F60" s="14">
        <f t="shared" si="24"/>
        <v>3.0518819938962359E-3</v>
      </c>
      <c r="G60" s="14">
        <f t="shared" si="24"/>
        <v>2.0345879959308239E-4</v>
      </c>
      <c r="H60" s="14">
        <f t="shared" si="24"/>
        <v>3.8657171922685655E-3</v>
      </c>
      <c r="I60" s="14">
        <f t="shared" si="24"/>
        <v>2.0345879959308239E-4</v>
      </c>
      <c r="J60" s="14">
        <f t="shared" si="24"/>
        <v>2.4415055951169887E-3</v>
      </c>
      <c r="K60" s="14">
        <f t="shared" si="24"/>
        <v>4.0691759918616479E-4</v>
      </c>
      <c r="L60" s="14">
        <f t="shared" si="24"/>
        <v>4.0691759918616479E-4</v>
      </c>
      <c r="M60" s="14">
        <f t="shared" si="24"/>
        <v>6.1037639877924718E-4</v>
      </c>
      <c r="N60" s="14">
        <f t="shared" si="24"/>
        <v>1.8311291963377416E-3</v>
      </c>
      <c r="O60" s="14">
        <f t="shared" si="24"/>
        <v>8.1383519837232958E-4</v>
      </c>
      <c r="P60" s="14">
        <f t="shared" si="24"/>
        <v>6.7141403865717195E-3</v>
      </c>
      <c r="Q60" s="14">
        <f t="shared" si="25"/>
        <v>4.2726347914547304E-2</v>
      </c>
    </row>
    <row r="61" spans="2:17" x14ac:dyDescent="0.2">
      <c r="B61" s="38" t="s">
        <v>45</v>
      </c>
      <c r="C61" s="14">
        <f t="shared" si="24"/>
        <v>2.360122075279756E-2</v>
      </c>
      <c r="D61" s="14">
        <f t="shared" si="24"/>
        <v>1.1393692777212614E-2</v>
      </c>
      <c r="E61" s="14">
        <f t="shared" si="24"/>
        <v>3.0111902339776196E-2</v>
      </c>
      <c r="F61" s="14">
        <f t="shared" si="24"/>
        <v>4.0691759918616479E-3</v>
      </c>
      <c r="G61" s="14">
        <f t="shared" si="24"/>
        <v>0</v>
      </c>
      <c r="H61" s="14">
        <f t="shared" si="24"/>
        <v>5.4933875890132251E-3</v>
      </c>
      <c r="I61" s="14">
        <f t="shared" si="24"/>
        <v>2.0345879959308239E-4</v>
      </c>
      <c r="J61" s="14">
        <f t="shared" si="24"/>
        <v>1.6276703967446592E-3</v>
      </c>
      <c r="K61" s="14">
        <f t="shared" si="24"/>
        <v>1.8311291963377416E-3</v>
      </c>
      <c r="L61" s="14">
        <f t="shared" si="24"/>
        <v>4.8830111902339775E-3</v>
      </c>
      <c r="M61" s="14">
        <f t="shared" si="24"/>
        <v>2.8484231943031535E-3</v>
      </c>
      <c r="N61" s="14">
        <f t="shared" si="24"/>
        <v>8.7487283825025425E-3</v>
      </c>
      <c r="O61" s="14">
        <f t="shared" si="24"/>
        <v>3.641912512716175E-2</v>
      </c>
      <c r="P61" s="14">
        <f t="shared" si="24"/>
        <v>3.5198372329603253E-2</v>
      </c>
      <c r="Q61" s="14">
        <f t="shared" si="25"/>
        <v>0.16642929806714141</v>
      </c>
    </row>
    <row r="62" spans="2:17" x14ac:dyDescent="0.2">
      <c r="B62" s="38" t="s">
        <v>221</v>
      </c>
      <c r="C62" s="14">
        <f>SUM(C55:C61)</f>
        <v>0.17456765005086469</v>
      </c>
      <c r="D62" s="14">
        <f t="shared" ref="D62:P62" si="26">SUM(D55:D61)</f>
        <v>0.12838250254323499</v>
      </c>
      <c r="E62" s="14">
        <f t="shared" si="26"/>
        <v>0.19715157680569684</v>
      </c>
      <c r="F62" s="14">
        <f t="shared" si="26"/>
        <v>2.9094608341810782E-2</v>
      </c>
      <c r="G62" s="14">
        <f t="shared" si="26"/>
        <v>3.1739572736520852E-2</v>
      </c>
      <c r="H62" s="14">
        <f t="shared" si="26"/>
        <v>9.5625635808748735E-2</v>
      </c>
      <c r="I62" s="14">
        <f t="shared" si="26"/>
        <v>8.4231943031536083E-2</v>
      </c>
      <c r="J62" s="14">
        <f t="shared" si="26"/>
        <v>1.688708036622584E-2</v>
      </c>
      <c r="K62" s="14">
        <f t="shared" si="26"/>
        <v>5.0864699898270603E-3</v>
      </c>
      <c r="L62" s="14">
        <f t="shared" si="26"/>
        <v>1.7293997965412006E-2</v>
      </c>
      <c r="M62" s="14">
        <f t="shared" si="26"/>
        <v>1.5055951169888098E-2</v>
      </c>
      <c r="N62" s="14">
        <f t="shared" si="26"/>
        <v>5.31027466937945E-2</v>
      </c>
      <c r="O62" s="14">
        <f t="shared" si="26"/>
        <v>7.7517802644964398E-2</v>
      </c>
      <c r="P62" s="14">
        <f t="shared" si="26"/>
        <v>7.4262461851475073E-2</v>
      </c>
      <c r="Q62" s="14">
        <f>SUM(C62:P62)</f>
        <v>1</v>
      </c>
    </row>
    <row r="63" spans="2:17" x14ac:dyDescent="0.2">
      <c r="B63" s="170" t="s">
        <v>234</v>
      </c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</row>
    <row r="64" spans="2:17" x14ac:dyDescent="0.2">
      <c r="B64" s="38" t="s">
        <v>228</v>
      </c>
      <c r="C64" s="38" t="s">
        <v>235</v>
      </c>
      <c r="D64" s="38" t="s">
        <v>236</v>
      </c>
      <c r="E64" s="38" t="s">
        <v>88</v>
      </c>
      <c r="F64" s="38" t="s">
        <v>89</v>
      </c>
      <c r="G64" s="38" t="s">
        <v>230</v>
      </c>
      <c r="H64" s="38" t="s">
        <v>90</v>
      </c>
      <c r="I64" s="38" t="s">
        <v>91</v>
      </c>
      <c r="J64" s="38" t="s">
        <v>237</v>
      </c>
      <c r="K64" s="38" t="s">
        <v>169</v>
      </c>
      <c r="L64" s="38" t="s">
        <v>238</v>
      </c>
      <c r="M64" s="38" t="s">
        <v>171</v>
      </c>
      <c r="N64" s="38" t="s">
        <v>184</v>
      </c>
      <c r="O64" s="38" t="s">
        <v>92</v>
      </c>
      <c r="P64" s="38" t="s">
        <v>239</v>
      </c>
    </row>
    <row r="65" spans="2:16" x14ac:dyDescent="0.2">
      <c r="B65" s="38" t="s">
        <v>40</v>
      </c>
      <c r="C65" s="37">
        <v>5920</v>
      </c>
      <c r="D65" s="37">
        <v>3570</v>
      </c>
      <c r="E65" s="37">
        <v>4660</v>
      </c>
      <c r="F65" s="37">
        <v>580</v>
      </c>
      <c r="G65" s="37">
        <v>280</v>
      </c>
      <c r="H65" s="37">
        <v>400</v>
      </c>
      <c r="I65" s="37">
        <v>4100</v>
      </c>
      <c r="J65" s="37">
        <v>20</v>
      </c>
      <c r="K65" s="37">
        <v>0</v>
      </c>
      <c r="L65" s="37">
        <v>60</v>
      </c>
      <c r="M65" s="37">
        <v>20</v>
      </c>
      <c r="N65" s="37">
        <v>50</v>
      </c>
      <c r="O65" s="37">
        <v>50</v>
      </c>
      <c r="P65" s="37">
        <v>190</v>
      </c>
    </row>
    <row r="66" spans="2:16" x14ac:dyDescent="0.2">
      <c r="B66" s="38" t="s">
        <v>41</v>
      </c>
      <c r="C66" s="37">
        <v>460</v>
      </c>
      <c r="D66" s="37">
        <v>1390</v>
      </c>
      <c r="E66" s="37">
        <v>810</v>
      </c>
      <c r="F66" s="37">
        <v>250</v>
      </c>
      <c r="G66" s="37">
        <v>1260</v>
      </c>
      <c r="H66" s="37">
        <v>3420</v>
      </c>
      <c r="I66" s="37">
        <v>0</v>
      </c>
      <c r="J66" s="37">
        <v>120</v>
      </c>
      <c r="K66" s="37">
        <v>80</v>
      </c>
      <c r="L66" s="37">
        <v>50</v>
      </c>
      <c r="M66" s="37">
        <v>160</v>
      </c>
      <c r="N66" s="37">
        <v>330</v>
      </c>
      <c r="O66" s="37">
        <v>1000</v>
      </c>
      <c r="P66" s="37">
        <v>700</v>
      </c>
    </row>
    <row r="67" spans="2:16" x14ac:dyDescent="0.2">
      <c r="B67" s="38" t="s">
        <v>240</v>
      </c>
      <c r="C67" s="37">
        <v>170</v>
      </c>
      <c r="D67" s="37">
        <v>330</v>
      </c>
      <c r="E67" s="37">
        <v>940</v>
      </c>
      <c r="F67" s="37">
        <v>60</v>
      </c>
      <c r="G67" s="37">
        <v>10</v>
      </c>
      <c r="H67" s="37">
        <v>150</v>
      </c>
      <c r="I67" s="37">
        <v>0</v>
      </c>
      <c r="J67" s="37">
        <v>260</v>
      </c>
      <c r="K67" s="37">
        <v>50</v>
      </c>
      <c r="L67" s="37">
        <v>260</v>
      </c>
      <c r="M67" s="37">
        <v>190</v>
      </c>
      <c r="N67" s="37">
        <v>1000</v>
      </c>
      <c r="O67" s="37">
        <v>610</v>
      </c>
      <c r="P67" s="37">
        <v>310</v>
      </c>
    </row>
    <row r="68" spans="2:16" x14ac:dyDescent="0.2">
      <c r="B68" s="38" t="s">
        <v>241</v>
      </c>
      <c r="C68" s="37">
        <v>280</v>
      </c>
      <c r="D68" s="37">
        <v>170</v>
      </c>
      <c r="E68" s="37">
        <v>490</v>
      </c>
      <c r="F68" s="37">
        <v>170</v>
      </c>
      <c r="G68" s="37">
        <v>0</v>
      </c>
      <c r="H68" s="37">
        <v>130</v>
      </c>
      <c r="I68" s="37">
        <v>10</v>
      </c>
      <c r="J68" s="37">
        <v>230</v>
      </c>
      <c r="K68" s="37">
        <v>10</v>
      </c>
      <c r="L68" s="37">
        <v>220</v>
      </c>
      <c r="M68" s="37">
        <v>190</v>
      </c>
      <c r="N68" s="37">
        <v>610</v>
      </c>
      <c r="O68" s="37">
        <v>320</v>
      </c>
      <c r="P68" s="37">
        <v>200</v>
      </c>
    </row>
    <row r="69" spans="2:16" x14ac:dyDescent="0.2">
      <c r="B69" s="38" t="s">
        <v>44</v>
      </c>
      <c r="C69" s="37">
        <v>530</v>
      </c>
      <c r="D69" s="37">
        <v>40</v>
      </c>
      <c r="E69" s="37">
        <v>530</v>
      </c>
      <c r="F69" s="37">
        <v>20</v>
      </c>
      <c r="G69" s="37">
        <v>0</v>
      </c>
      <c r="H69" s="37">
        <v>140</v>
      </c>
      <c r="I69" s="37">
        <v>10</v>
      </c>
      <c r="J69" s="37">
        <v>0</v>
      </c>
      <c r="K69" s="37">
        <v>0</v>
      </c>
      <c r="L69" s="37">
        <v>0</v>
      </c>
      <c r="M69" s="37">
        <v>10</v>
      </c>
      <c r="N69" s="37">
        <v>100</v>
      </c>
      <c r="O69" s="37">
        <v>0</v>
      </c>
      <c r="P69" s="37">
        <v>190</v>
      </c>
    </row>
    <row r="70" spans="2:16" x14ac:dyDescent="0.2">
      <c r="B70" s="38" t="s">
        <v>242</v>
      </c>
      <c r="C70" s="37">
        <v>60</v>
      </c>
      <c r="D70" s="37">
        <v>250</v>
      </c>
      <c r="E70" s="37">
        <v>780</v>
      </c>
      <c r="F70" s="37">
        <v>150</v>
      </c>
      <c r="G70" s="37">
        <v>10</v>
      </c>
      <c r="H70" s="37">
        <v>190</v>
      </c>
      <c r="I70" s="37">
        <v>10</v>
      </c>
      <c r="J70" s="37">
        <v>120</v>
      </c>
      <c r="K70" s="37">
        <v>20</v>
      </c>
      <c r="L70" s="37">
        <v>20</v>
      </c>
      <c r="M70" s="37">
        <v>30</v>
      </c>
      <c r="N70" s="37">
        <v>90</v>
      </c>
      <c r="O70" s="37">
        <v>40</v>
      </c>
      <c r="P70" s="37">
        <v>330</v>
      </c>
    </row>
    <row r="71" spans="2:16" x14ac:dyDescent="0.2">
      <c r="B71" s="38" t="s">
        <v>45</v>
      </c>
      <c r="C71" s="37">
        <v>1160</v>
      </c>
      <c r="D71" s="37">
        <v>560</v>
      </c>
      <c r="E71" s="37">
        <v>1480</v>
      </c>
      <c r="F71" s="37">
        <v>200</v>
      </c>
      <c r="G71" s="37">
        <v>0</v>
      </c>
      <c r="H71" s="37">
        <v>270</v>
      </c>
      <c r="I71" s="37">
        <v>10</v>
      </c>
      <c r="J71" s="37">
        <v>80</v>
      </c>
      <c r="K71" s="37">
        <v>90</v>
      </c>
      <c r="L71" s="37">
        <v>240</v>
      </c>
      <c r="M71" s="37">
        <v>140</v>
      </c>
      <c r="N71" s="37">
        <v>430</v>
      </c>
      <c r="O71" s="37">
        <v>1790</v>
      </c>
      <c r="P71" s="37">
        <v>1730</v>
      </c>
    </row>
    <row r="72" spans="2:16" x14ac:dyDescent="0.2"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</row>
  </sheetData>
  <mergeCells count="9">
    <mergeCell ref="B53:Q53"/>
    <mergeCell ref="B63:P63"/>
    <mergeCell ref="B72:P72"/>
    <mergeCell ref="B4:L4"/>
    <mergeCell ref="B15:L15"/>
    <mergeCell ref="B26:L26"/>
    <mergeCell ref="B38:L38"/>
    <mergeCell ref="B39:L39"/>
    <mergeCell ref="B43:Q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CA75-46AF-C54B-AD6A-01A06BA06AB0}">
  <dimension ref="A1:Q97"/>
  <sheetViews>
    <sheetView workbookViewId="0">
      <selection activeCell="A15" sqref="A15:XFD15"/>
    </sheetView>
  </sheetViews>
  <sheetFormatPr baseColWidth="10" defaultRowHeight="16" x14ac:dyDescent="0.2"/>
  <cols>
    <col min="1" max="1" width="10.83203125" style="13"/>
    <col min="2" max="7" width="13.33203125" style="13" bestFit="1" customWidth="1"/>
    <col min="8" max="8" width="13.33203125" style="13" customWidth="1"/>
    <col min="9" max="9" width="13.33203125" style="13" bestFit="1" customWidth="1"/>
    <col min="10" max="16384" width="10.83203125" style="13"/>
  </cols>
  <sheetData>
    <row r="1" spans="1:17" x14ac:dyDescent="0.2">
      <c r="A1" s="13" t="s">
        <v>244</v>
      </c>
      <c r="B1" s="85"/>
      <c r="C1" s="85"/>
      <c r="D1" s="85"/>
      <c r="E1" s="85"/>
      <c r="F1" s="85"/>
    </row>
    <row r="2" spans="1:17" x14ac:dyDescent="0.2">
      <c r="A2" s="85"/>
      <c r="B2" s="85" t="s">
        <v>212</v>
      </c>
      <c r="C2" s="85" t="s">
        <v>245</v>
      </c>
      <c r="D2" s="85" t="s">
        <v>246</v>
      </c>
      <c r="E2" s="85" t="s">
        <v>247</v>
      </c>
      <c r="F2" s="85" t="s">
        <v>248</v>
      </c>
    </row>
    <row r="3" spans="1:17" x14ac:dyDescent="0.2">
      <c r="A3" s="85" t="s">
        <v>39</v>
      </c>
      <c r="B3" s="85">
        <v>13</v>
      </c>
      <c r="C3" s="85">
        <v>3</v>
      </c>
      <c r="D3" s="85">
        <v>9</v>
      </c>
      <c r="E3" s="23">
        <f t="shared" ref="E3:E10" si="0">LN(B3/SQRT(D3/B3^2+1))</f>
        <v>2.539006939777031</v>
      </c>
      <c r="F3" s="23">
        <f>SQRT(LN(D3/B3^2+1))</f>
        <v>0.22778242989530981</v>
      </c>
    </row>
    <row r="4" spans="1:17" x14ac:dyDescent="0.2">
      <c r="A4" s="85" t="s">
        <v>40</v>
      </c>
      <c r="B4" s="85">
        <v>0.5</v>
      </c>
      <c r="C4" s="85">
        <v>0.1</v>
      </c>
      <c r="D4" s="85">
        <v>0.01</v>
      </c>
      <c r="E4" s="23">
        <f t="shared" si="0"/>
        <v>-0.71275753713658596</v>
      </c>
      <c r="F4" s="23">
        <f t="shared" ref="F4:F10" si="1">SQRT(LN(D4/B4^2+1))</f>
        <v>0.19804220043536511</v>
      </c>
    </row>
    <row r="5" spans="1:17" x14ac:dyDescent="0.2">
      <c r="A5" s="85" t="s">
        <v>115</v>
      </c>
      <c r="B5" s="85">
        <v>35</v>
      </c>
      <c r="C5" s="85">
        <v>7</v>
      </c>
      <c r="D5" s="85">
        <v>49</v>
      </c>
      <c r="E5" s="23">
        <f t="shared" si="0"/>
        <v>3.5357377049127732</v>
      </c>
      <c r="F5" s="23">
        <f t="shared" si="1"/>
        <v>0.19804220043536511</v>
      </c>
    </row>
    <row r="6" spans="1:17" x14ac:dyDescent="0.2">
      <c r="A6" s="85" t="s">
        <v>42</v>
      </c>
      <c r="B6" s="85">
        <v>8</v>
      </c>
      <c r="C6" s="85">
        <v>2</v>
      </c>
      <c r="D6" s="85">
        <v>4</v>
      </c>
      <c r="E6" s="23">
        <f t="shared" si="0"/>
        <v>2.0491292307716185</v>
      </c>
      <c r="F6" s="23">
        <f t="shared" si="1"/>
        <v>0.24622067706923975</v>
      </c>
    </row>
    <row r="7" spans="1:17" x14ac:dyDescent="0.2">
      <c r="A7" s="13" t="s">
        <v>43</v>
      </c>
      <c r="B7" s="85">
        <v>3</v>
      </c>
      <c r="C7" s="85">
        <v>1</v>
      </c>
      <c r="D7" s="85">
        <v>1</v>
      </c>
      <c r="E7" s="23">
        <f t="shared" si="0"/>
        <v>1.0459320308391964</v>
      </c>
      <c r="F7" s="23">
        <f t="shared" si="1"/>
        <v>0.32459284597450133</v>
      </c>
    </row>
    <row r="8" spans="1:17" x14ac:dyDescent="0.2">
      <c r="A8" s="85" t="s">
        <v>128</v>
      </c>
      <c r="B8" s="85">
        <v>2</v>
      </c>
      <c r="C8" s="85">
        <v>1</v>
      </c>
      <c r="D8" s="85">
        <v>1</v>
      </c>
      <c r="E8" s="23">
        <f t="shared" si="0"/>
        <v>0.58157540490284043</v>
      </c>
      <c r="F8" s="23">
        <f t="shared" si="1"/>
        <v>0.47238072707743883</v>
      </c>
    </row>
    <row r="9" spans="1:17" x14ac:dyDescent="0.2">
      <c r="A9" s="85" t="s">
        <v>188</v>
      </c>
      <c r="B9" s="85">
        <v>5</v>
      </c>
      <c r="C9" s="85">
        <v>1.5</v>
      </c>
      <c r="D9" s="85">
        <v>2.25</v>
      </c>
      <c r="E9" s="23">
        <f t="shared" si="0"/>
        <v>1.5663490643135742</v>
      </c>
      <c r="F9" s="23">
        <f t="shared" si="1"/>
        <v>0.29356037920852401</v>
      </c>
    </row>
    <row r="10" spans="1:17" x14ac:dyDescent="0.2">
      <c r="A10" s="85" t="s">
        <v>187</v>
      </c>
      <c r="B10" s="85">
        <v>5</v>
      </c>
      <c r="C10" s="85">
        <v>1.5</v>
      </c>
      <c r="D10" s="85">
        <v>2.25</v>
      </c>
      <c r="E10" s="23">
        <f t="shared" si="0"/>
        <v>1.5663490643135742</v>
      </c>
      <c r="F10" s="23">
        <f t="shared" si="1"/>
        <v>0.29356037920852401</v>
      </c>
    </row>
    <row r="13" spans="1:17" x14ac:dyDescent="0.2">
      <c r="A13" s="13" t="s">
        <v>194</v>
      </c>
      <c r="B13" s="13" t="s">
        <v>147</v>
      </c>
      <c r="C13" s="13" t="s">
        <v>40</v>
      </c>
      <c r="D13" s="13" t="s">
        <v>41</v>
      </c>
      <c r="E13" s="13" t="s">
        <v>42</v>
      </c>
      <c r="F13" s="13" t="s">
        <v>43</v>
      </c>
      <c r="G13" s="13" t="s">
        <v>44</v>
      </c>
      <c r="H13" s="13" t="s">
        <v>187</v>
      </c>
      <c r="I13" s="13" t="s">
        <v>45</v>
      </c>
      <c r="J13" s="13" t="s">
        <v>147</v>
      </c>
      <c r="K13" s="13" t="s">
        <v>40</v>
      </c>
      <c r="L13" s="13" t="s">
        <v>41</v>
      </c>
      <c r="M13" s="13" t="s">
        <v>42</v>
      </c>
      <c r="N13" s="13" t="s">
        <v>43</v>
      </c>
      <c r="O13" s="13" t="s">
        <v>44</v>
      </c>
      <c r="P13" s="13" t="s">
        <v>187</v>
      </c>
      <c r="Q13" s="13" t="s">
        <v>45</v>
      </c>
    </row>
    <row r="14" spans="1:17" x14ac:dyDescent="0.2">
      <c r="A14" s="13">
        <v>0.1</v>
      </c>
      <c r="B14" s="86">
        <f>_xlfn.LOGNORM.DIST($A14,$E$3,$F$3,TRUE)</f>
        <v>1.471249278561336E-100</v>
      </c>
      <c r="C14" s="86">
        <f>_xlfn.LOGNORM.DIST($A14,$E$4,$F$4,TRUE)</f>
        <v>4.964994245088543E-16</v>
      </c>
      <c r="D14" s="86">
        <f>_xlfn.LOGNORM.DIST($A14,$E$5,$F$5,TRUE)</f>
        <v>2.5830814858269315E-191</v>
      </c>
      <c r="E14" s="86">
        <f>_xlfn.LOGNORM.DIST($A14,$E$6,$F$6,TRUE)</f>
        <v>3.3230518147895951E-70</v>
      </c>
      <c r="F14" s="86">
        <f>_xlfn.LOGNORM.DIST($A14,$E$7,$F$7,TRUE)</f>
        <v>2.9811926003298819E-25</v>
      </c>
      <c r="G14" s="86">
        <f>_xlfn.LOGNORM.DIST($A14,$E$8,$F$8,TRUE)</f>
        <v>5.1212538021617824E-10</v>
      </c>
      <c r="H14" s="86">
        <f>_xlfn.LOGNORM.DIST($A14,$E$10,$F$10,TRUE)</f>
        <v>5.7692464294201527E-40</v>
      </c>
      <c r="I14" s="86">
        <f>_xlfn.LOGNORM.DIST($A14,$E$9,$F$9,TRUE)</f>
        <v>5.7692464294201527E-40</v>
      </c>
      <c r="J14" s="86"/>
      <c r="K14" s="86"/>
      <c r="L14" s="86"/>
      <c r="M14" s="86"/>
      <c r="N14" s="86"/>
      <c r="O14" s="86"/>
      <c r="P14" s="86"/>
      <c r="Q14" s="86"/>
    </row>
    <row r="15" spans="1:17" x14ac:dyDescent="0.2">
      <c r="A15" s="13">
        <v>1</v>
      </c>
      <c r="B15" s="86">
        <f t="shared" ref="B15:B78" si="2">_xlfn.LOGNORM.DIST($A15,$E$3,$F$3,TRUE)</f>
        <v>3.7184087901980325E-29</v>
      </c>
      <c r="C15" s="86">
        <f t="shared" ref="C15:C78" si="3">_xlfn.LOGNORM.DIST($A15,$E$4,$F$4,TRUE)</f>
        <v>0.99984028974725792</v>
      </c>
      <c r="D15" s="86">
        <f t="shared" ref="D15:D78" si="4">_xlfn.LOGNORM.DIST($A15,$E$5,$F$5,TRUE)</f>
        <v>1.358454884208426E-71</v>
      </c>
      <c r="E15" s="86">
        <f t="shared" ref="E15:E78" si="5">_xlfn.LOGNORM.DIST($A15,$E$6,$F$6,TRUE)</f>
        <v>4.3126122378158473E-17</v>
      </c>
      <c r="F15" s="86">
        <f t="shared" ref="F15:F78" si="6">_xlfn.LOGNORM.DIST($A15,$E$7,$F$7,TRUE)</f>
        <v>6.3585346163418154E-4</v>
      </c>
      <c r="G15" s="86">
        <f t="shared" ref="G15:G78" si="7">_xlfn.LOGNORM.DIST($A15,$E$8,$F$8,TRUE)</f>
        <v>0.10913185110553937</v>
      </c>
      <c r="H15" s="86">
        <f t="shared" ref="H15:H78" si="8">_xlfn.LOGNORM.DIST($A15,$E$10,$F$10,TRUE)</f>
        <v>4.7589266113896063E-8</v>
      </c>
      <c r="I15" s="86">
        <f t="shared" ref="I15:I78" si="9">_xlfn.LOGNORM.DIST($A15,$E$9,$F$9,TRUE)</f>
        <v>4.7589266113896063E-8</v>
      </c>
      <c r="J15" s="86">
        <f t="shared" ref="J15:Q30" si="10">B15-B14</f>
        <v>3.7184087901980325E-29</v>
      </c>
      <c r="K15" s="86">
        <f t="shared" si="10"/>
        <v>0.99984028974725747</v>
      </c>
      <c r="L15" s="86">
        <f t="shared" si="10"/>
        <v>1.358454884208426E-71</v>
      </c>
      <c r="M15" s="86">
        <f t="shared" si="10"/>
        <v>4.3126122378158473E-17</v>
      </c>
      <c r="N15" s="86">
        <f t="shared" si="10"/>
        <v>6.3585346163418154E-4</v>
      </c>
      <c r="O15" s="86">
        <f t="shared" si="10"/>
        <v>0.10913185059341399</v>
      </c>
      <c r="P15" s="86">
        <f t="shared" si="10"/>
        <v>4.7589266113896063E-8</v>
      </c>
      <c r="Q15" s="86">
        <f t="shared" si="10"/>
        <v>4.7589266113896063E-8</v>
      </c>
    </row>
    <row r="16" spans="1:17" x14ac:dyDescent="0.2">
      <c r="A16" s="13">
        <v>2</v>
      </c>
      <c r="B16" s="86">
        <f t="shared" si="2"/>
        <v>2.6676181575039786E-16</v>
      </c>
      <c r="C16" s="86">
        <f t="shared" si="3"/>
        <v>0.99999999999937172</v>
      </c>
      <c r="D16" s="86">
        <f t="shared" si="4"/>
        <v>5.0676983676390895E-47</v>
      </c>
      <c r="E16" s="86">
        <f t="shared" si="5"/>
        <v>1.8231175130691171E-8</v>
      </c>
      <c r="F16" s="86">
        <f t="shared" si="6"/>
        <v>0.1385507936203669</v>
      </c>
      <c r="G16" s="86">
        <f t="shared" si="7"/>
        <v>0.59335752160345012</v>
      </c>
      <c r="H16" s="86">
        <f t="shared" si="8"/>
        <v>1.4672258026368734E-3</v>
      </c>
      <c r="I16" s="86">
        <f t="shared" si="9"/>
        <v>1.4672258026368734E-3</v>
      </c>
      <c r="J16" s="86">
        <f t="shared" si="10"/>
        <v>2.6676181575036069E-16</v>
      </c>
      <c r="K16" s="86">
        <f t="shared" si="10"/>
        <v>1.597102521138094E-4</v>
      </c>
      <c r="L16" s="86">
        <f t="shared" si="10"/>
        <v>5.0676983676390895E-47</v>
      </c>
      <c r="M16" s="86">
        <f t="shared" si="10"/>
        <v>1.8231175087565048E-8</v>
      </c>
      <c r="N16" s="86">
        <f t="shared" si="10"/>
        <v>0.13791494015873271</v>
      </c>
      <c r="O16" s="86">
        <f t="shared" si="10"/>
        <v>0.48422567049791077</v>
      </c>
      <c r="P16" s="86">
        <f t="shared" si="10"/>
        <v>1.4671782133707594E-3</v>
      </c>
      <c r="Q16" s="86">
        <f t="shared" si="10"/>
        <v>1.4671782133707594E-3</v>
      </c>
    </row>
    <row r="17" spans="1:17" x14ac:dyDescent="0.2">
      <c r="A17" s="13">
        <v>3</v>
      </c>
      <c r="B17" s="86">
        <f t="shared" si="2"/>
        <v>1.2780684441433287E-10</v>
      </c>
      <c r="C17" s="86">
        <f t="shared" si="3"/>
        <v>1</v>
      </c>
      <c r="D17" s="86">
        <f t="shared" si="4"/>
        <v>4.19966650871549E-35</v>
      </c>
      <c r="E17" s="86">
        <f t="shared" si="5"/>
        <v>5.6594533863568364E-5</v>
      </c>
      <c r="F17" s="86">
        <f t="shared" si="6"/>
        <v>0.56446378430945154</v>
      </c>
      <c r="G17" s="86">
        <f t="shared" si="7"/>
        <v>0.86313963228128987</v>
      </c>
      <c r="H17" s="86">
        <f t="shared" si="8"/>
        <v>5.5543771069113325E-2</v>
      </c>
      <c r="I17" s="86">
        <f t="shared" si="9"/>
        <v>5.5543771069113325E-2</v>
      </c>
      <c r="J17" s="86">
        <f t="shared" si="10"/>
        <v>1.2780657765251711E-10</v>
      </c>
      <c r="K17" s="86">
        <f t="shared" si="10"/>
        <v>6.2827520963537609E-13</v>
      </c>
      <c r="L17" s="86">
        <f t="shared" si="10"/>
        <v>4.1996665087104224E-35</v>
      </c>
      <c r="M17" s="86">
        <f t="shared" si="10"/>
        <v>5.6576302688437671E-5</v>
      </c>
      <c r="N17" s="86">
        <f t="shared" si="10"/>
        <v>0.42591299068908461</v>
      </c>
      <c r="O17" s="86">
        <f t="shared" si="10"/>
        <v>0.26978211067783975</v>
      </c>
      <c r="P17" s="86">
        <f t="shared" si="10"/>
        <v>5.4076545266476449E-2</v>
      </c>
      <c r="Q17" s="86">
        <f t="shared" si="10"/>
        <v>5.4076545266476449E-2</v>
      </c>
    </row>
    <row r="18" spans="1:17" x14ac:dyDescent="0.2">
      <c r="A18" s="13">
        <v>4</v>
      </c>
      <c r="B18" s="86">
        <f t="shared" si="2"/>
        <v>2.0898492619653611E-7</v>
      </c>
      <c r="C18" s="86">
        <f t="shared" si="3"/>
        <v>1</v>
      </c>
      <c r="D18" s="86">
        <f t="shared" si="4"/>
        <v>9.6006771861217487E-28</v>
      </c>
      <c r="E18" s="86">
        <f t="shared" si="5"/>
        <v>3.5508664132843466E-3</v>
      </c>
      <c r="F18" s="86">
        <f t="shared" si="6"/>
        <v>0.85281480939420518</v>
      </c>
      <c r="G18" s="86">
        <f t="shared" si="7"/>
        <v>0.95576637004021037</v>
      </c>
      <c r="H18" s="86">
        <f t="shared" si="8"/>
        <v>0.26982309495757195</v>
      </c>
      <c r="I18" s="86">
        <f t="shared" si="9"/>
        <v>0.26982309495757195</v>
      </c>
      <c r="J18" s="86">
        <f t="shared" si="10"/>
        <v>2.0885711935212177E-7</v>
      </c>
      <c r="K18" s="86">
        <f t="shared" si="10"/>
        <v>0</v>
      </c>
      <c r="L18" s="86">
        <f t="shared" si="10"/>
        <v>9.6006767661550975E-28</v>
      </c>
      <c r="M18" s="86">
        <f t="shared" si="10"/>
        <v>3.4942718794207781E-3</v>
      </c>
      <c r="N18" s="86">
        <f t="shared" si="10"/>
        <v>0.28835102508475363</v>
      </c>
      <c r="O18" s="86">
        <f t="shared" si="10"/>
        <v>9.2626737758920497E-2</v>
      </c>
      <c r="P18" s="86">
        <f t="shared" si="10"/>
        <v>0.21427932388845863</v>
      </c>
      <c r="Q18" s="86">
        <f t="shared" si="10"/>
        <v>0.21427932388845863</v>
      </c>
    </row>
    <row r="19" spans="1:17" x14ac:dyDescent="0.2">
      <c r="A19" s="13">
        <v>5</v>
      </c>
      <c r="B19" s="86">
        <f t="shared" si="2"/>
        <v>2.2425866234619997E-5</v>
      </c>
      <c r="C19" s="86">
        <f t="shared" si="3"/>
        <v>1</v>
      </c>
      <c r="D19" s="86">
        <f t="shared" si="4"/>
        <v>1.1598297523745928E-22</v>
      </c>
      <c r="E19" s="86">
        <f t="shared" si="5"/>
        <v>3.7068970145577106E-2</v>
      </c>
      <c r="F19" s="86">
        <f t="shared" si="6"/>
        <v>0.95872154193664438</v>
      </c>
      <c r="G19" s="86">
        <f t="shared" si="7"/>
        <v>0.98521936549086575</v>
      </c>
      <c r="H19" s="86">
        <f t="shared" si="8"/>
        <v>0.55834723914289341</v>
      </c>
      <c r="I19" s="86">
        <f t="shared" si="9"/>
        <v>0.55834723914289341</v>
      </c>
      <c r="J19" s="86">
        <f t="shared" si="10"/>
        <v>2.2216881308423462E-5</v>
      </c>
      <c r="K19" s="86">
        <f t="shared" si="10"/>
        <v>0</v>
      </c>
      <c r="L19" s="86">
        <f t="shared" si="10"/>
        <v>1.1598201516974067E-22</v>
      </c>
      <c r="M19" s="86">
        <f t="shared" si="10"/>
        <v>3.3518103732292762E-2</v>
      </c>
      <c r="N19" s="86">
        <f t="shared" si="10"/>
        <v>0.10590673254243921</v>
      </c>
      <c r="O19" s="86">
        <f t="shared" si="10"/>
        <v>2.9452995450655384E-2</v>
      </c>
      <c r="P19" s="86">
        <f t="shared" si="10"/>
        <v>0.28852414418532146</v>
      </c>
      <c r="Q19" s="86">
        <f t="shared" si="10"/>
        <v>0.28852414418532146</v>
      </c>
    </row>
    <row r="20" spans="1:17" x14ac:dyDescent="0.2">
      <c r="A20" s="13">
        <v>6</v>
      </c>
      <c r="B20" s="86">
        <f t="shared" si="2"/>
        <v>5.1805819543060655E-4</v>
      </c>
      <c r="C20" s="86">
        <f t="shared" si="3"/>
        <v>1</v>
      </c>
      <c r="D20" s="86">
        <f t="shared" si="4"/>
        <v>6.4791185154952409E-19</v>
      </c>
      <c r="E20" s="86">
        <f t="shared" si="5"/>
        <v>0.14794659010510469</v>
      </c>
      <c r="F20" s="86">
        <f t="shared" si="6"/>
        <v>0.98921148252714386</v>
      </c>
      <c r="G20" s="86">
        <f t="shared" si="7"/>
        <v>0.99479467798687093</v>
      </c>
      <c r="H20" s="86">
        <f t="shared" si="8"/>
        <v>0.7787119158486695</v>
      </c>
      <c r="I20" s="86">
        <f t="shared" si="9"/>
        <v>0.7787119158486695</v>
      </c>
      <c r="J20" s="86">
        <f t="shared" si="10"/>
        <v>4.9563232919598652E-4</v>
      </c>
      <c r="K20" s="86">
        <f t="shared" si="10"/>
        <v>0</v>
      </c>
      <c r="L20" s="86">
        <f t="shared" si="10"/>
        <v>6.4779586857428662E-19</v>
      </c>
      <c r="M20" s="86">
        <f t="shared" si="10"/>
        <v>0.11087761995952758</v>
      </c>
      <c r="N20" s="86">
        <f t="shared" si="10"/>
        <v>3.0489940590499476E-2</v>
      </c>
      <c r="O20" s="86">
        <f t="shared" si="10"/>
        <v>9.5753124960051839E-3</v>
      </c>
      <c r="P20" s="86">
        <f t="shared" si="10"/>
        <v>0.22036467670577609</v>
      </c>
      <c r="Q20" s="86">
        <f t="shared" si="10"/>
        <v>0.22036467670577609</v>
      </c>
    </row>
    <row r="21" spans="1:17" x14ac:dyDescent="0.2">
      <c r="A21" s="13">
        <v>7</v>
      </c>
      <c r="B21" s="86">
        <f t="shared" si="2"/>
        <v>4.6100100615721193E-3</v>
      </c>
      <c r="C21" s="86">
        <f t="shared" si="3"/>
        <v>1</v>
      </c>
      <c r="D21" s="86">
        <f t="shared" si="4"/>
        <v>4.9649942450885065E-16</v>
      </c>
      <c r="E21" s="86">
        <f t="shared" si="5"/>
        <v>0.33752997929993966</v>
      </c>
      <c r="F21" s="86">
        <f t="shared" si="6"/>
        <v>0.99721979414675055</v>
      </c>
      <c r="G21" s="86">
        <f t="shared" si="7"/>
        <v>0.99806279450814506</v>
      </c>
      <c r="H21" s="86">
        <f t="shared" si="8"/>
        <v>0.90198711522928277</v>
      </c>
      <c r="I21" s="86">
        <f t="shared" si="9"/>
        <v>0.90198711522928277</v>
      </c>
      <c r="J21" s="86">
        <f t="shared" si="10"/>
        <v>4.0919518661415126E-3</v>
      </c>
      <c r="K21" s="86">
        <f t="shared" si="10"/>
        <v>0</v>
      </c>
      <c r="L21" s="86">
        <f t="shared" si="10"/>
        <v>4.9585151265730112E-16</v>
      </c>
      <c r="M21" s="86">
        <f t="shared" si="10"/>
        <v>0.18958338919483497</v>
      </c>
      <c r="N21" s="86">
        <f t="shared" si="10"/>
        <v>8.0083116196066895E-3</v>
      </c>
      <c r="O21" s="86">
        <f t="shared" si="10"/>
        <v>3.2681165212741226E-3</v>
      </c>
      <c r="P21" s="86">
        <f t="shared" si="10"/>
        <v>0.12327519938061327</v>
      </c>
      <c r="Q21" s="86">
        <f t="shared" si="10"/>
        <v>0.12327519938061327</v>
      </c>
    </row>
    <row r="22" spans="1:17" x14ac:dyDescent="0.2">
      <c r="A22" s="13">
        <v>8</v>
      </c>
      <c r="B22" s="86">
        <f t="shared" si="2"/>
        <v>2.1818397817769206E-2</v>
      </c>
      <c r="C22" s="86">
        <f t="shared" si="3"/>
        <v>1</v>
      </c>
      <c r="D22" s="86">
        <f t="shared" si="4"/>
        <v>9.6567623151020381E-14</v>
      </c>
      <c r="E22" s="86">
        <f t="shared" si="5"/>
        <v>0.54899013770325056</v>
      </c>
      <c r="F22" s="86">
        <f t="shared" si="6"/>
        <v>0.99927377045907795</v>
      </c>
      <c r="G22" s="86">
        <f t="shared" si="7"/>
        <v>0.99924013003127266</v>
      </c>
      <c r="H22" s="86">
        <f t="shared" si="8"/>
        <v>0.95975292327610984</v>
      </c>
      <c r="I22" s="86">
        <f t="shared" si="9"/>
        <v>0.95975292327610984</v>
      </c>
      <c r="J22" s="86">
        <f t="shared" si="10"/>
        <v>1.7208387756197086E-2</v>
      </c>
      <c r="K22" s="86">
        <f t="shared" si="10"/>
        <v>0</v>
      </c>
      <c r="L22" s="86">
        <f t="shared" si="10"/>
        <v>9.607112372651153E-14</v>
      </c>
      <c r="M22" s="86">
        <f t="shared" si="10"/>
        <v>0.21146015840331089</v>
      </c>
      <c r="N22" s="86">
        <f t="shared" si="10"/>
        <v>2.0539763123273991E-3</v>
      </c>
      <c r="O22" s="86">
        <f t="shared" si="10"/>
        <v>1.1773355231275984E-3</v>
      </c>
      <c r="P22" s="86">
        <f t="shared" si="10"/>
        <v>5.7765808046827072E-2</v>
      </c>
      <c r="Q22" s="86">
        <f t="shared" si="10"/>
        <v>5.7765808046827072E-2</v>
      </c>
    </row>
    <row r="23" spans="1:17" x14ac:dyDescent="0.2">
      <c r="A23" s="13">
        <v>9</v>
      </c>
      <c r="B23" s="86">
        <f t="shared" si="2"/>
        <v>6.6745406326631146E-2</v>
      </c>
      <c r="C23" s="86">
        <f t="shared" si="3"/>
        <v>1</v>
      </c>
      <c r="D23" s="86">
        <f t="shared" si="4"/>
        <v>6.9604802684241989E-12</v>
      </c>
      <c r="E23" s="86">
        <f t="shared" si="5"/>
        <v>0.72623785293881382</v>
      </c>
      <c r="F23" s="86">
        <f t="shared" si="6"/>
        <v>0.99980509047987853</v>
      </c>
      <c r="G23" s="86">
        <f t="shared" si="7"/>
        <v>0.99968715514122153</v>
      </c>
      <c r="H23" s="86">
        <f t="shared" si="8"/>
        <v>0.98418472498895804</v>
      </c>
      <c r="I23" s="86">
        <f t="shared" si="9"/>
        <v>0.98418472498895804</v>
      </c>
      <c r="J23" s="86">
        <f t="shared" si="10"/>
        <v>4.4927008508861943E-2</v>
      </c>
      <c r="K23" s="86">
        <f t="shared" si="10"/>
        <v>0</v>
      </c>
      <c r="L23" s="86">
        <f t="shared" si="10"/>
        <v>6.8639126452731785E-12</v>
      </c>
      <c r="M23" s="86">
        <f t="shared" si="10"/>
        <v>0.17724771523556326</v>
      </c>
      <c r="N23" s="86">
        <f t="shared" si="10"/>
        <v>5.3132002080058527E-4</v>
      </c>
      <c r="O23" s="86">
        <f t="shared" si="10"/>
        <v>4.4702510994887312E-4</v>
      </c>
      <c r="P23" s="86">
        <f t="shared" si="10"/>
        <v>2.44318017128482E-2</v>
      </c>
      <c r="Q23" s="86">
        <f t="shared" si="10"/>
        <v>2.44318017128482E-2</v>
      </c>
    </row>
    <row r="24" spans="1:17" x14ac:dyDescent="0.2">
      <c r="A24" s="13">
        <v>10</v>
      </c>
      <c r="B24" s="86">
        <f t="shared" si="2"/>
        <v>0.14965170158974891</v>
      </c>
      <c r="C24" s="86">
        <f t="shared" si="3"/>
        <v>1</v>
      </c>
      <c r="D24" s="86">
        <f t="shared" si="4"/>
        <v>2.381561294389994E-10</v>
      </c>
      <c r="E24" s="86">
        <f t="shared" si="5"/>
        <v>0.84835059352047526</v>
      </c>
      <c r="F24" s="86">
        <f t="shared" si="6"/>
        <v>0.99994591060513383</v>
      </c>
      <c r="G24" s="86">
        <f t="shared" si="7"/>
        <v>0.99986540096618937</v>
      </c>
      <c r="H24" s="86">
        <f t="shared" si="8"/>
        <v>0.99392838222155622</v>
      </c>
      <c r="I24" s="86">
        <f t="shared" si="9"/>
        <v>0.99392838222155622</v>
      </c>
      <c r="J24" s="86">
        <f t="shared" si="10"/>
        <v>8.2906295263117769E-2</v>
      </c>
      <c r="K24" s="86">
        <f t="shared" si="10"/>
        <v>0</v>
      </c>
      <c r="L24" s="86">
        <f t="shared" si="10"/>
        <v>2.3119564917057519E-10</v>
      </c>
      <c r="M24" s="86">
        <f t="shared" si="10"/>
        <v>0.12211274058166144</v>
      </c>
      <c r="N24" s="86">
        <f t="shared" si="10"/>
        <v>1.4082012525529208E-4</v>
      </c>
      <c r="O24" s="86">
        <f t="shared" si="10"/>
        <v>1.7824582496783759E-4</v>
      </c>
      <c r="P24" s="86">
        <f t="shared" si="10"/>
        <v>9.7436572325981796E-3</v>
      </c>
      <c r="Q24" s="86">
        <f t="shared" si="10"/>
        <v>9.7436572325981796E-3</v>
      </c>
    </row>
    <row r="25" spans="1:17" x14ac:dyDescent="0.2">
      <c r="A25" s="13">
        <v>11</v>
      </c>
      <c r="B25" s="86">
        <f t="shared" si="2"/>
        <v>0.26779285803241248</v>
      </c>
      <c r="C25" s="86">
        <f t="shared" si="3"/>
        <v>1</v>
      </c>
      <c r="D25" s="86">
        <f t="shared" si="4"/>
        <v>4.5837230210881038E-9</v>
      </c>
      <c r="E25" s="86">
        <f t="shared" si="5"/>
        <v>0.92168212217030698</v>
      </c>
      <c r="F25" s="86">
        <f t="shared" si="6"/>
        <v>0.99998443952568827</v>
      </c>
      <c r="G25" s="86">
        <f t="shared" si="7"/>
        <v>0.99993973209160836</v>
      </c>
      <c r="H25" s="86">
        <f t="shared" si="8"/>
        <v>0.99769161801098161</v>
      </c>
      <c r="I25" s="86">
        <f t="shared" si="9"/>
        <v>0.99769161801098161</v>
      </c>
      <c r="J25" s="86">
        <f t="shared" si="10"/>
        <v>0.11814115644266357</v>
      </c>
      <c r="K25" s="86">
        <f t="shared" si="10"/>
        <v>0</v>
      </c>
      <c r="L25" s="86">
        <f t="shared" si="10"/>
        <v>4.3455668916491044E-9</v>
      </c>
      <c r="M25" s="86">
        <f t="shared" si="10"/>
        <v>7.3331528649831723E-2</v>
      </c>
      <c r="N25" s="86">
        <f t="shared" si="10"/>
        <v>3.8528920554448121E-5</v>
      </c>
      <c r="O25" s="86">
        <f t="shared" si="10"/>
        <v>7.4331125418991562E-5</v>
      </c>
      <c r="P25" s="86">
        <f t="shared" si="10"/>
        <v>3.7632357894253898E-3</v>
      </c>
      <c r="Q25" s="86">
        <f t="shared" si="10"/>
        <v>3.7632357894253898E-3</v>
      </c>
    </row>
    <row r="26" spans="1:17" x14ac:dyDescent="0.2">
      <c r="A26" s="13">
        <v>12</v>
      </c>
      <c r="B26" s="86">
        <f t="shared" si="2"/>
        <v>0.40613111736827123</v>
      </c>
      <c r="C26" s="86">
        <f t="shared" si="3"/>
        <v>1</v>
      </c>
      <c r="D26" s="86">
        <f t="shared" si="4"/>
        <v>5.5998796753627817E-8</v>
      </c>
      <c r="E26" s="86">
        <f t="shared" si="5"/>
        <v>0.96162520414927521</v>
      </c>
      <c r="F26" s="86">
        <f t="shared" si="6"/>
        <v>0.99999535707746035</v>
      </c>
      <c r="G26" s="86">
        <f t="shared" si="7"/>
        <v>0.99997202023952936</v>
      </c>
      <c r="H26" s="86">
        <f t="shared" si="8"/>
        <v>0.99912306124208494</v>
      </c>
      <c r="I26" s="86">
        <f t="shared" si="9"/>
        <v>0.99912306124208494</v>
      </c>
      <c r="J26" s="86">
        <f t="shared" si="10"/>
        <v>0.13833825933585875</v>
      </c>
      <c r="K26" s="86">
        <f t="shared" si="10"/>
        <v>0</v>
      </c>
      <c r="L26" s="86">
        <f t="shared" si="10"/>
        <v>5.1415073732539716E-8</v>
      </c>
      <c r="M26" s="86">
        <f t="shared" si="10"/>
        <v>3.9943081978968231E-2</v>
      </c>
      <c r="N26" s="86">
        <f t="shared" si="10"/>
        <v>1.0917551772071654E-5</v>
      </c>
      <c r="O26" s="86">
        <f t="shared" si="10"/>
        <v>3.228814792100021E-5</v>
      </c>
      <c r="P26" s="86">
        <f t="shared" si="10"/>
        <v>1.4314432311033354E-3</v>
      </c>
      <c r="Q26" s="86">
        <f t="shared" si="10"/>
        <v>1.4314432311033354E-3</v>
      </c>
    </row>
    <row r="27" spans="1:17" x14ac:dyDescent="0.2">
      <c r="A27" s="13">
        <v>13</v>
      </c>
      <c r="B27" s="86">
        <f t="shared" si="2"/>
        <v>0.54533798514574094</v>
      </c>
      <c r="C27" s="86">
        <f t="shared" si="3"/>
        <v>1</v>
      </c>
      <c r="D27" s="86">
        <f t="shared" si="4"/>
        <v>4.7450627767745729E-7</v>
      </c>
      <c r="E27" s="86">
        <f t="shared" si="5"/>
        <v>0.98191230280987951</v>
      </c>
      <c r="F27" s="86">
        <f t="shared" si="6"/>
        <v>0.99999856396069098</v>
      </c>
      <c r="G27" s="86">
        <f t="shared" si="7"/>
        <v>0.99998657603451979</v>
      </c>
      <c r="H27" s="86">
        <f t="shared" si="8"/>
        <v>0.99966514256637951</v>
      </c>
      <c r="I27" s="86">
        <f t="shared" si="9"/>
        <v>0.99966514256637951</v>
      </c>
      <c r="J27" s="86">
        <f t="shared" si="10"/>
        <v>0.13920686777746971</v>
      </c>
      <c r="K27" s="86">
        <f t="shared" si="10"/>
        <v>0</v>
      </c>
      <c r="L27" s="86">
        <f t="shared" si="10"/>
        <v>4.1850748092382948E-7</v>
      </c>
      <c r="M27" s="86">
        <f t="shared" si="10"/>
        <v>2.0287098660604297E-2</v>
      </c>
      <c r="N27" s="86">
        <f t="shared" si="10"/>
        <v>3.2068832306331174E-6</v>
      </c>
      <c r="O27" s="86">
        <f t="shared" si="10"/>
        <v>1.4555794990434023E-5</v>
      </c>
      <c r="P27" s="86">
        <f t="shared" si="10"/>
        <v>5.4208132429456324E-4</v>
      </c>
      <c r="Q27" s="86">
        <f t="shared" si="10"/>
        <v>5.4208132429456324E-4</v>
      </c>
    </row>
    <row r="28" spans="1:17" x14ac:dyDescent="0.2">
      <c r="A28" s="13">
        <v>14</v>
      </c>
      <c r="B28" s="86">
        <f t="shared" si="2"/>
        <v>0.66975496173363935</v>
      </c>
      <c r="C28" s="86">
        <f t="shared" si="3"/>
        <v>1</v>
      </c>
      <c r="D28" s="86">
        <f t="shared" si="4"/>
        <v>2.9811227110318375E-6</v>
      </c>
      <c r="E28" s="86">
        <f t="shared" si="5"/>
        <v>0.99171092635702174</v>
      </c>
      <c r="F28" s="86">
        <f t="shared" si="6"/>
        <v>0.99999954012127978</v>
      </c>
      <c r="G28" s="86">
        <f t="shared" si="7"/>
        <v>0.999993363599052</v>
      </c>
      <c r="H28" s="86">
        <f t="shared" si="8"/>
        <v>0.9998709730660833</v>
      </c>
      <c r="I28" s="86">
        <f t="shared" si="9"/>
        <v>0.9998709730660833</v>
      </c>
      <c r="J28" s="86">
        <f t="shared" si="10"/>
        <v>0.12441697658789841</v>
      </c>
      <c r="K28" s="86">
        <f t="shared" si="10"/>
        <v>0</v>
      </c>
      <c r="L28" s="86">
        <f t="shared" si="10"/>
        <v>2.50661643335438E-6</v>
      </c>
      <c r="M28" s="86">
        <f t="shared" si="10"/>
        <v>9.7986235471422267E-3</v>
      </c>
      <c r="N28" s="86">
        <f t="shared" si="10"/>
        <v>9.7616058880589662E-7</v>
      </c>
      <c r="O28" s="86">
        <f t="shared" si="10"/>
        <v>6.7875645322068578E-6</v>
      </c>
      <c r="P28" s="86">
        <f t="shared" si="10"/>
        <v>2.058304997037963E-4</v>
      </c>
      <c r="Q28" s="86">
        <f t="shared" si="10"/>
        <v>2.058304997037963E-4</v>
      </c>
    </row>
    <row r="29" spans="1:17" x14ac:dyDescent="0.2">
      <c r="A29" s="13">
        <v>15</v>
      </c>
      <c r="B29" s="86">
        <f t="shared" si="2"/>
        <v>0.77099449787559293</v>
      </c>
      <c r="C29" s="86">
        <f t="shared" si="3"/>
        <v>1</v>
      </c>
      <c r="D29" s="86">
        <f t="shared" si="4"/>
        <v>1.4617227482339573E-5</v>
      </c>
      <c r="E29" s="86">
        <f t="shared" si="5"/>
        <v>0.9962762221414817</v>
      </c>
      <c r="F29" s="86">
        <f t="shared" si="6"/>
        <v>0.9999998477374813</v>
      </c>
      <c r="G29" s="86">
        <f t="shared" si="7"/>
        <v>0.99999662800099387</v>
      </c>
      <c r="H29" s="86">
        <f t="shared" si="8"/>
        <v>0.99994970259080485</v>
      </c>
      <c r="I29" s="86">
        <f t="shared" si="9"/>
        <v>0.99994970259080485</v>
      </c>
      <c r="J29" s="86">
        <f t="shared" si="10"/>
        <v>0.10123953614195358</v>
      </c>
      <c r="K29" s="86">
        <f t="shared" si="10"/>
        <v>0</v>
      </c>
      <c r="L29" s="86">
        <f t="shared" si="10"/>
        <v>1.1636104771307735E-5</v>
      </c>
      <c r="M29" s="86">
        <f t="shared" si="10"/>
        <v>4.5652957844599662E-3</v>
      </c>
      <c r="N29" s="86">
        <f t="shared" si="10"/>
        <v>3.0761620151142921E-7</v>
      </c>
      <c r="O29" s="86">
        <f t="shared" si="10"/>
        <v>3.2644019418714976E-6</v>
      </c>
      <c r="P29" s="86">
        <f t="shared" si="10"/>
        <v>7.8729524721543598E-5</v>
      </c>
      <c r="Q29" s="86">
        <f t="shared" si="10"/>
        <v>7.8729524721543598E-5</v>
      </c>
    </row>
    <row r="30" spans="1:17" x14ac:dyDescent="0.2">
      <c r="A30" s="13">
        <v>16</v>
      </c>
      <c r="B30" s="86">
        <f t="shared" si="2"/>
        <v>0.84742691735028419</v>
      </c>
      <c r="C30" s="86">
        <f t="shared" si="3"/>
        <v>1</v>
      </c>
      <c r="D30" s="86">
        <f t="shared" si="4"/>
        <v>5.8228604546876683E-5</v>
      </c>
      <c r="E30" s="86">
        <f t="shared" si="5"/>
        <v>0.99834968059887264</v>
      </c>
      <c r="F30" s="86">
        <f t="shared" si="6"/>
        <v>0.99999994796041936</v>
      </c>
      <c r="G30" s="86">
        <f t="shared" si="7"/>
        <v>0.99999824302336249</v>
      </c>
      <c r="H30" s="86">
        <f t="shared" si="8"/>
        <v>0.99998013121370588</v>
      </c>
      <c r="I30" s="86">
        <f t="shared" si="9"/>
        <v>0.99998013121370588</v>
      </c>
      <c r="J30" s="86">
        <f t="shared" si="10"/>
        <v>7.643241947469126E-2</v>
      </c>
      <c r="K30" s="86">
        <f t="shared" si="10"/>
        <v>0</v>
      </c>
      <c r="L30" s="86">
        <f t="shared" si="10"/>
        <v>4.3611377064537112E-5</v>
      </c>
      <c r="M30" s="86">
        <f t="shared" si="10"/>
        <v>2.0734584573909309E-3</v>
      </c>
      <c r="N30" s="86">
        <f t="shared" si="10"/>
        <v>1.0022293805977966E-7</v>
      </c>
      <c r="O30" s="86">
        <f t="shared" si="10"/>
        <v>1.6150223686173248E-6</v>
      </c>
      <c r="P30" s="86">
        <f t="shared" si="10"/>
        <v>3.0428622901035318E-5</v>
      </c>
      <c r="Q30" s="86">
        <f t="shared" si="10"/>
        <v>3.0428622901035318E-5</v>
      </c>
    </row>
    <row r="31" spans="1:17" x14ac:dyDescent="0.2">
      <c r="A31" s="13">
        <v>17</v>
      </c>
      <c r="B31" s="86">
        <f t="shared" si="2"/>
        <v>0.90175413899305079</v>
      </c>
      <c r="C31" s="86">
        <f t="shared" si="3"/>
        <v>1</v>
      </c>
      <c r="D31" s="86">
        <f t="shared" si="4"/>
        <v>1.9456601556168654E-4</v>
      </c>
      <c r="E31" s="86">
        <f t="shared" si="5"/>
        <v>0.9992749211356452</v>
      </c>
      <c r="F31" s="86">
        <f t="shared" si="6"/>
        <v>0.99999998166952642</v>
      </c>
      <c r="G31" s="86">
        <f t="shared" si="7"/>
        <v>0.99999906307780362</v>
      </c>
      <c r="H31" s="86">
        <f t="shared" si="8"/>
        <v>0.99999203844542706</v>
      </c>
      <c r="I31" s="86">
        <f t="shared" si="9"/>
        <v>0.99999203844542706</v>
      </c>
      <c r="J31" s="86">
        <f t="shared" ref="J31:Q59" si="11">B31-B30</f>
        <v>5.4327221642766599E-2</v>
      </c>
      <c r="K31" s="86">
        <f t="shared" si="11"/>
        <v>0</v>
      </c>
      <c r="L31" s="86">
        <f t="shared" si="11"/>
        <v>1.3633741101480985E-4</v>
      </c>
      <c r="M31" s="86">
        <f t="shared" si="11"/>
        <v>9.2524053677256468E-4</v>
      </c>
      <c r="N31" s="86">
        <f t="shared" si="11"/>
        <v>3.3709107061241639E-8</v>
      </c>
      <c r="O31" s="86">
        <f t="shared" si="11"/>
        <v>8.2005444113075754E-7</v>
      </c>
      <c r="P31" s="86">
        <f t="shared" si="11"/>
        <v>1.1907231721175471E-5</v>
      </c>
      <c r="Q31" s="86">
        <f t="shared" si="11"/>
        <v>1.1907231721175471E-5</v>
      </c>
    </row>
    <row r="32" spans="1:17" x14ac:dyDescent="0.2">
      <c r="A32" s="13">
        <v>18</v>
      </c>
      <c r="B32" s="86">
        <f t="shared" si="2"/>
        <v>0.93852948473411124</v>
      </c>
      <c r="C32" s="86">
        <f t="shared" si="3"/>
        <v>1</v>
      </c>
      <c r="D32" s="86">
        <f t="shared" si="4"/>
        <v>5.5956172612306519E-4</v>
      </c>
      <c r="E32" s="86">
        <f t="shared" si="5"/>
        <v>0.99968298160969626</v>
      </c>
      <c r="F32" s="86">
        <f t="shared" si="6"/>
        <v>0.99999999335593015</v>
      </c>
      <c r="G32" s="86">
        <f t="shared" si="7"/>
        <v>0.99999948957261142</v>
      </c>
      <c r="H32" s="86">
        <f t="shared" si="8"/>
        <v>0.99999676202017063</v>
      </c>
      <c r="I32" s="86">
        <f t="shared" si="9"/>
        <v>0.99999676202017063</v>
      </c>
      <c r="J32" s="86">
        <f t="shared" si="11"/>
        <v>3.677534574106045E-2</v>
      </c>
      <c r="K32" s="86">
        <f t="shared" si="11"/>
        <v>0</v>
      </c>
      <c r="L32" s="86">
        <f t="shared" si="11"/>
        <v>3.6499571056137863E-4</v>
      </c>
      <c r="M32" s="86">
        <f t="shared" si="11"/>
        <v>4.0806047405106405E-4</v>
      </c>
      <c r="N32" s="86">
        <f t="shared" si="11"/>
        <v>1.1686403733612849E-8</v>
      </c>
      <c r="O32" s="86">
        <f t="shared" si="11"/>
        <v>4.2649480780365678E-7</v>
      </c>
      <c r="P32" s="86">
        <f t="shared" si="11"/>
        <v>4.7235747435703246E-6</v>
      </c>
      <c r="Q32" s="86">
        <f t="shared" si="11"/>
        <v>4.7235747435703246E-6</v>
      </c>
    </row>
    <row r="33" spans="1:17" x14ac:dyDescent="0.2">
      <c r="A33" s="13">
        <v>19</v>
      </c>
      <c r="B33" s="86">
        <f t="shared" si="2"/>
        <v>0.96245458794655492</v>
      </c>
      <c r="C33" s="86">
        <f t="shared" si="3"/>
        <v>1</v>
      </c>
      <c r="D33" s="86">
        <f t="shared" si="4"/>
        <v>1.4145538742939669E-3</v>
      </c>
      <c r="E33" s="86">
        <f t="shared" si="5"/>
        <v>0.99986165985787612</v>
      </c>
      <c r="F33" s="86">
        <f t="shared" si="6"/>
        <v>0.99999999752563762</v>
      </c>
      <c r="G33" s="86">
        <f t="shared" si="7"/>
        <v>0.99999971635433604</v>
      </c>
      <c r="H33" s="86">
        <f t="shared" si="8"/>
        <v>0.99999866304971374</v>
      </c>
      <c r="I33" s="86">
        <f t="shared" si="9"/>
        <v>0.99999866304971374</v>
      </c>
      <c r="J33" s="86">
        <f t="shared" si="11"/>
        <v>2.3925103212443677E-2</v>
      </c>
      <c r="K33" s="86">
        <f t="shared" si="11"/>
        <v>0</v>
      </c>
      <c r="L33" s="86">
        <f t="shared" si="11"/>
        <v>8.5499214817090171E-4</v>
      </c>
      <c r="M33" s="86">
        <f t="shared" si="11"/>
        <v>1.7867824817985323E-4</v>
      </c>
      <c r="N33" s="86">
        <f t="shared" si="11"/>
        <v>4.1697074681934509E-9</v>
      </c>
      <c r="O33" s="86">
        <f t="shared" si="11"/>
        <v>2.2678172462153867E-7</v>
      </c>
      <c r="P33" s="86">
        <f t="shared" si="11"/>
        <v>1.9010295431165503E-6</v>
      </c>
      <c r="Q33" s="86">
        <f t="shared" si="11"/>
        <v>1.9010295431165503E-6</v>
      </c>
    </row>
    <row r="34" spans="1:17" x14ac:dyDescent="0.2">
      <c r="A34" s="13">
        <v>20</v>
      </c>
      <c r="B34" s="86">
        <f t="shared" si="2"/>
        <v>0.97752353585893037</v>
      </c>
      <c r="C34" s="86">
        <f t="shared" si="3"/>
        <v>1</v>
      </c>
      <c r="D34" s="86">
        <f t="shared" si="4"/>
        <v>3.1983743803901056E-3</v>
      </c>
      <c r="E34" s="86">
        <f t="shared" si="5"/>
        <v>0.99993960840872109</v>
      </c>
      <c r="F34" s="86">
        <f t="shared" si="6"/>
        <v>0.99999999905454207</v>
      </c>
      <c r="G34" s="86">
        <f t="shared" si="7"/>
        <v>0.99999983944562265</v>
      </c>
      <c r="H34" s="86">
        <f t="shared" si="8"/>
        <v>0.99999943954249415</v>
      </c>
      <c r="I34" s="86">
        <f t="shared" si="9"/>
        <v>0.99999943954249415</v>
      </c>
      <c r="J34" s="86">
        <f t="shared" si="11"/>
        <v>1.5068947912375452E-2</v>
      </c>
      <c r="K34" s="86">
        <f t="shared" si="11"/>
        <v>0</v>
      </c>
      <c r="L34" s="86">
        <f t="shared" si="11"/>
        <v>1.7838205060961387E-3</v>
      </c>
      <c r="M34" s="86">
        <f t="shared" si="11"/>
        <v>7.7948550844975095E-5</v>
      </c>
      <c r="N34" s="86">
        <f t="shared" si="11"/>
        <v>1.5289044474897651E-9</v>
      </c>
      <c r="O34" s="86">
        <f t="shared" si="11"/>
        <v>1.2309128660792368E-7</v>
      </c>
      <c r="P34" s="86">
        <f t="shared" si="11"/>
        <v>7.7649278040770042E-7</v>
      </c>
      <c r="Q34" s="86">
        <f t="shared" si="11"/>
        <v>7.7649278040770042E-7</v>
      </c>
    </row>
    <row r="35" spans="1:17" x14ac:dyDescent="0.2">
      <c r="A35" s="13">
        <v>21</v>
      </c>
      <c r="B35" s="86">
        <f t="shared" si="2"/>
        <v>0.98676653344283305</v>
      </c>
      <c r="C35" s="86">
        <f t="shared" si="3"/>
        <v>1</v>
      </c>
      <c r="D35" s="86">
        <f t="shared" si="4"/>
        <v>6.5625533783762839E-3</v>
      </c>
      <c r="E35" s="86">
        <f t="shared" si="5"/>
        <v>0.9999735789654961</v>
      </c>
      <c r="F35" s="86">
        <f t="shared" si="6"/>
        <v>0.99999999962984121</v>
      </c>
      <c r="G35" s="86">
        <f t="shared" si="7"/>
        <v>0.99999990754563661</v>
      </c>
      <c r="H35" s="86">
        <f t="shared" si="8"/>
        <v>0.9999997614867957</v>
      </c>
      <c r="I35" s="86">
        <f t="shared" si="9"/>
        <v>0.9999997614867957</v>
      </c>
      <c r="J35" s="86">
        <f t="shared" si="11"/>
        <v>9.242997583902679E-3</v>
      </c>
      <c r="K35" s="86">
        <f t="shared" si="11"/>
        <v>0</v>
      </c>
      <c r="L35" s="86">
        <f t="shared" si="11"/>
        <v>3.3641789979861783E-3</v>
      </c>
      <c r="M35" s="86">
        <f t="shared" si="11"/>
        <v>3.3970556775009264E-5</v>
      </c>
      <c r="N35" s="86">
        <f t="shared" si="11"/>
        <v>5.7529914165854734E-10</v>
      </c>
      <c r="O35" s="86">
        <f t="shared" si="11"/>
        <v>6.810001396129195E-8</v>
      </c>
      <c r="P35" s="86">
        <f t="shared" si="11"/>
        <v>3.2194430155119136E-7</v>
      </c>
      <c r="Q35" s="86">
        <f t="shared" si="11"/>
        <v>3.2194430155119136E-7</v>
      </c>
    </row>
    <row r="36" spans="1:17" x14ac:dyDescent="0.2">
      <c r="A36" s="13">
        <v>22</v>
      </c>
      <c r="B36" s="86">
        <f t="shared" si="2"/>
        <v>0.99231456877925694</v>
      </c>
      <c r="C36" s="86">
        <f t="shared" si="3"/>
        <v>1</v>
      </c>
      <c r="D36" s="86">
        <f t="shared" si="4"/>
        <v>1.2369403845888562E-2</v>
      </c>
      <c r="E36" s="86">
        <f t="shared" si="5"/>
        <v>0.99998839947687912</v>
      </c>
      <c r="F36" s="86">
        <f t="shared" si="6"/>
        <v>0.99999999985169541</v>
      </c>
      <c r="G36" s="86">
        <f t="shared" si="7"/>
        <v>0.99999994589936647</v>
      </c>
      <c r="H36" s="86">
        <f t="shared" si="8"/>
        <v>0.99999989697679692</v>
      </c>
      <c r="I36" s="86">
        <f t="shared" si="9"/>
        <v>0.99999989697679692</v>
      </c>
      <c r="J36" s="86">
        <f t="shared" si="11"/>
        <v>5.5480353364238955E-3</v>
      </c>
      <c r="K36" s="86">
        <f t="shared" si="11"/>
        <v>0</v>
      </c>
      <c r="L36" s="86">
        <f t="shared" si="11"/>
        <v>5.8068504675122777E-3</v>
      </c>
      <c r="M36" s="86">
        <f t="shared" si="11"/>
        <v>1.4820511383017987E-5</v>
      </c>
      <c r="N36" s="86">
        <f t="shared" si="11"/>
        <v>2.2185420167630809E-10</v>
      </c>
      <c r="O36" s="86">
        <f t="shared" si="11"/>
        <v>3.8353729858719987E-8</v>
      </c>
      <c r="P36" s="86">
        <f t="shared" si="11"/>
        <v>1.3549000121848565E-7</v>
      </c>
      <c r="Q36" s="86">
        <f t="shared" si="11"/>
        <v>1.3549000121848565E-7</v>
      </c>
    </row>
    <row r="37" spans="1:17" x14ac:dyDescent="0.2">
      <c r="A37" s="13">
        <v>23</v>
      </c>
      <c r="B37" s="86">
        <f t="shared" si="2"/>
        <v>0.99558635001304185</v>
      </c>
      <c r="C37" s="86">
        <f t="shared" si="3"/>
        <v>1</v>
      </c>
      <c r="D37" s="86">
        <f t="shared" si="4"/>
        <v>2.1639829778489487E-2</v>
      </c>
      <c r="E37" s="86">
        <f t="shared" si="5"/>
        <v>0.99999488277467308</v>
      </c>
      <c r="F37" s="86">
        <f t="shared" si="6"/>
        <v>0.99999999993926614</v>
      </c>
      <c r="G37" s="86">
        <f t="shared" si="7"/>
        <v>0.99999996786300493</v>
      </c>
      <c r="H37" s="86">
        <f t="shared" si="8"/>
        <v>0.99999995484664039</v>
      </c>
      <c r="I37" s="86">
        <f t="shared" si="9"/>
        <v>0.99999995484664039</v>
      </c>
      <c r="J37" s="86">
        <f t="shared" si="11"/>
        <v>3.2717812337849095E-3</v>
      </c>
      <c r="K37" s="86">
        <f t="shared" si="11"/>
        <v>0</v>
      </c>
      <c r="L37" s="86">
        <f t="shared" si="11"/>
        <v>9.2704259326009258E-3</v>
      </c>
      <c r="M37" s="86">
        <f t="shared" si="11"/>
        <v>6.4832977939577319E-6</v>
      </c>
      <c r="N37" s="86">
        <f t="shared" si="11"/>
        <v>8.7570728446451085E-11</v>
      </c>
      <c r="O37" s="86">
        <f t="shared" si="11"/>
        <v>2.1963638463518009E-8</v>
      </c>
      <c r="P37" s="86">
        <f t="shared" si="11"/>
        <v>5.7869843472779792E-8</v>
      </c>
      <c r="Q37" s="86">
        <f t="shared" si="11"/>
        <v>5.7869843472779792E-8</v>
      </c>
    </row>
    <row r="38" spans="1:17" x14ac:dyDescent="0.2">
      <c r="A38" s="13">
        <v>24</v>
      </c>
      <c r="B38" s="86">
        <f t="shared" si="2"/>
        <v>0.99748818328523281</v>
      </c>
      <c r="C38" s="86">
        <f t="shared" si="3"/>
        <v>1</v>
      </c>
      <c r="D38" s="86">
        <f t="shared" si="4"/>
        <v>3.5451417057751719E-2</v>
      </c>
      <c r="E38" s="86">
        <f t="shared" si="5"/>
        <v>0.99999773019115112</v>
      </c>
      <c r="F38" s="86">
        <f t="shared" si="6"/>
        <v>0.99999999997460542</v>
      </c>
      <c r="G38" s="86">
        <f t="shared" si="7"/>
        <v>0.99999998063861928</v>
      </c>
      <c r="H38" s="86">
        <f t="shared" si="8"/>
        <v>0.99999997992589096</v>
      </c>
      <c r="I38" s="86">
        <f t="shared" si="9"/>
        <v>0.99999997992589096</v>
      </c>
      <c r="J38" s="86">
        <f t="shared" si="11"/>
        <v>1.9018332721909559E-3</v>
      </c>
      <c r="K38" s="86">
        <f t="shared" si="11"/>
        <v>0</v>
      </c>
      <c r="L38" s="86">
        <f t="shared" si="11"/>
        <v>1.3811587279262232E-2</v>
      </c>
      <c r="M38" s="86">
        <f t="shared" si="11"/>
        <v>2.8474164780467603E-6</v>
      </c>
      <c r="N38" s="86">
        <f t="shared" si="11"/>
        <v>3.5339287052238433E-11</v>
      </c>
      <c r="O38" s="86">
        <f t="shared" si="11"/>
        <v>1.2775614344207042E-8</v>
      </c>
      <c r="P38" s="86">
        <f t="shared" si="11"/>
        <v>2.5079250565163136E-8</v>
      </c>
      <c r="Q38" s="86">
        <f t="shared" si="11"/>
        <v>2.5079250565163136E-8</v>
      </c>
    </row>
    <row r="39" spans="1:17" x14ac:dyDescent="0.2">
      <c r="A39" s="13">
        <v>25</v>
      </c>
      <c r="B39" s="86">
        <f t="shared" si="2"/>
        <v>0.99858085294238508</v>
      </c>
      <c r="C39" s="86">
        <f t="shared" si="3"/>
        <v>1</v>
      </c>
      <c r="D39" s="86">
        <f t="shared" si="4"/>
        <v>5.4802451026631803E-2</v>
      </c>
      <c r="E39" s="86">
        <f t="shared" si="5"/>
        <v>0.99999898696124634</v>
      </c>
      <c r="F39" s="86">
        <f t="shared" si="6"/>
        <v>0.99999999998916966</v>
      </c>
      <c r="G39" s="86">
        <f t="shared" si="7"/>
        <v>0.99999998817959301</v>
      </c>
      <c r="H39" s="86">
        <f t="shared" si="8"/>
        <v>0.99999999095061165</v>
      </c>
      <c r="I39" s="86">
        <f t="shared" si="9"/>
        <v>0.99999999095061165</v>
      </c>
      <c r="J39" s="86">
        <f t="shared" si="11"/>
        <v>1.0926696571522676E-3</v>
      </c>
      <c r="K39" s="86">
        <f t="shared" si="11"/>
        <v>0</v>
      </c>
      <c r="L39" s="86">
        <f t="shared" si="11"/>
        <v>1.9351033968880084E-2</v>
      </c>
      <c r="M39" s="86">
        <f t="shared" si="11"/>
        <v>1.2567700952148542E-6</v>
      </c>
      <c r="N39" s="86">
        <f t="shared" si="11"/>
        <v>1.4564238703940191E-11</v>
      </c>
      <c r="O39" s="86">
        <f t="shared" si="11"/>
        <v>7.5409737343434813E-9</v>
      </c>
      <c r="P39" s="86">
        <f t="shared" si="11"/>
        <v>1.1024720691921175E-8</v>
      </c>
      <c r="Q39" s="86">
        <f t="shared" si="11"/>
        <v>1.1024720691921175E-8</v>
      </c>
    </row>
    <row r="40" spans="1:17" x14ac:dyDescent="0.2">
      <c r="A40" s="13">
        <v>26</v>
      </c>
      <c r="B40" s="86">
        <f t="shared" si="2"/>
        <v>0.99920275885314969</v>
      </c>
      <c r="C40" s="86">
        <f t="shared" si="3"/>
        <v>1</v>
      </c>
      <c r="D40" s="86">
        <f t="shared" si="4"/>
        <v>8.0468177370691243E-2</v>
      </c>
      <c r="E40" s="86">
        <f t="shared" si="5"/>
        <v>0.99999954484228848</v>
      </c>
      <c r="F40" s="86">
        <f t="shared" si="6"/>
        <v>0.99999999999529332</v>
      </c>
      <c r="G40" s="86">
        <f t="shared" si="7"/>
        <v>0.99999999269260065</v>
      </c>
      <c r="H40" s="86">
        <f t="shared" si="8"/>
        <v>0.99999999586498922</v>
      </c>
      <c r="I40" s="86">
        <f t="shared" si="9"/>
        <v>0.99999999586498922</v>
      </c>
      <c r="J40" s="86">
        <f t="shared" si="11"/>
        <v>6.2190591076460855E-4</v>
      </c>
      <c r="K40" s="86">
        <f t="shared" si="11"/>
        <v>0</v>
      </c>
      <c r="L40" s="86">
        <f t="shared" si="11"/>
        <v>2.566572634405944E-2</v>
      </c>
      <c r="M40" s="86">
        <f t="shared" si="11"/>
        <v>5.5788104214027356E-7</v>
      </c>
      <c r="N40" s="86">
        <f t="shared" si="11"/>
        <v>6.1236571369249759E-12</v>
      </c>
      <c r="O40" s="86">
        <f t="shared" si="11"/>
        <v>4.5130076342658754E-9</v>
      </c>
      <c r="P40" s="86">
        <f t="shared" si="11"/>
        <v>4.9143775715521087E-9</v>
      </c>
      <c r="Q40" s="86">
        <f t="shared" si="11"/>
        <v>4.9143775715521087E-9</v>
      </c>
    </row>
    <row r="41" spans="1:17" x14ac:dyDescent="0.2">
      <c r="A41" s="13">
        <v>27</v>
      </c>
      <c r="B41" s="86">
        <f t="shared" si="2"/>
        <v>0.99955408667933576</v>
      </c>
      <c r="C41" s="86">
        <f t="shared" si="3"/>
        <v>1</v>
      </c>
      <c r="D41" s="86">
        <f t="shared" si="4"/>
        <v>0.11287830670380546</v>
      </c>
      <c r="E41" s="86">
        <f t="shared" si="5"/>
        <v>0.99999979405081674</v>
      </c>
      <c r="F41" s="86">
        <f t="shared" si="6"/>
        <v>0.99999999999791755</v>
      </c>
      <c r="G41" s="86">
        <f t="shared" si="7"/>
        <v>0.99999999542885043</v>
      </c>
      <c r="H41" s="86">
        <f t="shared" si="8"/>
        <v>0.99999999808555728</v>
      </c>
      <c r="I41" s="86">
        <f t="shared" si="9"/>
        <v>0.99999999808555728</v>
      </c>
      <c r="J41" s="86">
        <f t="shared" si="11"/>
        <v>3.5132782618607639E-4</v>
      </c>
      <c r="K41" s="86">
        <f t="shared" si="11"/>
        <v>0</v>
      </c>
      <c r="L41" s="86">
        <f t="shared" si="11"/>
        <v>3.2410129333114213E-2</v>
      </c>
      <c r="M41" s="86">
        <f t="shared" si="11"/>
        <v>2.4920852825793816E-7</v>
      </c>
      <c r="N41" s="86">
        <f t="shared" si="11"/>
        <v>2.6242341633064825E-12</v>
      </c>
      <c r="O41" s="86">
        <f t="shared" si="11"/>
        <v>2.7362497823091303E-9</v>
      </c>
      <c r="P41" s="86">
        <f t="shared" si="11"/>
        <v>2.2205680627607194E-9</v>
      </c>
      <c r="Q41" s="86">
        <f t="shared" si="11"/>
        <v>2.2205680627607194E-9</v>
      </c>
    </row>
    <row r="42" spans="1:17" x14ac:dyDescent="0.2">
      <c r="A42" s="13">
        <v>28</v>
      </c>
      <c r="B42" s="86">
        <f t="shared" si="2"/>
        <v>0.99975139935601276</v>
      </c>
      <c r="C42" s="86">
        <f t="shared" si="3"/>
        <v>1</v>
      </c>
      <c r="D42" s="86">
        <f t="shared" si="4"/>
        <v>0.15203927639774123</v>
      </c>
      <c r="E42" s="86">
        <f t="shared" si="5"/>
        <v>0.99999990612701373</v>
      </c>
      <c r="F42" s="86">
        <f t="shared" si="6"/>
        <v>0.99999999999906275</v>
      </c>
      <c r="G42" s="86">
        <f t="shared" si="7"/>
        <v>0.99999999710836529</v>
      </c>
      <c r="H42" s="86">
        <f t="shared" si="8"/>
        <v>0.99999999910226267</v>
      </c>
      <c r="I42" s="86">
        <f t="shared" si="9"/>
        <v>0.99999999910226267</v>
      </c>
      <c r="J42" s="86">
        <f t="shared" si="11"/>
        <v>1.9731267667699726E-4</v>
      </c>
      <c r="K42" s="86">
        <f t="shared" si="11"/>
        <v>0</v>
      </c>
      <c r="L42" s="86">
        <f t="shared" si="11"/>
        <v>3.9160969693935774E-2</v>
      </c>
      <c r="M42" s="86">
        <f t="shared" si="11"/>
        <v>1.1207619698971882E-7</v>
      </c>
      <c r="N42" s="86">
        <f t="shared" si="11"/>
        <v>1.145195049900849E-12</v>
      </c>
      <c r="O42" s="86">
        <f t="shared" si="11"/>
        <v>1.6795148605197596E-9</v>
      </c>
      <c r="P42" s="86">
        <f t="shared" si="11"/>
        <v>1.0167053865473008E-9</v>
      </c>
      <c r="Q42" s="86">
        <f t="shared" si="11"/>
        <v>1.0167053865473008E-9</v>
      </c>
    </row>
    <row r="43" spans="1:17" x14ac:dyDescent="0.2">
      <c r="A43" s="13">
        <v>29</v>
      </c>
      <c r="B43" s="86">
        <f t="shared" si="2"/>
        <v>0.99986171747496722</v>
      </c>
      <c r="C43" s="86">
        <f t="shared" si="3"/>
        <v>1</v>
      </c>
      <c r="D43" s="86">
        <f t="shared" si="4"/>
        <v>0.19751378209830847</v>
      </c>
      <c r="E43" s="86">
        <f t="shared" si="5"/>
        <v>0.99999995688892118</v>
      </c>
      <c r="F43" s="86">
        <f t="shared" si="6"/>
        <v>0.99999999999957123</v>
      </c>
      <c r="G43" s="86">
        <f t="shared" si="7"/>
        <v>0.99999999815131602</v>
      </c>
      <c r="H43" s="86">
        <f t="shared" si="8"/>
        <v>0.99999999957378272</v>
      </c>
      <c r="I43" s="86">
        <f t="shared" si="9"/>
        <v>0.99999999957378272</v>
      </c>
      <c r="J43" s="86">
        <f t="shared" si="11"/>
        <v>1.1031811895445554E-4</v>
      </c>
      <c r="K43" s="86">
        <f t="shared" si="11"/>
        <v>0</v>
      </c>
      <c r="L43" s="86">
        <f t="shared" si="11"/>
        <v>4.5474505700567242E-2</v>
      </c>
      <c r="M43" s="86">
        <f t="shared" si="11"/>
        <v>5.0761907455232347E-8</v>
      </c>
      <c r="N43" s="86">
        <f t="shared" si="11"/>
        <v>5.084821452783217E-13</v>
      </c>
      <c r="O43" s="86">
        <f t="shared" si="11"/>
        <v>1.0429507257825321E-9</v>
      </c>
      <c r="P43" s="86">
        <f t="shared" si="11"/>
        <v>4.7152004523098867E-10</v>
      </c>
      <c r="Q43" s="86">
        <f t="shared" si="11"/>
        <v>4.7152004523098867E-10</v>
      </c>
    </row>
    <row r="44" spans="1:17" x14ac:dyDescent="0.2">
      <c r="A44" s="13">
        <v>30</v>
      </c>
      <c r="B44" s="86">
        <f t="shared" si="2"/>
        <v>0.99992319175120004</v>
      </c>
      <c r="C44" s="86">
        <f t="shared" si="3"/>
        <v>1</v>
      </c>
      <c r="D44" s="86">
        <f t="shared" si="4"/>
        <v>0.24845749454000449</v>
      </c>
      <c r="E44" s="86">
        <f t="shared" si="5"/>
        <v>0.99999998004911739</v>
      </c>
      <c r="F44" s="86">
        <f t="shared" si="6"/>
        <v>0.99999999999980071</v>
      </c>
      <c r="G44" s="86">
        <f t="shared" si="7"/>
        <v>0.99999999880615165</v>
      </c>
      <c r="H44" s="86">
        <f t="shared" si="8"/>
        <v>0.99999999979520271</v>
      </c>
      <c r="I44" s="86">
        <f t="shared" si="9"/>
        <v>0.99999999979520271</v>
      </c>
      <c r="J44" s="86">
        <f t="shared" si="11"/>
        <v>6.1474276232820202E-5</v>
      </c>
      <c r="K44" s="86">
        <f t="shared" si="11"/>
        <v>0</v>
      </c>
      <c r="L44" s="86">
        <f t="shared" si="11"/>
        <v>5.0943712441696015E-2</v>
      </c>
      <c r="M44" s="86">
        <f t="shared" si="11"/>
        <v>2.3160196205296302E-8</v>
      </c>
      <c r="N44" s="86">
        <f t="shared" si="11"/>
        <v>2.2948309919001986E-13</v>
      </c>
      <c r="O44" s="86">
        <f t="shared" si="11"/>
        <v>6.5483563016499602E-10</v>
      </c>
      <c r="P44" s="86">
        <f t="shared" si="11"/>
        <v>2.214199934513772E-10</v>
      </c>
      <c r="Q44" s="86">
        <f t="shared" si="11"/>
        <v>2.214199934513772E-10</v>
      </c>
    </row>
    <row r="45" spans="1:17" x14ac:dyDescent="0.2">
      <c r="A45" s="13">
        <v>31</v>
      </c>
      <c r="B45" s="86">
        <f t="shared" si="2"/>
        <v>0.99995736805900737</v>
      </c>
      <c r="C45" s="86">
        <f t="shared" si="3"/>
        <v>1</v>
      </c>
      <c r="D45" s="86">
        <f t="shared" si="4"/>
        <v>0.30370223771028904</v>
      </c>
      <c r="E45" s="86">
        <f t="shared" si="5"/>
        <v>0.99999999069545953</v>
      </c>
      <c r="F45" s="86">
        <f t="shared" si="6"/>
        <v>0.99999999999990596</v>
      </c>
      <c r="G45" s="86">
        <f t="shared" si="7"/>
        <v>0.99999999922162852</v>
      </c>
      <c r="H45" s="86">
        <f t="shared" si="8"/>
        <v>0.99999999990044375</v>
      </c>
      <c r="I45" s="86">
        <f t="shared" si="9"/>
        <v>0.99999999990044375</v>
      </c>
      <c r="J45" s="86">
        <f t="shared" si="11"/>
        <v>3.4176307807332051E-5</v>
      </c>
      <c r="K45" s="86">
        <f t="shared" si="11"/>
        <v>0</v>
      </c>
      <c r="L45" s="86">
        <f t="shared" si="11"/>
        <v>5.5244743170284549E-2</v>
      </c>
      <c r="M45" s="86">
        <f t="shared" si="11"/>
        <v>1.0646342141207299E-8</v>
      </c>
      <c r="N45" s="86">
        <f t="shared" si="11"/>
        <v>1.0524914273446484E-13</v>
      </c>
      <c r="O45" s="86">
        <f t="shared" si="11"/>
        <v>4.1547687512633047E-10</v>
      </c>
      <c r="P45" s="86">
        <f t="shared" si="11"/>
        <v>1.0524103810638508E-10</v>
      </c>
      <c r="Q45" s="86">
        <f t="shared" si="11"/>
        <v>1.0524103810638508E-10</v>
      </c>
    </row>
    <row r="46" spans="1:17" x14ac:dyDescent="0.2">
      <c r="A46" s="13">
        <v>32</v>
      </c>
      <c r="B46" s="86">
        <f t="shared" si="2"/>
        <v>0.99997633990220247</v>
      </c>
      <c r="C46" s="86">
        <f t="shared" si="3"/>
        <v>1</v>
      </c>
      <c r="D46" s="86">
        <f t="shared" si="4"/>
        <v>0.36186838798466803</v>
      </c>
      <c r="E46" s="86">
        <f t="shared" si="5"/>
        <v>0.99999999562675623</v>
      </c>
      <c r="F46" s="86">
        <f t="shared" si="6"/>
        <v>0.99999999999995504</v>
      </c>
      <c r="G46" s="86">
        <f t="shared" si="7"/>
        <v>0.99999999948787466</v>
      </c>
      <c r="H46" s="86">
        <f t="shared" si="8"/>
        <v>0.99999999995105504</v>
      </c>
      <c r="I46" s="86">
        <f t="shared" si="9"/>
        <v>0.99999999995105504</v>
      </c>
      <c r="J46" s="86">
        <f t="shared" si="11"/>
        <v>1.8971843195103588E-5</v>
      </c>
      <c r="K46" s="86">
        <f t="shared" si="11"/>
        <v>0</v>
      </c>
      <c r="L46" s="86">
        <f t="shared" si="11"/>
        <v>5.8166150274378992E-2</v>
      </c>
      <c r="M46" s="86">
        <f t="shared" si="11"/>
        <v>4.9312967043135814E-9</v>
      </c>
      <c r="N46" s="86">
        <f t="shared" si="11"/>
        <v>4.9071857688431919E-14</v>
      </c>
      <c r="O46" s="86">
        <f t="shared" si="11"/>
        <v>2.6624613624903759E-10</v>
      </c>
      <c r="P46" s="86">
        <f t="shared" si="11"/>
        <v>5.0611292934377161E-11</v>
      </c>
      <c r="Q46" s="86">
        <f t="shared" si="11"/>
        <v>5.0611292934377161E-11</v>
      </c>
    </row>
    <row r="47" spans="1:17" x14ac:dyDescent="0.2">
      <c r="A47" s="13">
        <v>33</v>
      </c>
      <c r="B47" s="86">
        <f t="shared" si="2"/>
        <v>0.99998686342185117</v>
      </c>
      <c r="C47" s="86">
        <f t="shared" si="3"/>
        <v>1</v>
      </c>
      <c r="D47" s="86">
        <f t="shared" si="4"/>
        <v>0.42148739551210102</v>
      </c>
      <c r="E47" s="86">
        <f t="shared" si="5"/>
        <v>0.99999999792847616</v>
      </c>
      <c r="F47" s="86">
        <f t="shared" si="6"/>
        <v>0.99999999999997824</v>
      </c>
      <c r="G47" s="86">
        <f t="shared" si="7"/>
        <v>0.99999999966011488</v>
      </c>
      <c r="H47" s="86">
        <f t="shared" si="8"/>
        <v>0.9999999999756729</v>
      </c>
      <c r="I47" s="86">
        <f t="shared" si="9"/>
        <v>0.9999999999756729</v>
      </c>
      <c r="J47" s="86">
        <f t="shared" si="11"/>
        <v>1.0523519648697466E-5</v>
      </c>
      <c r="K47" s="86">
        <f t="shared" si="11"/>
        <v>0</v>
      </c>
      <c r="L47" s="86">
        <f t="shared" si="11"/>
        <v>5.9619007527432988E-2</v>
      </c>
      <c r="M47" s="86">
        <f t="shared" si="11"/>
        <v>2.3017199257679977E-9</v>
      </c>
      <c r="N47" s="86">
        <f t="shared" si="11"/>
        <v>2.3203661214665772E-14</v>
      </c>
      <c r="O47" s="86">
        <f t="shared" si="11"/>
        <v>1.7224022208495171E-10</v>
      </c>
      <c r="P47" s="86">
        <f t="shared" si="11"/>
        <v>2.4617863303433296E-11</v>
      </c>
      <c r="Q47" s="86">
        <f t="shared" si="11"/>
        <v>2.4617863303433296E-11</v>
      </c>
    </row>
    <row r="48" spans="1:17" x14ac:dyDescent="0.2">
      <c r="A48" s="13">
        <v>34</v>
      </c>
      <c r="B48" s="86">
        <f t="shared" si="2"/>
        <v>0.99999269987585548</v>
      </c>
      <c r="C48" s="86">
        <f t="shared" si="3"/>
        <v>1</v>
      </c>
      <c r="D48" s="86">
        <f t="shared" si="4"/>
        <v>0.48111737647615954</v>
      </c>
      <c r="E48" s="86">
        <f t="shared" si="5"/>
        <v>0.99999999901112058</v>
      </c>
      <c r="F48" s="86">
        <f t="shared" si="6"/>
        <v>0.99999999999998923</v>
      </c>
      <c r="G48" s="86">
        <f t="shared" si="7"/>
        <v>0.99999999977255172</v>
      </c>
      <c r="H48" s="86">
        <f t="shared" si="8"/>
        <v>0.99999999998778</v>
      </c>
      <c r="I48" s="86">
        <f t="shared" si="9"/>
        <v>0.99999999998778</v>
      </c>
      <c r="J48" s="86">
        <f t="shared" si="11"/>
        <v>5.8364540043154278E-6</v>
      </c>
      <c r="K48" s="86">
        <f t="shared" si="11"/>
        <v>0</v>
      </c>
      <c r="L48" s="86">
        <f t="shared" si="11"/>
        <v>5.9629980964058527E-2</v>
      </c>
      <c r="M48" s="86">
        <f t="shared" si="11"/>
        <v>1.0826444185596529E-9</v>
      </c>
      <c r="N48" s="86">
        <f t="shared" si="11"/>
        <v>1.099120794378905E-14</v>
      </c>
      <c r="O48" s="86">
        <f t="shared" si="11"/>
        <v>1.1243683761819057E-10</v>
      </c>
      <c r="P48" s="86">
        <f t="shared" si="11"/>
        <v>1.2107093105839795E-11</v>
      </c>
      <c r="Q48" s="86">
        <f t="shared" si="11"/>
        <v>1.2107093105839795E-11</v>
      </c>
    </row>
    <row r="49" spans="1:17" x14ac:dyDescent="0.2">
      <c r="A49" s="13">
        <v>35</v>
      </c>
      <c r="B49" s="86">
        <f t="shared" si="2"/>
        <v>0.99999593808479414</v>
      </c>
      <c r="C49" s="86">
        <f t="shared" si="3"/>
        <v>1</v>
      </c>
      <c r="D49" s="86">
        <f t="shared" si="4"/>
        <v>0.53943924155726997</v>
      </c>
      <c r="E49" s="86">
        <f t="shared" si="5"/>
        <v>0.99999999952428809</v>
      </c>
      <c r="F49" s="86">
        <f t="shared" si="6"/>
        <v>0.99999999999999467</v>
      </c>
      <c r="G49" s="86">
        <f t="shared" si="7"/>
        <v>0.99999999984658505</v>
      </c>
      <c r="H49" s="86">
        <f t="shared" si="8"/>
        <v>0.99999999999379829</v>
      </c>
      <c r="I49" s="86">
        <f t="shared" si="9"/>
        <v>0.99999999999379829</v>
      </c>
      <c r="J49" s="86">
        <f t="shared" si="11"/>
        <v>3.2382089386606694E-6</v>
      </c>
      <c r="K49" s="86">
        <f t="shared" si="11"/>
        <v>0</v>
      </c>
      <c r="L49" s="86">
        <f t="shared" si="11"/>
        <v>5.8321865081110424E-2</v>
      </c>
      <c r="M49" s="86">
        <f t="shared" si="11"/>
        <v>5.1316750848684478E-10</v>
      </c>
      <c r="N49" s="86">
        <f t="shared" si="11"/>
        <v>5.440092820663267E-15</v>
      </c>
      <c r="O49" s="86">
        <f t="shared" si="11"/>
        <v>7.4033335017986701E-11</v>
      </c>
      <c r="P49" s="86">
        <f t="shared" si="11"/>
        <v>6.0182969718880486E-12</v>
      </c>
      <c r="Q49" s="86">
        <f t="shared" si="11"/>
        <v>6.0182969718880486E-12</v>
      </c>
    </row>
    <row r="50" spans="1:17" x14ac:dyDescent="0.2">
      <c r="A50" s="13">
        <v>36</v>
      </c>
      <c r="B50" s="86">
        <f t="shared" si="2"/>
        <v>0.99999773623900345</v>
      </c>
      <c r="C50" s="86">
        <f t="shared" si="3"/>
        <v>1</v>
      </c>
      <c r="D50" s="86">
        <f t="shared" si="4"/>
        <v>0.59532627103610802</v>
      </c>
      <c r="E50" s="86">
        <f t="shared" si="5"/>
        <v>0.99999999976939735</v>
      </c>
      <c r="F50" s="86">
        <f t="shared" si="6"/>
        <v>0.99999999999999734</v>
      </c>
      <c r="G50" s="86">
        <f t="shared" si="7"/>
        <v>0.99999999989573507</v>
      </c>
      <c r="H50" s="86">
        <f t="shared" si="8"/>
        <v>0.99999999999682121</v>
      </c>
      <c r="I50" s="86">
        <f t="shared" si="9"/>
        <v>0.99999999999682121</v>
      </c>
      <c r="J50" s="86">
        <f t="shared" si="11"/>
        <v>1.7981542093092884E-6</v>
      </c>
      <c r="K50" s="86">
        <f t="shared" si="11"/>
        <v>0</v>
      </c>
      <c r="L50" s="86">
        <f t="shared" si="11"/>
        <v>5.5887029478838057E-2</v>
      </c>
      <c r="M50" s="86">
        <f t="shared" si="11"/>
        <v>2.4510926621701401E-10</v>
      </c>
      <c r="N50" s="86">
        <f t="shared" si="11"/>
        <v>2.6645352591003757E-15</v>
      </c>
      <c r="O50" s="86">
        <f t="shared" si="11"/>
        <v>4.915001738936553E-11</v>
      </c>
      <c r="P50" s="86">
        <f t="shared" si="11"/>
        <v>3.0229152514493762E-12</v>
      </c>
      <c r="Q50" s="86">
        <f t="shared" si="11"/>
        <v>3.0229152514493762E-12</v>
      </c>
    </row>
    <row r="51" spans="1:17" x14ac:dyDescent="0.2">
      <c r="A51" s="13">
        <v>37</v>
      </c>
      <c r="B51" s="86">
        <f t="shared" si="2"/>
        <v>0.9999987359760879</v>
      </c>
      <c r="C51" s="86">
        <f t="shared" si="3"/>
        <v>1</v>
      </c>
      <c r="D51" s="86">
        <f t="shared" si="4"/>
        <v>0.64788517087510222</v>
      </c>
      <c r="E51" s="86">
        <f t="shared" si="5"/>
        <v>0.99999999988736576</v>
      </c>
      <c r="F51" s="86">
        <f t="shared" si="6"/>
        <v>0.99999999999999867</v>
      </c>
      <c r="G51" s="86">
        <f t="shared" si="7"/>
        <v>0.99999999992862343</v>
      </c>
      <c r="H51" s="86">
        <f t="shared" si="8"/>
        <v>0.99999999999835487</v>
      </c>
      <c r="I51" s="86">
        <f t="shared" si="9"/>
        <v>0.99999999999835487</v>
      </c>
      <c r="J51" s="86">
        <f t="shared" si="11"/>
        <v>9.997370844505582E-7</v>
      </c>
      <c r="K51" s="86">
        <f t="shared" si="11"/>
        <v>0</v>
      </c>
      <c r="L51" s="86">
        <f t="shared" si="11"/>
        <v>5.25588998389942E-2</v>
      </c>
      <c r="M51" s="86">
        <f t="shared" si="11"/>
        <v>1.1796841281608295E-10</v>
      </c>
      <c r="N51" s="86">
        <f t="shared" si="11"/>
        <v>1.3322676295501878E-15</v>
      </c>
      <c r="O51" s="86">
        <f t="shared" si="11"/>
        <v>3.2888358703075937E-11</v>
      </c>
      <c r="P51" s="86">
        <f t="shared" si="11"/>
        <v>1.5336620862171912E-12</v>
      </c>
      <c r="Q51" s="86">
        <f t="shared" si="11"/>
        <v>1.5336620862171912E-12</v>
      </c>
    </row>
    <row r="52" spans="1:17" x14ac:dyDescent="0.2">
      <c r="A52" s="13">
        <v>38</v>
      </c>
      <c r="B52" s="86">
        <f t="shared" si="2"/>
        <v>0.9999992926847322</v>
      </c>
      <c r="C52" s="86">
        <f t="shared" si="3"/>
        <v>1</v>
      </c>
      <c r="D52" s="86">
        <f t="shared" si="4"/>
        <v>0.69647066438289995</v>
      </c>
      <c r="E52" s="86">
        <f t="shared" si="5"/>
        <v>0.99999999994457267</v>
      </c>
      <c r="F52" s="86">
        <f t="shared" si="6"/>
        <v>0.99999999999999933</v>
      </c>
      <c r="G52" s="86">
        <f t="shared" si="7"/>
        <v>0.99999999995079736</v>
      </c>
      <c r="H52" s="86">
        <f t="shared" si="8"/>
        <v>0.99999999999914058</v>
      </c>
      <c r="I52" s="86">
        <f t="shared" si="9"/>
        <v>0.99999999999914058</v>
      </c>
      <c r="J52" s="86">
        <f t="shared" si="11"/>
        <v>5.5670864429480105E-7</v>
      </c>
      <c r="K52" s="86">
        <f t="shared" si="11"/>
        <v>0</v>
      </c>
      <c r="L52" s="86">
        <f t="shared" si="11"/>
        <v>4.8585493507797728E-2</v>
      </c>
      <c r="M52" s="86">
        <f t="shared" si="11"/>
        <v>5.7206905879070291E-11</v>
      </c>
      <c r="N52" s="86">
        <f t="shared" si="11"/>
        <v>0</v>
      </c>
      <c r="O52" s="86">
        <f t="shared" si="11"/>
        <v>2.2173929359325939E-11</v>
      </c>
      <c r="P52" s="86">
        <f t="shared" si="11"/>
        <v>7.8570483452722328E-13</v>
      </c>
      <c r="Q52" s="86">
        <f t="shared" si="11"/>
        <v>7.8570483452722328E-13</v>
      </c>
    </row>
    <row r="53" spans="1:17" x14ac:dyDescent="0.2">
      <c r="A53" s="13">
        <v>39</v>
      </c>
      <c r="B53" s="86">
        <f t="shared" si="2"/>
        <v>0.99999960326881954</v>
      </c>
      <c r="C53" s="86">
        <f t="shared" si="3"/>
        <v>1</v>
      </c>
      <c r="D53" s="86">
        <f t="shared" si="4"/>
        <v>0.74067827410521603</v>
      </c>
      <c r="E53" s="86">
        <f t="shared" si="5"/>
        <v>0.9999999999725222</v>
      </c>
      <c r="F53" s="86">
        <f t="shared" si="6"/>
        <v>0.99999999999999967</v>
      </c>
      <c r="G53" s="86">
        <f t="shared" si="7"/>
        <v>0.99999999996585587</v>
      </c>
      <c r="H53" s="86">
        <f t="shared" si="8"/>
        <v>0.99999999999954692</v>
      </c>
      <c r="I53" s="86">
        <f t="shared" si="9"/>
        <v>0.99999999999954692</v>
      </c>
      <c r="J53" s="86">
        <f t="shared" si="11"/>
        <v>3.1058408733741771E-7</v>
      </c>
      <c r="K53" s="86">
        <f t="shared" si="11"/>
        <v>0</v>
      </c>
      <c r="L53" s="86">
        <f t="shared" si="11"/>
        <v>4.4207609722316077E-2</v>
      </c>
      <c r="M53" s="86">
        <f t="shared" si="11"/>
        <v>2.7949531578030928E-11</v>
      </c>
      <c r="N53" s="86">
        <f t="shared" si="11"/>
        <v>0</v>
      </c>
      <c r="O53" s="86">
        <f t="shared" si="11"/>
        <v>1.5058509994503311E-11</v>
      </c>
      <c r="P53" s="86">
        <f t="shared" si="11"/>
        <v>4.0634162701280729E-13</v>
      </c>
      <c r="Q53" s="86">
        <f t="shared" si="11"/>
        <v>4.0634162701280729E-13</v>
      </c>
    </row>
    <row r="54" spans="1:17" x14ac:dyDescent="0.2">
      <c r="A54" s="13">
        <v>40</v>
      </c>
      <c r="B54" s="86">
        <f t="shared" si="2"/>
        <v>0.99999977690786745</v>
      </c>
      <c r="C54" s="86">
        <f t="shared" si="3"/>
        <v>1</v>
      </c>
      <c r="D54" s="86">
        <f t="shared" si="4"/>
        <v>0.7803211719183285</v>
      </c>
      <c r="E54" s="86">
        <f t="shared" si="5"/>
        <v>0.99999999998627853</v>
      </c>
      <c r="F54" s="86">
        <f t="shared" si="6"/>
        <v>0.99999999999999978</v>
      </c>
      <c r="G54" s="86">
        <f t="shared" si="7"/>
        <v>0.99999999997615352</v>
      </c>
      <c r="H54" s="86">
        <f t="shared" si="8"/>
        <v>0.99999999999975908</v>
      </c>
      <c r="I54" s="86">
        <f t="shared" si="9"/>
        <v>0.99999999999975908</v>
      </c>
      <c r="J54" s="86">
        <f t="shared" si="11"/>
        <v>1.7363904791789508E-7</v>
      </c>
      <c r="K54" s="86">
        <f t="shared" si="11"/>
        <v>0</v>
      </c>
      <c r="L54" s="86">
        <f t="shared" si="11"/>
        <v>3.9642897813112477E-2</v>
      </c>
      <c r="M54" s="86">
        <f t="shared" si="11"/>
        <v>1.3756329408920465E-11</v>
      </c>
      <c r="N54" s="86">
        <f t="shared" si="11"/>
        <v>0</v>
      </c>
      <c r="O54" s="86">
        <f t="shared" si="11"/>
        <v>1.0297651620305714E-11</v>
      </c>
      <c r="P54" s="86">
        <f t="shared" si="11"/>
        <v>2.1216362000586741E-13</v>
      </c>
      <c r="Q54" s="86">
        <f t="shared" si="11"/>
        <v>2.1216362000586741E-13</v>
      </c>
    </row>
    <row r="55" spans="1:17" x14ac:dyDescent="0.2">
      <c r="A55" s="13">
        <v>41</v>
      </c>
      <c r="B55" s="86">
        <f t="shared" si="2"/>
        <v>0.99999987421057857</v>
      </c>
      <c r="C55" s="86">
        <f t="shared" si="3"/>
        <v>1</v>
      </c>
      <c r="D55" s="86">
        <f t="shared" si="4"/>
        <v>0.81539708408874456</v>
      </c>
      <c r="E55" s="86">
        <f t="shared" si="5"/>
        <v>0.99999999999309863</v>
      </c>
      <c r="F55" s="86">
        <f t="shared" si="6"/>
        <v>0.99999999999999989</v>
      </c>
      <c r="G55" s="86">
        <f t="shared" si="7"/>
        <v>0.99999999998324274</v>
      </c>
      <c r="H55" s="86">
        <f t="shared" si="8"/>
        <v>0.99999999999987077</v>
      </c>
      <c r="I55" s="86">
        <f t="shared" si="9"/>
        <v>0.99999999999987077</v>
      </c>
      <c r="J55" s="86">
        <f t="shared" si="11"/>
        <v>9.7302711110636153E-8</v>
      </c>
      <c r="K55" s="86">
        <f t="shared" si="11"/>
        <v>0</v>
      </c>
      <c r="L55" s="86">
        <f t="shared" si="11"/>
        <v>3.5075912170416057E-2</v>
      </c>
      <c r="M55" s="86">
        <f t="shared" si="11"/>
        <v>6.8201000402723366E-12</v>
      </c>
      <c r="N55" s="86">
        <f t="shared" si="11"/>
        <v>0</v>
      </c>
      <c r="O55" s="86">
        <f t="shared" si="11"/>
        <v>7.0892181014414746E-12</v>
      </c>
      <c r="P55" s="86">
        <f t="shared" si="11"/>
        <v>1.1168843627729075E-13</v>
      </c>
      <c r="Q55" s="86">
        <f t="shared" si="11"/>
        <v>1.1168843627729075E-13</v>
      </c>
    </row>
    <row r="56" spans="1:17" x14ac:dyDescent="0.2">
      <c r="A56" s="13">
        <v>42</v>
      </c>
      <c r="B56" s="86">
        <f t="shared" si="2"/>
        <v>0.99999992887324118</v>
      </c>
      <c r="C56" s="86">
        <f t="shared" si="3"/>
        <v>1</v>
      </c>
      <c r="D56" s="86">
        <f t="shared" si="4"/>
        <v>0.84605058303564284</v>
      </c>
      <c r="E56" s="86">
        <f t="shared" si="5"/>
        <v>0.99999999999650435</v>
      </c>
      <c r="F56" s="86">
        <f t="shared" si="6"/>
        <v>1</v>
      </c>
      <c r="G56" s="86">
        <f t="shared" si="7"/>
        <v>0.99999999998815448</v>
      </c>
      <c r="H56" s="86">
        <f t="shared" si="8"/>
        <v>0.99999999999993006</v>
      </c>
      <c r="I56" s="86">
        <f t="shared" si="9"/>
        <v>0.99999999999993006</v>
      </c>
      <c r="J56" s="86">
        <f t="shared" si="11"/>
        <v>5.4662662618554236E-8</v>
      </c>
      <c r="K56" s="86">
        <f t="shared" si="11"/>
        <v>0</v>
      </c>
      <c r="L56" s="86">
        <f t="shared" si="11"/>
        <v>3.0653498946898283E-2</v>
      </c>
      <c r="M56" s="86">
        <f t="shared" si="11"/>
        <v>3.4057201503401302E-12</v>
      </c>
      <c r="N56" s="86">
        <f t="shared" si="11"/>
        <v>0</v>
      </c>
      <c r="O56" s="86">
        <f t="shared" si="11"/>
        <v>4.9117376832441551E-12</v>
      </c>
      <c r="P56" s="86">
        <f t="shared" si="11"/>
        <v>5.9285909514983359E-14</v>
      </c>
      <c r="Q56" s="86">
        <f t="shared" si="11"/>
        <v>5.9285909514983359E-14</v>
      </c>
    </row>
    <row r="57" spans="1:17" x14ac:dyDescent="0.2">
      <c r="A57" s="13">
        <v>43</v>
      </c>
      <c r="B57" s="86">
        <f t="shared" si="2"/>
        <v>0.99999995966341704</v>
      </c>
      <c r="C57" s="86">
        <f t="shared" si="3"/>
        <v>1</v>
      </c>
      <c r="D57" s="86">
        <f t="shared" si="4"/>
        <v>0.87253502282042494</v>
      </c>
      <c r="E57" s="86">
        <f t="shared" si="5"/>
        <v>0.99999999999821709</v>
      </c>
      <c r="F57" s="86">
        <f t="shared" si="6"/>
        <v>1</v>
      </c>
      <c r="G57" s="86">
        <f t="shared" si="7"/>
        <v>0.99999999999157863</v>
      </c>
      <c r="H57" s="86">
        <f t="shared" si="8"/>
        <v>0.99999999999996192</v>
      </c>
      <c r="I57" s="86">
        <f t="shared" si="9"/>
        <v>0.99999999999996192</v>
      </c>
      <c r="J57" s="86">
        <f t="shared" si="11"/>
        <v>3.0790175853390167E-8</v>
      </c>
      <c r="K57" s="86">
        <f t="shared" si="11"/>
        <v>0</v>
      </c>
      <c r="L57" s="86">
        <f t="shared" si="11"/>
        <v>2.6484439784782099E-2</v>
      </c>
      <c r="M57" s="86">
        <f t="shared" si="11"/>
        <v>1.712741060089229E-12</v>
      </c>
      <c r="N57" s="86">
        <f t="shared" si="11"/>
        <v>0</v>
      </c>
      <c r="O57" s="86">
        <f t="shared" si="11"/>
        <v>3.4241498525489078E-12</v>
      </c>
      <c r="P57" s="86">
        <f t="shared" si="11"/>
        <v>3.1863400806741993E-14</v>
      </c>
      <c r="Q57" s="86">
        <f t="shared" si="11"/>
        <v>3.1863400806741993E-14</v>
      </c>
    </row>
    <row r="58" spans="1:17" x14ac:dyDescent="0.2">
      <c r="A58" s="13">
        <v>44</v>
      </c>
      <c r="B58" s="86">
        <f t="shared" si="2"/>
        <v>0.99999997705528287</v>
      </c>
      <c r="C58" s="86">
        <f t="shared" si="3"/>
        <v>1</v>
      </c>
      <c r="D58" s="86">
        <f t="shared" si="4"/>
        <v>0.89517716318175977</v>
      </c>
      <c r="E58" s="86">
        <f t="shared" si="5"/>
        <v>0.9999999999990844</v>
      </c>
      <c r="F58" s="86">
        <f t="shared" si="6"/>
        <v>1</v>
      </c>
      <c r="G58" s="86">
        <f t="shared" si="7"/>
        <v>0.99999999999398004</v>
      </c>
      <c r="H58" s="86">
        <f t="shared" si="8"/>
        <v>0.99999999999997902</v>
      </c>
      <c r="I58" s="86">
        <f t="shared" si="9"/>
        <v>0.99999999999997902</v>
      </c>
      <c r="J58" s="86">
        <f t="shared" si="11"/>
        <v>1.7391865836380305E-8</v>
      </c>
      <c r="K58" s="86">
        <f t="shared" si="11"/>
        <v>0</v>
      </c>
      <c r="L58" s="86">
        <f t="shared" si="11"/>
        <v>2.2642140361334828E-2</v>
      </c>
      <c r="M58" s="86">
        <f t="shared" si="11"/>
        <v>8.6730622683717229E-13</v>
      </c>
      <c r="N58" s="86">
        <f t="shared" si="11"/>
        <v>0</v>
      </c>
      <c r="O58" s="86">
        <f t="shared" si="11"/>
        <v>2.4014124022642136E-12</v>
      </c>
      <c r="P58" s="86">
        <f t="shared" si="11"/>
        <v>1.7097434579227411E-14</v>
      </c>
      <c r="Q58" s="86">
        <f t="shared" si="11"/>
        <v>1.7097434579227411E-14</v>
      </c>
    </row>
    <row r="59" spans="1:17" x14ac:dyDescent="0.2">
      <c r="A59" s="13">
        <v>45</v>
      </c>
      <c r="B59" s="86">
        <f t="shared" si="2"/>
        <v>0.99999998690765879</v>
      </c>
      <c r="C59" s="86">
        <f t="shared" si="3"/>
        <v>1</v>
      </c>
      <c r="D59" s="86">
        <f t="shared" si="4"/>
        <v>0.91434637594107349</v>
      </c>
      <c r="E59" s="86">
        <f t="shared" si="5"/>
        <v>0.9999999999995266</v>
      </c>
      <c r="F59" s="86">
        <f t="shared" si="6"/>
        <v>1</v>
      </c>
      <c r="G59" s="86">
        <f t="shared" si="7"/>
        <v>0.99999999999567379</v>
      </c>
      <c r="H59" s="86">
        <f t="shared" si="8"/>
        <v>0.99999999999998845</v>
      </c>
      <c r="I59" s="86">
        <f t="shared" si="9"/>
        <v>0.99999999999998845</v>
      </c>
      <c r="J59" s="86">
        <f t="shared" si="11"/>
        <v>9.8523759151092349E-9</v>
      </c>
      <c r="K59" s="86">
        <f t="shared" si="11"/>
        <v>0</v>
      </c>
      <c r="L59" s="86">
        <f t="shared" si="11"/>
        <v>1.9169212759313714E-2</v>
      </c>
      <c r="M59" s="86">
        <f t="shared" si="11"/>
        <v>4.4220183070819985E-13</v>
      </c>
      <c r="N59" s="86">
        <f t="shared" si="11"/>
        <v>0</v>
      </c>
      <c r="O59" s="86">
        <f t="shared" si="11"/>
        <v>1.6937562463681388E-12</v>
      </c>
      <c r="P59" s="86">
        <f t="shared" si="11"/>
        <v>9.4368957093138306E-15</v>
      </c>
      <c r="Q59" s="86">
        <f t="shared" si="11"/>
        <v>9.4368957093138306E-15</v>
      </c>
    </row>
    <row r="60" spans="1:17" x14ac:dyDescent="0.2">
      <c r="A60" s="13">
        <v>46</v>
      </c>
      <c r="B60" s="86">
        <f t="shared" si="2"/>
        <v>0.99999999250571137</v>
      </c>
      <c r="C60" s="86">
        <f t="shared" si="3"/>
        <v>1</v>
      </c>
      <c r="D60" s="86">
        <f t="shared" si="4"/>
        <v>0.93042935482369804</v>
      </c>
      <c r="E60" s="86">
        <f t="shared" si="5"/>
        <v>0.99999999999975364</v>
      </c>
      <c r="F60" s="86">
        <f t="shared" si="6"/>
        <v>1</v>
      </c>
      <c r="G60" s="86">
        <f t="shared" si="7"/>
        <v>0.99999999999687506</v>
      </c>
      <c r="H60" s="86">
        <f t="shared" si="8"/>
        <v>0.99999999999999356</v>
      </c>
      <c r="I60" s="86">
        <f t="shared" si="9"/>
        <v>0.99999999999999356</v>
      </c>
      <c r="J60" s="86">
        <f t="shared" ref="J60:Q91" si="12">B60-B59</f>
        <v>5.5980525770493728E-9</v>
      </c>
      <c r="K60" s="86">
        <f t="shared" si="12"/>
        <v>0</v>
      </c>
      <c r="L60" s="86">
        <f t="shared" si="12"/>
        <v>1.6082978882624555E-2</v>
      </c>
      <c r="M60" s="86">
        <f t="shared" si="12"/>
        <v>2.2704060853584451E-13</v>
      </c>
      <c r="N60" s="86">
        <f t="shared" si="12"/>
        <v>0</v>
      </c>
      <c r="O60" s="86">
        <f t="shared" si="12"/>
        <v>1.2012613126444194E-12</v>
      </c>
      <c r="P60" s="86">
        <f t="shared" si="12"/>
        <v>5.1070259132757201E-15</v>
      </c>
      <c r="Q60" s="86">
        <f t="shared" si="12"/>
        <v>5.1070259132757201E-15</v>
      </c>
    </row>
    <row r="61" spans="1:17" x14ac:dyDescent="0.2">
      <c r="A61" s="13">
        <v>47</v>
      </c>
      <c r="B61" s="86">
        <f t="shared" si="2"/>
        <v>0.99999999569627773</v>
      </c>
      <c r="C61" s="86">
        <f t="shared" si="3"/>
        <v>1</v>
      </c>
      <c r="D61" s="86">
        <f t="shared" si="4"/>
        <v>0.94381050512853182</v>
      </c>
      <c r="E61" s="86">
        <f t="shared" si="5"/>
        <v>0.99999999999987099</v>
      </c>
      <c r="F61" s="86">
        <f t="shared" si="6"/>
        <v>1</v>
      </c>
      <c r="G61" s="86">
        <f t="shared" si="7"/>
        <v>0.99999999999773159</v>
      </c>
      <c r="H61" s="86">
        <f t="shared" si="8"/>
        <v>0.99999999999999634</v>
      </c>
      <c r="I61" s="86">
        <f t="shared" si="9"/>
        <v>0.99999999999999634</v>
      </c>
      <c r="J61" s="86">
        <f t="shared" si="12"/>
        <v>3.1905663666620399E-9</v>
      </c>
      <c r="K61" s="86">
        <f t="shared" si="12"/>
        <v>0</v>
      </c>
      <c r="L61" s="86">
        <f t="shared" si="12"/>
        <v>1.3381150304833778E-2</v>
      </c>
      <c r="M61" s="86">
        <f t="shared" si="12"/>
        <v>1.1735057370287905E-13</v>
      </c>
      <c r="N61" s="86">
        <f t="shared" si="12"/>
        <v>0</v>
      </c>
      <c r="O61" s="86">
        <f t="shared" si="12"/>
        <v>8.5653706349830827E-13</v>
      </c>
      <c r="P61" s="86">
        <f t="shared" si="12"/>
        <v>2.7755575615628914E-15</v>
      </c>
      <c r="Q61" s="86">
        <f t="shared" si="12"/>
        <v>2.7755575615628914E-15</v>
      </c>
    </row>
    <row r="62" spans="1:17" x14ac:dyDescent="0.2">
      <c r="A62" s="13">
        <v>48</v>
      </c>
      <c r="B62" s="86">
        <f t="shared" si="2"/>
        <v>0.99999999752043001</v>
      </c>
      <c r="C62" s="86">
        <f t="shared" si="3"/>
        <v>1</v>
      </c>
      <c r="D62" s="86">
        <f t="shared" si="4"/>
        <v>0.95485767546191347</v>
      </c>
      <c r="E62" s="86">
        <f t="shared" si="5"/>
        <v>0.99999999999993194</v>
      </c>
      <c r="F62" s="86">
        <f t="shared" si="6"/>
        <v>1</v>
      </c>
      <c r="G62" s="86">
        <f t="shared" si="7"/>
        <v>0.99999999999834543</v>
      </c>
      <c r="H62" s="86">
        <f t="shared" si="8"/>
        <v>0.99999999999999789</v>
      </c>
      <c r="I62" s="86">
        <f t="shared" si="9"/>
        <v>0.99999999999999789</v>
      </c>
      <c r="J62" s="86">
        <f t="shared" si="12"/>
        <v>1.8241522736772708E-9</v>
      </c>
      <c r="K62" s="86">
        <f t="shared" si="12"/>
        <v>0</v>
      </c>
      <c r="L62" s="86">
        <f t="shared" si="12"/>
        <v>1.1047170333381651E-2</v>
      </c>
      <c r="M62" s="86">
        <f t="shared" si="12"/>
        <v>6.0951244051921094E-14</v>
      </c>
      <c r="N62" s="86">
        <f t="shared" si="12"/>
        <v>0</v>
      </c>
      <c r="O62" s="86">
        <f t="shared" si="12"/>
        <v>6.1384231031524905E-13</v>
      </c>
      <c r="P62" s="86">
        <f t="shared" si="12"/>
        <v>1.5543122344752192E-15</v>
      </c>
      <c r="Q62" s="86">
        <f t="shared" si="12"/>
        <v>1.5543122344752192E-15</v>
      </c>
    </row>
    <row r="63" spans="1:17" x14ac:dyDescent="0.2">
      <c r="A63" s="13">
        <v>49</v>
      </c>
      <c r="B63" s="86">
        <f t="shared" si="2"/>
        <v>0.99999999856668909</v>
      </c>
      <c r="C63" s="86">
        <f t="shared" si="3"/>
        <v>1</v>
      </c>
      <c r="D63" s="86">
        <f t="shared" si="4"/>
        <v>0.96391258307160976</v>
      </c>
      <c r="E63" s="86">
        <f t="shared" si="5"/>
        <v>0.99999999999996392</v>
      </c>
      <c r="F63" s="86">
        <f t="shared" si="6"/>
        <v>1</v>
      </c>
      <c r="G63" s="86">
        <f t="shared" si="7"/>
        <v>0.99999999999878764</v>
      </c>
      <c r="H63" s="86">
        <f t="shared" si="8"/>
        <v>0.99999999999999878</v>
      </c>
      <c r="I63" s="86">
        <f t="shared" si="9"/>
        <v>0.99999999999999878</v>
      </c>
      <c r="J63" s="86">
        <f t="shared" si="12"/>
        <v>1.0462590793736126E-9</v>
      </c>
      <c r="K63" s="86">
        <f t="shared" si="12"/>
        <v>0</v>
      </c>
      <c r="L63" s="86">
        <f t="shared" si="12"/>
        <v>9.0549076096962944E-3</v>
      </c>
      <c r="M63" s="86">
        <f t="shared" si="12"/>
        <v>3.1974423109204508E-14</v>
      </c>
      <c r="N63" s="86">
        <f t="shared" si="12"/>
        <v>0</v>
      </c>
      <c r="O63" s="86">
        <f t="shared" si="12"/>
        <v>4.4220183070819985E-13</v>
      </c>
      <c r="P63" s="86">
        <f t="shared" si="12"/>
        <v>8.8817841970012523E-16</v>
      </c>
      <c r="Q63" s="86">
        <f t="shared" si="12"/>
        <v>8.8817841970012523E-16</v>
      </c>
    </row>
    <row r="64" spans="1:17" x14ac:dyDescent="0.2">
      <c r="A64" s="13">
        <v>50</v>
      </c>
      <c r="B64" s="86">
        <f t="shared" si="2"/>
        <v>0.99999999916872206</v>
      </c>
      <c r="C64" s="86">
        <f t="shared" si="3"/>
        <v>1</v>
      </c>
      <c r="D64" s="86">
        <f t="shared" si="4"/>
        <v>0.97128513640965353</v>
      </c>
      <c r="E64" s="86">
        <f t="shared" si="5"/>
        <v>0.99999999999998079</v>
      </c>
      <c r="F64" s="86">
        <f t="shared" si="6"/>
        <v>1</v>
      </c>
      <c r="G64" s="86">
        <f t="shared" si="7"/>
        <v>0.9999999999991076</v>
      </c>
      <c r="H64" s="86">
        <f t="shared" si="8"/>
        <v>0.99999999999999933</v>
      </c>
      <c r="I64" s="86">
        <f t="shared" si="9"/>
        <v>0.99999999999999933</v>
      </c>
      <c r="J64" s="86">
        <f t="shared" si="12"/>
        <v>6.0203297902461372E-10</v>
      </c>
      <c r="K64" s="86">
        <f t="shared" si="12"/>
        <v>0</v>
      </c>
      <c r="L64" s="86">
        <f t="shared" si="12"/>
        <v>7.3725533380437636E-3</v>
      </c>
      <c r="M64" s="86">
        <f t="shared" si="12"/>
        <v>1.6875389974302379E-14</v>
      </c>
      <c r="N64" s="86">
        <f t="shared" si="12"/>
        <v>0</v>
      </c>
      <c r="O64" s="86">
        <f t="shared" si="12"/>
        <v>3.1996627569697011E-13</v>
      </c>
      <c r="P64" s="86">
        <f t="shared" si="12"/>
        <v>0</v>
      </c>
      <c r="Q64" s="86">
        <f t="shared" si="12"/>
        <v>0</v>
      </c>
    </row>
    <row r="65" spans="1:17" x14ac:dyDescent="0.2">
      <c r="A65" s="13">
        <v>51</v>
      </c>
      <c r="B65" s="86">
        <f t="shared" si="2"/>
        <v>0.99999999951627239</v>
      </c>
      <c r="C65" s="86">
        <f t="shared" si="3"/>
        <v>1</v>
      </c>
      <c r="D65" s="86">
        <f t="shared" si="4"/>
        <v>0.97725082956180298</v>
      </c>
      <c r="E65" s="86">
        <f t="shared" si="5"/>
        <v>0.99999999999998967</v>
      </c>
      <c r="F65" s="86">
        <f t="shared" si="6"/>
        <v>1</v>
      </c>
      <c r="G65" s="86">
        <f t="shared" si="7"/>
        <v>0.99999999999934031</v>
      </c>
      <c r="H65" s="86">
        <f t="shared" si="8"/>
        <v>0.99999999999999967</v>
      </c>
      <c r="I65" s="86">
        <f t="shared" si="9"/>
        <v>0.99999999999999967</v>
      </c>
      <c r="J65" s="86">
        <f t="shared" si="12"/>
        <v>3.4755032185529444E-10</v>
      </c>
      <c r="K65" s="86">
        <f t="shared" si="12"/>
        <v>0</v>
      </c>
      <c r="L65" s="86">
        <f t="shared" si="12"/>
        <v>5.9656931521494538E-3</v>
      </c>
      <c r="M65" s="86">
        <f t="shared" si="12"/>
        <v>8.8817841970012523E-15</v>
      </c>
      <c r="N65" s="86">
        <f t="shared" si="12"/>
        <v>0</v>
      </c>
      <c r="O65" s="86">
        <f t="shared" si="12"/>
        <v>2.3270274596143281E-13</v>
      </c>
      <c r="P65" s="86">
        <f t="shared" si="12"/>
        <v>0</v>
      </c>
      <c r="Q65" s="86">
        <f t="shared" si="12"/>
        <v>0</v>
      </c>
    </row>
    <row r="66" spans="1:17" x14ac:dyDescent="0.2">
      <c r="A66" s="13">
        <v>52</v>
      </c>
      <c r="B66" s="86">
        <f t="shared" si="2"/>
        <v>0.9999999997175717</v>
      </c>
      <c r="C66" s="86">
        <f t="shared" si="3"/>
        <v>1</v>
      </c>
      <c r="D66" s="86">
        <f t="shared" si="4"/>
        <v>0.98205043286010862</v>
      </c>
      <c r="E66" s="86">
        <f t="shared" si="5"/>
        <v>0.99999999999999445</v>
      </c>
      <c r="F66" s="86">
        <f t="shared" si="6"/>
        <v>1</v>
      </c>
      <c r="G66" s="86">
        <f t="shared" si="7"/>
        <v>0.99999999999951028</v>
      </c>
      <c r="H66" s="86">
        <f t="shared" si="8"/>
        <v>0.99999999999999978</v>
      </c>
      <c r="I66" s="86">
        <f t="shared" si="9"/>
        <v>0.99999999999999978</v>
      </c>
      <c r="J66" s="86">
        <f t="shared" si="12"/>
        <v>2.0129931055379302E-10</v>
      </c>
      <c r="K66" s="86">
        <f t="shared" si="12"/>
        <v>0</v>
      </c>
      <c r="L66" s="86">
        <f t="shared" si="12"/>
        <v>4.7996032983056436E-3</v>
      </c>
      <c r="M66" s="86">
        <f t="shared" si="12"/>
        <v>4.7739590058881731E-15</v>
      </c>
      <c r="N66" s="86">
        <f t="shared" si="12"/>
        <v>0</v>
      </c>
      <c r="O66" s="86">
        <f t="shared" si="12"/>
        <v>1.6997514507011147E-13</v>
      </c>
      <c r="P66" s="86">
        <f t="shared" si="12"/>
        <v>0</v>
      </c>
      <c r="Q66" s="86">
        <f t="shared" si="12"/>
        <v>0</v>
      </c>
    </row>
    <row r="67" spans="1:17" x14ac:dyDescent="0.2">
      <c r="A67" s="13">
        <v>53</v>
      </c>
      <c r="B67" s="86">
        <f t="shared" si="2"/>
        <v>0.99999999983454868</v>
      </c>
      <c r="C67" s="86">
        <f t="shared" si="3"/>
        <v>1</v>
      </c>
      <c r="D67" s="86">
        <f t="shared" si="4"/>
        <v>0.98589129910330842</v>
      </c>
      <c r="E67" s="86">
        <f t="shared" si="5"/>
        <v>0.999999999999997</v>
      </c>
      <c r="F67" s="86">
        <f t="shared" si="6"/>
        <v>1</v>
      </c>
      <c r="G67" s="86">
        <f t="shared" si="7"/>
        <v>0.99999999999963496</v>
      </c>
      <c r="H67" s="86">
        <f t="shared" si="8"/>
        <v>0.99999999999999989</v>
      </c>
      <c r="I67" s="86">
        <f t="shared" si="9"/>
        <v>0.99999999999999989</v>
      </c>
      <c r="J67" s="86">
        <f t="shared" si="12"/>
        <v>1.1697698365509268E-10</v>
      </c>
      <c r="K67" s="86">
        <f t="shared" si="12"/>
        <v>0</v>
      </c>
      <c r="L67" s="86">
        <f t="shared" si="12"/>
        <v>3.840866243199792E-3</v>
      </c>
      <c r="M67" s="86">
        <f t="shared" si="12"/>
        <v>2.55351295663786E-15</v>
      </c>
      <c r="N67" s="86">
        <f t="shared" si="12"/>
        <v>0</v>
      </c>
      <c r="O67" s="86">
        <f t="shared" si="12"/>
        <v>1.2467804566540508E-13</v>
      </c>
      <c r="P67" s="86">
        <f t="shared" si="12"/>
        <v>0</v>
      </c>
      <c r="Q67" s="86">
        <f t="shared" si="12"/>
        <v>0</v>
      </c>
    </row>
    <row r="68" spans="1:17" x14ac:dyDescent="0.2">
      <c r="A68" s="13">
        <v>54</v>
      </c>
      <c r="B68" s="86">
        <f t="shared" si="2"/>
        <v>0.99999999990275079</v>
      </c>
      <c r="C68" s="86">
        <f t="shared" si="3"/>
        <v>1</v>
      </c>
      <c r="D68" s="86">
        <f t="shared" si="4"/>
        <v>0.98894972016833593</v>
      </c>
      <c r="E68" s="86">
        <f t="shared" si="5"/>
        <v>0.99999999999999833</v>
      </c>
      <c r="F68" s="86">
        <f t="shared" si="6"/>
        <v>1</v>
      </c>
      <c r="G68" s="86">
        <f t="shared" si="7"/>
        <v>0.99999999999972689</v>
      </c>
      <c r="H68" s="86">
        <f t="shared" si="8"/>
        <v>0.99999999999999989</v>
      </c>
      <c r="I68" s="86">
        <f t="shared" si="9"/>
        <v>0.99999999999999989</v>
      </c>
      <c r="J68" s="86">
        <f t="shared" si="12"/>
        <v>6.8202110625747991E-11</v>
      </c>
      <c r="K68" s="86">
        <f t="shared" si="12"/>
        <v>0</v>
      </c>
      <c r="L68" s="86">
        <f t="shared" si="12"/>
        <v>3.0584210650275168E-3</v>
      </c>
      <c r="M68" s="86">
        <f t="shared" si="12"/>
        <v>1.3322676295501878E-15</v>
      </c>
      <c r="N68" s="86">
        <f t="shared" si="12"/>
        <v>0</v>
      </c>
      <c r="O68" s="86">
        <f t="shared" si="12"/>
        <v>9.1926466438962962E-14</v>
      </c>
      <c r="P68" s="86">
        <f t="shared" si="12"/>
        <v>0</v>
      </c>
      <c r="Q68" s="86">
        <f t="shared" si="12"/>
        <v>0</v>
      </c>
    </row>
    <row r="69" spans="1:17" x14ac:dyDescent="0.2">
      <c r="A69" s="13">
        <v>55</v>
      </c>
      <c r="B69" s="86">
        <f t="shared" si="2"/>
        <v>0.99999999994264732</v>
      </c>
      <c r="C69" s="86">
        <f t="shared" si="3"/>
        <v>1</v>
      </c>
      <c r="D69" s="86">
        <f t="shared" si="4"/>
        <v>0.99137388688085049</v>
      </c>
      <c r="E69" s="86">
        <f t="shared" si="5"/>
        <v>0.99999999999999911</v>
      </c>
      <c r="F69" s="86">
        <f t="shared" si="6"/>
        <v>1</v>
      </c>
      <c r="G69" s="86">
        <f t="shared" si="7"/>
        <v>0.99999999999979483</v>
      </c>
      <c r="H69" s="86">
        <f t="shared" si="8"/>
        <v>1</v>
      </c>
      <c r="I69" s="86">
        <f t="shared" si="9"/>
        <v>1</v>
      </c>
      <c r="J69" s="86">
        <f t="shared" si="12"/>
        <v>3.9896530523719775E-11</v>
      </c>
      <c r="K69" s="86">
        <f t="shared" si="12"/>
        <v>0</v>
      </c>
      <c r="L69" s="86">
        <f t="shared" si="12"/>
        <v>2.4241667125145527E-3</v>
      </c>
      <c r="M69" s="86">
        <f t="shared" si="12"/>
        <v>0</v>
      </c>
      <c r="N69" s="86">
        <f t="shared" si="12"/>
        <v>0</v>
      </c>
      <c r="O69" s="86">
        <f t="shared" si="12"/>
        <v>6.794564910705958E-14</v>
      </c>
      <c r="P69" s="86">
        <f t="shared" si="12"/>
        <v>0</v>
      </c>
      <c r="Q69" s="86">
        <f t="shared" si="12"/>
        <v>0</v>
      </c>
    </row>
    <row r="70" spans="1:17" x14ac:dyDescent="0.2">
      <c r="A70" s="13">
        <v>56</v>
      </c>
      <c r="B70" s="86">
        <f t="shared" si="2"/>
        <v>0.99999999996606326</v>
      </c>
      <c r="C70" s="86">
        <f t="shared" si="3"/>
        <v>1</v>
      </c>
      <c r="D70" s="86">
        <f t="shared" si="4"/>
        <v>0.99328711478408815</v>
      </c>
      <c r="E70" s="86">
        <f t="shared" si="5"/>
        <v>0.99999999999999944</v>
      </c>
      <c r="F70" s="86">
        <f t="shared" si="6"/>
        <v>1</v>
      </c>
      <c r="G70" s="86">
        <f t="shared" si="7"/>
        <v>0.99999999999984535</v>
      </c>
      <c r="H70" s="86">
        <f t="shared" si="8"/>
        <v>1</v>
      </c>
      <c r="I70" s="86">
        <f t="shared" si="9"/>
        <v>1</v>
      </c>
      <c r="J70" s="86">
        <f t="shared" si="12"/>
        <v>2.3415935856974102E-11</v>
      </c>
      <c r="K70" s="86">
        <f t="shared" si="12"/>
        <v>0</v>
      </c>
      <c r="L70" s="86">
        <f t="shared" si="12"/>
        <v>1.9132279032376687E-3</v>
      </c>
      <c r="M70" s="86">
        <f t="shared" si="12"/>
        <v>0</v>
      </c>
      <c r="N70" s="86">
        <f t="shared" si="12"/>
        <v>0</v>
      </c>
      <c r="O70" s="86">
        <f t="shared" si="12"/>
        <v>5.0515147620444623E-14</v>
      </c>
      <c r="P70" s="86">
        <f t="shared" si="12"/>
        <v>0</v>
      </c>
      <c r="Q70" s="86">
        <f t="shared" si="12"/>
        <v>0</v>
      </c>
    </row>
    <row r="71" spans="1:17" x14ac:dyDescent="0.2">
      <c r="A71" s="13">
        <v>57</v>
      </c>
      <c r="B71" s="86">
        <f t="shared" si="2"/>
        <v>0.99999999997985223</v>
      </c>
      <c r="C71" s="86">
        <f t="shared" si="3"/>
        <v>1</v>
      </c>
      <c r="D71" s="86">
        <f t="shared" si="4"/>
        <v>0.99479109390374976</v>
      </c>
      <c r="E71" s="86">
        <f t="shared" si="5"/>
        <v>0.99999999999999967</v>
      </c>
      <c r="F71" s="86">
        <f t="shared" si="6"/>
        <v>1</v>
      </c>
      <c r="G71" s="86">
        <f t="shared" si="7"/>
        <v>0.99999999999988298</v>
      </c>
      <c r="H71" s="86">
        <f t="shared" si="8"/>
        <v>1</v>
      </c>
      <c r="I71" s="86">
        <f t="shared" si="9"/>
        <v>1</v>
      </c>
      <c r="J71" s="86">
        <f t="shared" si="12"/>
        <v>1.3788969965844444E-11</v>
      </c>
      <c r="K71" s="86">
        <f t="shared" si="12"/>
        <v>0</v>
      </c>
      <c r="L71" s="86">
        <f t="shared" si="12"/>
        <v>1.5039791196616026E-3</v>
      </c>
      <c r="M71" s="86">
        <f t="shared" si="12"/>
        <v>0</v>
      </c>
      <c r="N71" s="86">
        <f t="shared" si="12"/>
        <v>0</v>
      </c>
      <c r="O71" s="86">
        <f t="shared" si="12"/>
        <v>3.7636560534792807E-14</v>
      </c>
      <c r="P71" s="86">
        <f t="shared" si="12"/>
        <v>0</v>
      </c>
      <c r="Q71" s="86">
        <f t="shared" si="12"/>
        <v>0</v>
      </c>
    </row>
    <row r="72" spans="1:17" x14ac:dyDescent="0.2">
      <c r="A72" s="13">
        <v>58</v>
      </c>
      <c r="B72" s="86">
        <f t="shared" si="2"/>
        <v>0.99999999998799893</v>
      </c>
      <c r="C72" s="86">
        <f t="shared" si="3"/>
        <v>1</v>
      </c>
      <c r="D72" s="86">
        <f t="shared" si="4"/>
        <v>0.99596899937583605</v>
      </c>
      <c r="E72" s="86">
        <f t="shared" si="5"/>
        <v>0.99999999999999989</v>
      </c>
      <c r="F72" s="86">
        <f t="shared" si="6"/>
        <v>1</v>
      </c>
      <c r="G72" s="86">
        <f t="shared" si="7"/>
        <v>0.99999999999991107</v>
      </c>
      <c r="H72" s="86">
        <f t="shared" si="8"/>
        <v>1</v>
      </c>
      <c r="I72" s="86">
        <f t="shared" si="9"/>
        <v>1</v>
      </c>
      <c r="J72" s="86">
        <f t="shared" si="12"/>
        <v>8.1467055323969362E-12</v>
      </c>
      <c r="K72" s="86">
        <f t="shared" si="12"/>
        <v>0</v>
      </c>
      <c r="L72" s="86">
        <f t="shared" si="12"/>
        <v>1.1779054720862936E-3</v>
      </c>
      <c r="M72" s="86">
        <f t="shared" si="12"/>
        <v>0</v>
      </c>
      <c r="N72" s="86">
        <f t="shared" si="12"/>
        <v>0</v>
      </c>
      <c r="O72" s="86">
        <f t="shared" si="12"/>
        <v>2.808864252301646E-14</v>
      </c>
      <c r="P72" s="86">
        <f t="shared" si="12"/>
        <v>0</v>
      </c>
      <c r="Q72" s="86">
        <f t="shared" si="12"/>
        <v>0</v>
      </c>
    </row>
    <row r="73" spans="1:17" x14ac:dyDescent="0.2">
      <c r="A73" s="13">
        <v>59</v>
      </c>
      <c r="B73" s="86">
        <f t="shared" si="2"/>
        <v>0.99999999999282796</v>
      </c>
      <c r="C73" s="86">
        <f t="shared" si="3"/>
        <v>1</v>
      </c>
      <c r="D73" s="86">
        <f t="shared" si="4"/>
        <v>0.99688836190690067</v>
      </c>
      <c r="E73" s="86">
        <f t="shared" si="5"/>
        <v>0.99999999999999989</v>
      </c>
      <c r="F73" s="86">
        <f t="shared" si="6"/>
        <v>1</v>
      </c>
      <c r="G73" s="86">
        <f t="shared" si="7"/>
        <v>0.99999999999993228</v>
      </c>
      <c r="H73" s="86">
        <f t="shared" si="8"/>
        <v>1</v>
      </c>
      <c r="I73" s="86">
        <f t="shared" si="9"/>
        <v>1</v>
      </c>
      <c r="J73" s="86">
        <f t="shared" si="12"/>
        <v>4.8290260679095809E-12</v>
      </c>
      <c r="K73" s="86">
        <f t="shared" si="12"/>
        <v>0</v>
      </c>
      <c r="L73" s="86">
        <f t="shared" si="12"/>
        <v>9.1936253106461585E-4</v>
      </c>
      <c r="M73" s="86">
        <f t="shared" si="12"/>
        <v>0</v>
      </c>
      <c r="N73" s="86">
        <f t="shared" si="12"/>
        <v>0</v>
      </c>
      <c r="O73" s="86">
        <f t="shared" si="12"/>
        <v>2.120525977034049E-14</v>
      </c>
      <c r="P73" s="86">
        <f t="shared" si="12"/>
        <v>0</v>
      </c>
      <c r="Q73" s="86">
        <f t="shared" si="12"/>
        <v>0</v>
      </c>
    </row>
    <row r="74" spans="1:17" x14ac:dyDescent="0.2">
      <c r="A74" s="13">
        <v>60</v>
      </c>
      <c r="B74" s="86">
        <f t="shared" si="2"/>
        <v>0.99999999999569988</v>
      </c>
      <c r="C74" s="86">
        <f t="shared" si="3"/>
        <v>1</v>
      </c>
      <c r="D74" s="86">
        <f t="shared" si="4"/>
        <v>0.99760364392359147</v>
      </c>
      <c r="E74" s="86">
        <f t="shared" si="5"/>
        <v>1</v>
      </c>
      <c r="F74" s="86">
        <f t="shared" si="6"/>
        <v>1</v>
      </c>
      <c r="G74" s="86">
        <f t="shared" si="7"/>
        <v>0.99999999999994826</v>
      </c>
      <c r="H74" s="86">
        <f t="shared" si="8"/>
        <v>1</v>
      </c>
      <c r="I74" s="86">
        <f t="shared" si="9"/>
        <v>1</v>
      </c>
      <c r="J74" s="86">
        <f t="shared" si="12"/>
        <v>2.8719249201003549E-12</v>
      </c>
      <c r="K74" s="86">
        <f t="shared" si="12"/>
        <v>0</v>
      </c>
      <c r="L74" s="86">
        <f t="shared" si="12"/>
        <v>7.1528201669079916E-4</v>
      </c>
      <c r="M74" s="86">
        <f t="shared" si="12"/>
        <v>0</v>
      </c>
      <c r="N74" s="86">
        <f t="shared" si="12"/>
        <v>0</v>
      </c>
      <c r="O74" s="86">
        <f t="shared" si="12"/>
        <v>1.5987211554602254E-14</v>
      </c>
      <c r="P74" s="86">
        <f t="shared" si="12"/>
        <v>0</v>
      </c>
      <c r="Q74" s="86">
        <f t="shared" si="12"/>
        <v>0</v>
      </c>
    </row>
    <row r="75" spans="1:17" x14ac:dyDescent="0.2">
      <c r="A75" s="13">
        <v>61</v>
      </c>
      <c r="B75" s="86">
        <f t="shared" si="2"/>
        <v>0.9999999999974134</v>
      </c>
      <c r="C75" s="86">
        <f t="shared" si="3"/>
        <v>1</v>
      </c>
      <c r="D75" s="86">
        <f t="shared" si="4"/>
        <v>0.99815850110767435</v>
      </c>
      <c r="E75" s="86">
        <f t="shared" si="5"/>
        <v>1</v>
      </c>
      <c r="F75" s="86">
        <f t="shared" si="6"/>
        <v>1</v>
      </c>
      <c r="G75" s="86">
        <f t="shared" si="7"/>
        <v>0.99999999999996025</v>
      </c>
      <c r="H75" s="86">
        <f t="shared" si="8"/>
        <v>1</v>
      </c>
      <c r="I75" s="86">
        <f t="shared" si="9"/>
        <v>1</v>
      </c>
      <c r="J75" s="86">
        <f t="shared" si="12"/>
        <v>1.7135182162064666E-12</v>
      </c>
      <c r="K75" s="86">
        <f t="shared" si="12"/>
        <v>0</v>
      </c>
      <c r="L75" s="86">
        <f t="shared" si="12"/>
        <v>5.5485718408287976E-4</v>
      </c>
      <c r="M75" s="86">
        <f t="shared" si="12"/>
        <v>0</v>
      </c>
      <c r="N75" s="86">
        <f t="shared" si="12"/>
        <v>0</v>
      </c>
      <c r="O75" s="86">
        <f t="shared" si="12"/>
        <v>1.1990408665951691E-14</v>
      </c>
      <c r="P75" s="86">
        <f t="shared" si="12"/>
        <v>0</v>
      </c>
      <c r="Q75" s="86">
        <f t="shared" si="12"/>
        <v>0</v>
      </c>
    </row>
    <row r="76" spans="1:17" x14ac:dyDescent="0.2">
      <c r="A76" s="13">
        <v>62</v>
      </c>
      <c r="B76" s="86">
        <f t="shared" si="2"/>
        <v>0.99999999999843903</v>
      </c>
      <c r="C76" s="86">
        <f t="shared" si="3"/>
        <v>1</v>
      </c>
      <c r="D76" s="86">
        <f t="shared" si="4"/>
        <v>0.9985877321991864</v>
      </c>
      <c r="E76" s="86">
        <f t="shared" si="5"/>
        <v>1</v>
      </c>
      <c r="F76" s="86">
        <f t="shared" si="6"/>
        <v>1</v>
      </c>
      <c r="G76" s="86">
        <f t="shared" si="7"/>
        <v>0.99999999999996947</v>
      </c>
      <c r="H76" s="86">
        <f t="shared" si="8"/>
        <v>1</v>
      </c>
      <c r="I76" s="86">
        <f t="shared" si="9"/>
        <v>1</v>
      </c>
      <c r="J76" s="86">
        <f t="shared" si="12"/>
        <v>1.0256240301487196E-12</v>
      </c>
      <c r="K76" s="86">
        <f t="shared" si="12"/>
        <v>0</v>
      </c>
      <c r="L76" s="86">
        <f t="shared" si="12"/>
        <v>4.2923109151205008E-4</v>
      </c>
      <c r="M76" s="86">
        <f t="shared" si="12"/>
        <v>0</v>
      </c>
      <c r="N76" s="86">
        <f t="shared" si="12"/>
        <v>0</v>
      </c>
      <c r="O76" s="86">
        <f t="shared" si="12"/>
        <v>9.2148511043887993E-15</v>
      </c>
      <c r="P76" s="86">
        <f t="shared" si="12"/>
        <v>0</v>
      </c>
      <c r="Q76" s="86">
        <f t="shared" si="12"/>
        <v>0</v>
      </c>
    </row>
    <row r="77" spans="1:17" x14ac:dyDescent="0.2">
      <c r="A77" s="13">
        <v>63</v>
      </c>
      <c r="B77" s="86">
        <f t="shared" si="2"/>
        <v>0.99999999999905498</v>
      </c>
      <c r="C77" s="86">
        <f t="shared" si="3"/>
        <v>1</v>
      </c>
      <c r="D77" s="86">
        <f t="shared" si="4"/>
        <v>0.99891893480110527</v>
      </c>
      <c r="E77" s="86">
        <f t="shared" si="5"/>
        <v>1</v>
      </c>
      <c r="F77" s="86">
        <f t="shared" si="6"/>
        <v>1</v>
      </c>
      <c r="G77" s="86">
        <f t="shared" si="7"/>
        <v>0.99999999999997646</v>
      </c>
      <c r="H77" s="86">
        <f t="shared" si="8"/>
        <v>1</v>
      </c>
      <c r="I77" s="86">
        <f t="shared" si="9"/>
        <v>1</v>
      </c>
      <c r="J77" s="86">
        <f t="shared" si="12"/>
        <v>6.1595173406203685E-13</v>
      </c>
      <c r="K77" s="86">
        <f t="shared" si="12"/>
        <v>0</v>
      </c>
      <c r="L77" s="86">
        <f t="shared" si="12"/>
        <v>3.3120260191887851E-4</v>
      </c>
      <c r="M77" s="86">
        <f t="shared" si="12"/>
        <v>0</v>
      </c>
      <c r="N77" s="86">
        <f t="shared" si="12"/>
        <v>0</v>
      </c>
      <c r="O77" s="86">
        <f t="shared" si="12"/>
        <v>6.9944050551384862E-15</v>
      </c>
      <c r="P77" s="86">
        <f t="shared" si="12"/>
        <v>0</v>
      </c>
      <c r="Q77" s="86">
        <f t="shared" si="12"/>
        <v>0</v>
      </c>
    </row>
    <row r="78" spans="1:17" x14ac:dyDescent="0.2">
      <c r="A78" s="13">
        <v>64</v>
      </c>
      <c r="B78" s="86">
        <f t="shared" si="2"/>
        <v>0.99999999999942613</v>
      </c>
      <c r="C78" s="86">
        <f t="shared" si="3"/>
        <v>1</v>
      </c>
      <c r="D78" s="86">
        <f t="shared" si="4"/>
        <v>0.99917389350253538</v>
      </c>
      <c r="E78" s="86">
        <f t="shared" si="5"/>
        <v>1</v>
      </c>
      <c r="F78" s="86">
        <f t="shared" si="6"/>
        <v>1</v>
      </c>
      <c r="G78" s="86">
        <f t="shared" si="7"/>
        <v>0.99999999999998179</v>
      </c>
      <c r="H78" s="86">
        <f t="shared" si="8"/>
        <v>1</v>
      </c>
      <c r="I78" s="86">
        <f t="shared" si="9"/>
        <v>1</v>
      </c>
      <c r="J78" s="86">
        <f t="shared" si="12"/>
        <v>3.7114755713218983E-13</v>
      </c>
      <c r="K78" s="86">
        <f t="shared" si="12"/>
        <v>0</v>
      </c>
      <c r="L78" s="86">
        <f t="shared" si="12"/>
        <v>2.5495870143010801E-4</v>
      </c>
      <c r="M78" s="86">
        <f t="shared" si="12"/>
        <v>0</v>
      </c>
      <c r="N78" s="86">
        <f t="shared" si="12"/>
        <v>0</v>
      </c>
      <c r="O78" s="86">
        <f t="shared" si="12"/>
        <v>5.3290705182007514E-15</v>
      </c>
      <c r="P78" s="86">
        <f t="shared" si="12"/>
        <v>0</v>
      </c>
      <c r="Q78" s="86">
        <f t="shared" si="12"/>
        <v>0</v>
      </c>
    </row>
    <row r="79" spans="1:17" x14ac:dyDescent="0.2">
      <c r="A79" s="13">
        <v>65</v>
      </c>
      <c r="B79" s="86">
        <f t="shared" ref="B79:B97" si="13">_xlfn.LOGNORM.DIST($A79,$E$3,$F$3,TRUE)</f>
        <v>0.99999999999965039</v>
      </c>
      <c r="C79" s="86">
        <f t="shared" ref="C79:C97" si="14">_xlfn.LOGNORM.DIST($A79,$E$4,$F$4,TRUE)</f>
        <v>1</v>
      </c>
      <c r="D79" s="86">
        <f t="shared" ref="D79:D97" si="15">_xlfn.LOGNORM.DIST($A79,$E$5,$F$5,TRUE)</f>
        <v>0.99936973069805202</v>
      </c>
      <c r="E79" s="86">
        <f t="shared" ref="E79:E97" si="16">_xlfn.LOGNORM.DIST($A79,$E$6,$F$6,TRUE)</f>
        <v>1</v>
      </c>
      <c r="F79" s="86">
        <f t="shared" ref="F79:F97" si="17">_xlfn.LOGNORM.DIST($A79,$E$7,$F$7,TRUE)</f>
        <v>1</v>
      </c>
      <c r="G79" s="86">
        <f t="shared" ref="G79:G97" si="18">_xlfn.LOGNORM.DIST($A79,$E$8,$F$8,TRUE)</f>
        <v>0.99999999999998579</v>
      </c>
      <c r="H79" s="86">
        <f t="shared" ref="H79:H97" si="19">_xlfn.LOGNORM.DIST($A79,$E$10,$F$10,TRUE)</f>
        <v>1</v>
      </c>
      <c r="I79" s="86">
        <f t="shared" ref="I79:I97" si="20">_xlfn.LOGNORM.DIST($A79,$E$9,$F$9,TRUE)</f>
        <v>1</v>
      </c>
      <c r="J79" s="86">
        <f t="shared" si="12"/>
        <v>2.2426505097428162E-13</v>
      </c>
      <c r="K79" s="86">
        <f t="shared" si="12"/>
        <v>0</v>
      </c>
      <c r="L79" s="86">
        <f t="shared" si="12"/>
        <v>1.9583719551663492E-4</v>
      </c>
      <c r="M79" s="86">
        <f t="shared" si="12"/>
        <v>0</v>
      </c>
      <c r="N79" s="86">
        <f t="shared" si="12"/>
        <v>0</v>
      </c>
      <c r="O79" s="86">
        <f t="shared" si="12"/>
        <v>3.9968028886505635E-15</v>
      </c>
      <c r="P79" s="86">
        <f t="shared" si="12"/>
        <v>0</v>
      </c>
      <c r="Q79" s="86">
        <f t="shared" si="12"/>
        <v>0</v>
      </c>
    </row>
    <row r="80" spans="1:17" x14ac:dyDescent="0.2">
      <c r="A80" s="13">
        <v>66</v>
      </c>
      <c r="B80" s="86">
        <f t="shared" si="13"/>
        <v>0.99999999999978628</v>
      </c>
      <c r="C80" s="86">
        <f t="shared" si="14"/>
        <v>1</v>
      </c>
      <c r="D80" s="86">
        <f t="shared" si="15"/>
        <v>0.99951985142389033</v>
      </c>
      <c r="E80" s="86">
        <f t="shared" si="16"/>
        <v>1</v>
      </c>
      <c r="F80" s="86">
        <f t="shared" si="17"/>
        <v>1</v>
      </c>
      <c r="G80" s="86">
        <f t="shared" si="18"/>
        <v>0.99999999999998901</v>
      </c>
      <c r="H80" s="86">
        <f t="shared" si="19"/>
        <v>1</v>
      </c>
      <c r="I80" s="86">
        <f t="shared" si="20"/>
        <v>1</v>
      </c>
      <c r="J80" s="86">
        <f t="shared" si="12"/>
        <v>1.3589129821411916E-13</v>
      </c>
      <c r="K80" s="86">
        <f t="shared" si="12"/>
        <v>0</v>
      </c>
      <c r="L80" s="86">
        <f t="shared" si="12"/>
        <v>1.5012072583830971E-4</v>
      </c>
      <c r="M80" s="86">
        <f t="shared" si="12"/>
        <v>0</v>
      </c>
      <c r="N80" s="86">
        <f t="shared" si="12"/>
        <v>0</v>
      </c>
      <c r="O80" s="86">
        <f t="shared" si="12"/>
        <v>3.219646771412954E-15</v>
      </c>
      <c r="P80" s="86">
        <f t="shared" si="12"/>
        <v>0</v>
      </c>
      <c r="Q80" s="86">
        <f t="shared" si="12"/>
        <v>0</v>
      </c>
    </row>
    <row r="81" spans="1:17" x14ac:dyDescent="0.2">
      <c r="A81" s="13">
        <v>67</v>
      </c>
      <c r="B81" s="86">
        <f t="shared" si="13"/>
        <v>0.99999999999986899</v>
      </c>
      <c r="C81" s="86">
        <f t="shared" si="14"/>
        <v>1</v>
      </c>
      <c r="D81" s="86">
        <f t="shared" si="15"/>
        <v>0.9996347124458751</v>
      </c>
      <c r="E81" s="86">
        <f t="shared" si="16"/>
        <v>1</v>
      </c>
      <c r="F81" s="86">
        <f t="shared" si="17"/>
        <v>1</v>
      </c>
      <c r="G81" s="86">
        <f t="shared" si="18"/>
        <v>0.99999999999999134</v>
      </c>
      <c r="H81" s="86">
        <f t="shared" si="19"/>
        <v>1</v>
      </c>
      <c r="I81" s="86">
        <f t="shared" si="20"/>
        <v>1</v>
      </c>
      <c r="J81" s="86">
        <f t="shared" si="12"/>
        <v>8.2711615334574162E-14</v>
      </c>
      <c r="K81" s="86">
        <f t="shared" si="12"/>
        <v>0</v>
      </c>
      <c r="L81" s="86">
        <f t="shared" si="12"/>
        <v>1.14861021984769E-4</v>
      </c>
      <c r="M81" s="86">
        <f t="shared" si="12"/>
        <v>0</v>
      </c>
      <c r="N81" s="86">
        <f t="shared" si="12"/>
        <v>0</v>
      </c>
      <c r="O81" s="86">
        <f t="shared" si="12"/>
        <v>2.3314683517128287E-15</v>
      </c>
      <c r="P81" s="86">
        <f t="shared" si="12"/>
        <v>0</v>
      </c>
      <c r="Q81" s="86">
        <f t="shared" si="12"/>
        <v>0</v>
      </c>
    </row>
    <row r="82" spans="1:17" x14ac:dyDescent="0.2">
      <c r="A82" s="13">
        <v>68</v>
      </c>
      <c r="B82" s="86">
        <f t="shared" si="13"/>
        <v>0.9999999999999194</v>
      </c>
      <c r="C82" s="86">
        <f t="shared" si="14"/>
        <v>1</v>
      </c>
      <c r="D82" s="86">
        <f t="shared" si="15"/>
        <v>0.99972244353216311</v>
      </c>
      <c r="E82" s="86">
        <f t="shared" si="16"/>
        <v>1</v>
      </c>
      <c r="F82" s="86">
        <f t="shared" si="17"/>
        <v>1</v>
      </c>
      <c r="G82" s="86">
        <f t="shared" si="18"/>
        <v>0.99999999999999323</v>
      </c>
      <c r="H82" s="86">
        <f t="shared" si="19"/>
        <v>1</v>
      </c>
      <c r="I82" s="86">
        <f t="shared" si="20"/>
        <v>1</v>
      </c>
      <c r="J82" s="86">
        <f t="shared" si="12"/>
        <v>5.0404125317982107E-14</v>
      </c>
      <c r="K82" s="86">
        <f t="shared" si="12"/>
        <v>0</v>
      </c>
      <c r="L82" s="86">
        <f t="shared" si="12"/>
        <v>8.7731086288012072E-5</v>
      </c>
      <c r="M82" s="86">
        <f t="shared" si="12"/>
        <v>0</v>
      </c>
      <c r="N82" s="86">
        <f t="shared" si="12"/>
        <v>0</v>
      </c>
      <c r="O82" s="86">
        <f t="shared" si="12"/>
        <v>1.8873791418627661E-15</v>
      </c>
      <c r="P82" s="86">
        <f t="shared" si="12"/>
        <v>0</v>
      </c>
      <c r="Q82" s="86">
        <f t="shared" si="12"/>
        <v>0</v>
      </c>
    </row>
    <row r="83" spans="1:17" x14ac:dyDescent="0.2">
      <c r="A83" s="13">
        <v>69</v>
      </c>
      <c r="B83" s="86">
        <f t="shared" si="13"/>
        <v>0.99999999999995037</v>
      </c>
      <c r="C83" s="86">
        <f t="shared" si="14"/>
        <v>1</v>
      </c>
      <c r="D83" s="86">
        <f t="shared" si="15"/>
        <v>0.9997893459104501</v>
      </c>
      <c r="E83" s="86">
        <f t="shared" si="16"/>
        <v>1</v>
      </c>
      <c r="F83" s="86">
        <f t="shared" si="17"/>
        <v>1</v>
      </c>
      <c r="G83" s="86">
        <f t="shared" si="18"/>
        <v>0.99999999999999467</v>
      </c>
      <c r="H83" s="86">
        <f t="shared" si="19"/>
        <v>1</v>
      </c>
      <c r="I83" s="86">
        <f t="shared" si="20"/>
        <v>1</v>
      </c>
      <c r="J83" s="86">
        <f t="shared" si="12"/>
        <v>3.0975222387041867E-14</v>
      </c>
      <c r="K83" s="86">
        <f t="shared" si="12"/>
        <v>0</v>
      </c>
      <c r="L83" s="86">
        <f t="shared" si="12"/>
        <v>6.6902378286992636E-5</v>
      </c>
      <c r="M83" s="86">
        <f t="shared" si="12"/>
        <v>0</v>
      </c>
      <c r="N83" s="86">
        <f t="shared" si="12"/>
        <v>0</v>
      </c>
      <c r="O83" s="86">
        <f t="shared" si="12"/>
        <v>1.4432899320127035E-15</v>
      </c>
      <c r="P83" s="86">
        <f t="shared" si="12"/>
        <v>0</v>
      </c>
      <c r="Q83" s="86">
        <f t="shared" si="12"/>
        <v>0</v>
      </c>
    </row>
    <row r="84" spans="1:17" x14ac:dyDescent="0.2">
      <c r="A84" s="13">
        <v>70</v>
      </c>
      <c r="B84" s="86">
        <f t="shared" si="13"/>
        <v>0.99999999999996925</v>
      </c>
      <c r="C84" s="86">
        <f t="shared" si="14"/>
        <v>1</v>
      </c>
      <c r="D84" s="86">
        <f t="shared" si="15"/>
        <v>0.99984028974725792</v>
      </c>
      <c r="E84" s="86">
        <f t="shared" si="16"/>
        <v>1</v>
      </c>
      <c r="F84" s="86">
        <f t="shared" si="17"/>
        <v>1</v>
      </c>
      <c r="G84" s="86">
        <f t="shared" si="18"/>
        <v>0.99999999999999589</v>
      </c>
      <c r="H84" s="86">
        <f t="shared" si="19"/>
        <v>1</v>
      </c>
      <c r="I84" s="86">
        <f t="shared" si="20"/>
        <v>1</v>
      </c>
      <c r="J84" s="86">
        <f t="shared" si="12"/>
        <v>1.8873791418627661E-14</v>
      </c>
      <c r="K84" s="86">
        <f t="shared" si="12"/>
        <v>0</v>
      </c>
      <c r="L84" s="86">
        <f t="shared" si="12"/>
        <v>5.0943836807815224E-5</v>
      </c>
      <c r="M84" s="86">
        <f t="shared" si="12"/>
        <v>0</v>
      </c>
      <c r="N84" s="86">
        <f t="shared" si="12"/>
        <v>0</v>
      </c>
      <c r="O84" s="86">
        <f t="shared" si="12"/>
        <v>1.2212453270876722E-15</v>
      </c>
      <c r="P84" s="86">
        <f t="shared" si="12"/>
        <v>0</v>
      </c>
      <c r="Q84" s="86">
        <f t="shared" si="12"/>
        <v>0</v>
      </c>
    </row>
    <row r="85" spans="1:17" x14ac:dyDescent="0.2">
      <c r="A85" s="13">
        <v>71</v>
      </c>
      <c r="B85" s="86">
        <f t="shared" si="13"/>
        <v>0.9999999999999809</v>
      </c>
      <c r="C85" s="86">
        <f t="shared" si="14"/>
        <v>1</v>
      </c>
      <c r="D85" s="86">
        <f t="shared" si="15"/>
        <v>0.99987902936034356</v>
      </c>
      <c r="E85" s="86">
        <f t="shared" si="16"/>
        <v>1</v>
      </c>
      <c r="F85" s="86">
        <f t="shared" si="17"/>
        <v>1</v>
      </c>
      <c r="G85" s="86">
        <f t="shared" si="18"/>
        <v>0.99999999999999667</v>
      </c>
      <c r="H85" s="86">
        <f t="shared" si="19"/>
        <v>1</v>
      </c>
      <c r="I85" s="86">
        <f t="shared" si="20"/>
        <v>1</v>
      </c>
      <c r="J85" s="86">
        <f t="shared" si="12"/>
        <v>1.1657341758564144E-14</v>
      </c>
      <c r="K85" s="86">
        <f t="shared" si="12"/>
        <v>0</v>
      </c>
      <c r="L85" s="86">
        <f t="shared" si="12"/>
        <v>3.8739613085647662E-5</v>
      </c>
      <c r="M85" s="86">
        <f t="shared" si="12"/>
        <v>0</v>
      </c>
      <c r="N85" s="86">
        <f t="shared" si="12"/>
        <v>0</v>
      </c>
      <c r="O85" s="86">
        <f t="shared" si="12"/>
        <v>0</v>
      </c>
      <c r="P85" s="86">
        <f t="shared" si="12"/>
        <v>0</v>
      </c>
      <c r="Q85" s="86">
        <f t="shared" si="12"/>
        <v>0</v>
      </c>
    </row>
    <row r="86" spans="1:17" x14ac:dyDescent="0.2">
      <c r="A86" s="13">
        <v>72</v>
      </c>
      <c r="B86" s="86">
        <f t="shared" si="13"/>
        <v>0.99999999999998812</v>
      </c>
      <c r="C86" s="86">
        <f t="shared" si="14"/>
        <v>1</v>
      </c>
      <c r="D86" s="86">
        <f t="shared" si="15"/>
        <v>0.99990845194535261</v>
      </c>
      <c r="E86" s="86">
        <f t="shared" si="16"/>
        <v>1</v>
      </c>
      <c r="F86" s="86">
        <f t="shared" si="17"/>
        <v>1</v>
      </c>
      <c r="G86" s="86">
        <f t="shared" si="18"/>
        <v>0.99999999999999745</v>
      </c>
      <c r="H86" s="86">
        <f t="shared" si="19"/>
        <v>1</v>
      </c>
      <c r="I86" s="86">
        <f t="shared" si="20"/>
        <v>1</v>
      </c>
      <c r="J86" s="86">
        <f t="shared" si="12"/>
        <v>7.2164496600635175E-15</v>
      </c>
      <c r="K86" s="86">
        <f t="shared" si="12"/>
        <v>0</v>
      </c>
      <c r="L86" s="86">
        <f t="shared" si="12"/>
        <v>2.9422585009042379E-5</v>
      </c>
      <c r="M86" s="86">
        <f t="shared" si="12"/>
        <v>0</v>
      </c>
      <c r="N86" s="86">
        <f t="shared" si="12"/>
        <v>0</v>
      </c>
      <c r="O86" s="86">
        <f t="shared" si="12"/>
        <v>0</v>
      </c>
      <c r="P86" s="86">
        <f t="shared" si="12"/>
        <v>0</v>
      </c>
      <c r="Q86" s="86">
        <f t="shared" si="12"/>
        <v>0</v>
      </c>
    </row>
    <row r="87" spans="1:17" x14ac:dyDescent="0.2">
      <c r="A87" s="13">
        <v>73</v>
      </c>
      <c r="B87" s="86">
        <f t="shared" si="13"/>
        <v>0.99999999999999256</v>
      </c>
      <c r="C87" s="86">
        <f t="shared" si="14"/>
        <v>1</v>
      </c>
      <c r="D87" s="86">
        <f t="shared" si="15"/>
        <v>0.99993077295230759</v>
      </c>
      <c r="E87" s="86">
        <f t="shared" si="16"/>
        <v>1</v>
      </c>
      <c r="F87" s="86">
        <f t="shared" si="17"/>
        <v>1</v>
      </c>
      <c r="G87" s="86">
        <f t="shared" si="18"/>
        <v>0.99999999999999789</v>
      </c>
      <c r="H87" s="86">
        <f t="shared" si="19"/>
        <v>1</v>
      </c>
      <c r="I87" s="86">
        <f t="shared" si="20"/>
        <v>1</v>
      </c>
      <c r="J87" s="86">
        <f t="shared" si="12"/>
        <v>4.4408920985006262E-15</v>
      </c>
      <c r="K87" s="86">
        <f t="shared" si="12"/>
        <v>0</v>
      </c>
      <c r="L87" s="86">
        <f t="shared" si="12"/>
        <v>2.2321006954983957E-5</v>
      </c>
      <c r="M87" s="86">
        <f t="shared" si="12"/>
        <v>0</v>
      </c>
      <c r="N87" s="86">
        <f t="shared" si="12"/>
        <v>0</v>
      </c>
      <c r="O87" s="86">
        <f t="shared" si="12"/>
        <v>0</v>
      </c>
      <c r="P87" s="86">
        <f t="shared" si="12"/>
        <v>0</v>
      </c>
      <c r="Q87" s="86">
        <f t="shared" si="12"/>
        <v>0</v>
      </c>
    </row>
    <row r="88" spans="1:17" x14ac:dyDescent="0.2">
      <c r="A88" s="13">
        <v>74</v>
      </c>
      <c r="B88" s="86">
        <f t="shared" si="13"/>
        <v>0.99999999999999534</v>
      </c>
      <c r="C88" s="86">
        <f t="shared" si="14"/>
        <v>1</v>
      </c>
      <c r="D88" s="86">
        <f t="shared" si="15"/>
        <v>0.99994768892354136</v>
      </c>
      <c r="E88" s="86">
        <f t="shared" si="16"/>
        <v>1</v>
      </c>
      <c r="F88" s="86">
        <f t="shared" si="17"/>
        <v>1</v>
      </c>
      <c r="G88" s="86">
        <f t="shared" si="18"/>
        <v>0.99999999999999833</v>
      </c>
      <c r="H88" s="86">
        <f t="shared" si="19"/>
        <v>1</v>
      </c>
      <c r="I88" s="86">
        <f t="shared" si="20"/>
        <v>1</v>
      </c>
      <c r="J88" s="86">
        <f t="shared" si="12"/>
        <v>2.7755575615628914E-15</v>
      </c>
      <c r="K88" s="86">
        <f t="shared" si="12"/>
        <v>0</v>
      </c>
      <c r="L88" s="86">
        <f t="shared" si="12"/>
        <v>1.6915971233766314E-5</v>
      </c>
      <c r="M88" s="86">
        <f t="shared" si="12"/>
        <v>0</v>
      </c>
      <c r="N88" s="86">
        <f t="shared" si="12"/>
        <v>0</v>
      </c>
      <c r="O88" s="86">
        <f t="shared" si="12"/>
        <v>0</v>
      </c>
      <c r="P88" s="86">
        <f t="shared" si="12"/>
        <v>0</v>
      </c>
      <c r="Q88" s="86">
        <f t="shared" si="12"/>
        <v>0</v>
      </c>
    </row>
    <row r="89" spans="1:17" x14ac:dyDescent="0.2">
      <c r="A89" s="13">
        <v>75</v>
      </c>
      <c r="B89" s="86">
        <f t="shared" si="13"/>
        <v>0.99999999999999711</v>
      </c>
      <c r="C89" s="86">
        <f t="shared" si="14"/>
        <v>1</v>
      </c>
      <c r="D89" s="86">
        <f t="shared" si="15"/>
        <v>0.99996049660626152</v>
      </c>
      <c r="E89" s="86">
        <f t="shared" si="16"/>
        <v>1</v>
      </c>
      <c r="F89" s="86">
        <f t="shared" si="17"/>
        <v>1</v>
      </c>
      <c r="G89" s="86">
        <f t="shared" si="18"/>
        <v>0.99999999999999867</v>
      </c>
      <c r="H89" s="86">
        <f t="shared" si="19"/>
        <v>1</v>
      </c>
      <c r="I89" s="86">
        <f t="shared" si="20"/>
        <v>1</v>
      </c>
      <c r="J89" s="86">
        <f t="shared" si="12"/>
        <v>1.7763568394002505E-15</v>
      </c>
      <c r="K89" s="86">
        <f t="shared" si="12"/>
        <v>0</v>
      </c>
      <c r="L89" s="86">
        <f t="shared" si="12"/>
        <v>1.280768272016175E-5</v>
      </c>
      <c r="M89" s="86">
        <f t="shared" si="12"/>
        <v>0</v>
      </c>
      <c r="N89" s="86">
        <f t="shared" si="12"/>
        <v>0</v>
      </c>
      <c r="O89" s="86">
        <f t="shared" si="12"/>
        <v>0</v>
      </c>
      <c r="P89" s="86">
        <f t="shared" si="12"/>
        <v>0</v>
      </c>
      <c r="Q89" s="86">
        <f t="shared" si="12"/>
        <v>0</v>
      </c>
    </row>
    <row r="90" spans="1:17" x14ac:dyDescent="0.2">
      <c r="A90" s="13">
        <v>76</v>
      </c>
      <c r="B90" s="86">
        <f t="shared" si="13"/>
        <v>0.99999999999999822</v>
      </c>
      <c r="C90" s="86">
        <f t="shared" si="14"/>
        <v>1</v>
      </c>
      <c r="D90" s="86">
        <f t="shared" si="15"/>
        <v>0.99997018546365191</v>
      </c>
      <c r="E90" s="86">
        <f t="shared" si="16"/>
        <v>1</v>
      </c>
      <c r="F90" s="86">
        <f t="shared" si="17"/>
        <v>1</v>
      </c>
      <c r="G90" s="86">
        <f t="shared" si="18"/>
        <v>0.999999999999999</v>
      </c>
      <c r="H90" s="86">
        <f t="shared" si="19"/>
        <v>1</v>
      </c>
      <c r="I90" s="86">
        <f t="shared" si="20"/>
        <v>1</v>
      </c>
      <c r="J90" s="86">
        <f t="shared" si="12"/>
        <v>1.1102230246251565E-15</v>
      </c>
      <c r="K90" s="86">
        <f t="shared" si="12"/>
        <v>0</v>
      </c>
      <c r="L90" s="86">
        <f t="shared" si="12"/>
        <v>9.6888573903886055E-6</v>
      </c>
      <c r="M90" s="86">
        <f t="shared" si="12"/>
        <v>0</v>
      </c>
      <c r="N90" s="86">
        <f t="shared" si="12"/>
        <v>0</v>
      </c>
      <c r="O90" s="86">
        <f t="shared" si="12"/>
        <v>0</v>
      </c>
      <c r="P90" s="86">
        <f t="shared" si="12"/>
        <v>0</v>
      </c>
      <c r="Q90" s="86">
        <f t="shared" si="12"/>
        <v>0</v>
      </c>
    </row>
    <row r="91" spans="1:17" x14ac:dyDescent="0.2">
      <c r="A91" s="13">
        <v>77</v>
      </c>
      <c r="B91" s="86">
        <f t="shared" si="13"/>
        <v>0.99999999999999889</v>
      </c>
      <c r="C91" s="86">
        <f t="shared" si="14"/>
        <v>1</v>
      </c>
      <c r="D91" s="86">
        <f t="shared" si="15"/>
        <v>0.99997750930045914</v>
      </c>
      <c r="E91" s="86">
        <f t="shared" si="16"/>
        <v>1</v>
      </c>
      <c r="F91" s="86">
        <f t="shared" si="17"/>
        <v>1</v>
      </c>
      <c r="G91" s="86">
        <f t="shared" si="18"/>
        <v>0.99999999999999922</v>
      </c>
      <c r="H91" s="86">
        <f t="shared" si="19"/>
        <v>1</v>
      </c>
      <c r="I91" s="86">
        <f t="shared" si="20"/>
        <v>1</v>
      </c>
      <c r="J91" s="86">
        <f t="shared" si="12"/>
        <v>0</v>
      </c>
      <c r="K91" s="86">
        <f t="shared" si="12"/>
        <v>0</v>
      </c>
      <c r="L91" s="86">
        <f t="shared" si="12"/>
        <v>7.3238368072381377E-6</v>
      </c>
      <c r="M91" s="86">
        <f t="shared" si="12"/>
        <v>0</v>
      </c>
      <c r="N91" s="86">
        <f t="shared" si="12"/>
        <v>0</v>
      </c>
      <c r="O91" s="86">
        <f t="shared" si="12"/>
        <v>0</v>
      </c>
      <c r="P91" s="86">
        <f t="shared" si="12"/>
        <v>0</v>
      </c>
      <c r="Q91" s="86">
        <f t="shared" ref="Q91:Q97" si="21">I91-I90</f>
        <v>0</v>
      </c>
    </row>
    <row r="92" spans="1:17" x14ac:dyDescent="0.2">
      <c r="A92" s="13">
        <v>78</v>
      </c>
      <c r="B92" s="86">
        <f t="shared" si="13"/>
        <v>0.99999999999999922</v>
      </c>
      <c r="C92" s="86">
        <f t="shared" si="14"/>
        <v>1</v>
      </c>
      <c r="D92" s="86">
        <f t="shared" si="15"/>
        <v>0.99998304155935802</v>
      </c>
      <c r="E92" s="86">
        <f t="shared" si="16"/>
        <v>1</v>
      </c>
      <c r="F92" s="86">
        <f t="shared" si="17"/>
        <v>1</v>
      </c>
      <c r="G92" s="86">
        <f t="shared" si="18"/>
        <v>0.99999999999999933</v>
      </c>
      <c r="H92" s="86">
        <f t="shared" si="19"/>
        <v>1</v>
      </c>
      <c r="I92" s="86">
        <f t="shared" si="20"/>
        <v>1</v>
      </c>
      <c r="J92" s="86">
        <f t="shared" ref="J92:P97" si="22">B92-B91</f>
        <v>0</v>
      </c>
      <c r="K92" s="86">
        <f t="shared" si="22"/>
        <v>0</v>
      </c>
      <c r="L92" s="86">
        <f t="shared" si="22"/>
        <v>5.532258898877096E-6</v>
      </c>
      <c r="M92" s="86">
        <f t="shared" si="22"/>
        <v>0</v>
      </c>
      <c r="N92" s="86">
        <f t="shared" si="22"/>
        <v>0</v>
      </c>
      <c r="O92" s="86">
        <f t="shared" si="22"/>
        <v>0</v>
      </c>
      <c r="P92" s="86">
        <f t="shared" si="22"/>
        <v>0</v>
      </c>
      <c r="Q92" s="86">
        <f t="shared" si="21"/>
        <v>0</v>
      </c>
    </row>
    <row r="93" spans="1:17" x14ac:dyDescent="0.2">
      <c r="A93" s="13">
        <v>79</v>
      </c>
      <c r="B93" s="86">
        <f t="shared" si="13"/>
        <v>0.99999999999999956</v>
      </c>
      <c r="C93" s="86">
        <f t="shared" si="14"/>
        <v>1</v>
      </c>
      <c r="D93" s="86">
        <f t="shared" si="15"/>
        <v>0.99998721789887179</v>
      </c>
      <c r="E93" s="86">
        <f t="shared" si="16"/>
        <v>1</v>
      </c>
      <c r="F93" s="86">
        <f t="shared" si="17"/>
        <v>1</v>
      </c>
      <c r="G93" s="86">
        <f t="shared" si="18"/>
        <v>0.99999999999999944</v>
      </c>
      <c r="H93" s="86">
        <f t="shared" si="19"/>
        <v>1</v>
      </c>
      <c r="I93" s="86">
        <f t="shared" si="20"/>
        <v>1</v>
      </c>
      <c r="J93" s="86">
        <f t="shared" si="22"/>
        <v>0</v>
      </c>
      <c r="K93" s="86">
        <f t="shared" si="22"/>
        <v>0</v>
      </c>
      <c r="L93" s="86">
        <f t="shared" si="22"/>
        <v>4.176339513772831E-6</v>
      </c>
      <c r="M93" s="86">
        <f t="shared" si="22"/>
        <v>0</v>
      </c>
      <c r="N93" s="86">
        <f t="shared" si="22"/>
        <v>0</v>
      </c>
      <c r="O93" s="86">
        <f t="shared" si="22"/>
        <v>0</v>
      </c>
      <c r="P93" s="86">
        <f t="shared" si="22"/>
        <v>0</v>
      </c>
      <c r="Q93" s="86">
        <f t="shared" si="21"/>
        <v>0</v>
      </c>
    </row>
    <row r="94" spans="1:17" x14ac:dyDescent="0.2">
      <c r="A94" s="13">
        <v>80</v>
      </c>
      <c r="B94" s="86">
        <f t="shared" si="13"/>
        <v>0.99999999999999967</v>
      </c>
      <c r="C94" s="86">
        <f t="shared" si="14"/>
        <v>1</v>
      </c>
      <c r="D94" s="86">
        <f t="shared" si="15"/>
        <v>0.99999036889939796</v>
      </c>
      <c r="E94" s="86">
        <f t="shared" si="16"/>
        <v>1</v>
      </c>
      <c r="F94" s="86">
        <f t="shared" si="17"/>
        <v>1</v>
      </c>
      <c r="G94" s="86">
        <f t="shared" si="18"/>
        <v>0.99999999999999956</v>
      </c>
      <c r="H94" s="86">
        <f t="shared" si="19"/>
        <v>1</v>
      </c>
      <c r="I94" s="86">
        <f t="shared" si="20"/>
        <v>1</v>
      </c>
      <c r="J94" s="86">
        <f t="shared" si="22"/>
        <v>0</v>
      </c>
      <c r="K94" s="86">
        <f t="shared" si="22"/>
        <v>0</v>
      </c>
      <c r="L94" s="86">
        <f t="shared" si="22"/>
        <v>3.1510005261692342E-6</v>
      </c>
      <c r="M94" s="86">
        <f t="shared" si="22"/>
        <v>0</v>
      </c>
      <c r="N94" s="86">
        <f t="shared" si="22"/>
        <v>0</v>
      </c>
      <c r="O94" s="86">
        <f t="shared" si="22"/>
        <v>0</v>
      </c>
      <c r="P94" s="86">
        <f t="shared" si="22"/>
        <v>0</v>
      </c>
      <c r="Q94" s="86">
        <f t="shared" si="21"/>
        <v>0</v>
      </c>
    </row>
    <row r="95" spans="1:17" x14ac:dyDescent="0.2">
      <c r="A95" s="13">
        <v>81</v>
      </c>
      <c r="B95" s="86">
        <f t="shared" si="13"/>
        <v>0.99999999999999978</v>
      </c>
      <c r="C95" s="86">
        <f t="shared" si="14"/>
        <v>1</v>
      </c>
      <c r="D95" s="86">
        <f t="shared" si="15"/>
        <v>0.99999274513090619</v>
      </c>
      <c r="E95" s="86">
        <f t="shared" si="16"/>
        <v>1</v>
      </c>
      <c r="F95" s="86">
        <f t="shared" si="17"/>
        <v>1</v>
      </c>
      <c r="G95" s="86">
        <f t="shared" si="18"/>
        <v>0.99999999999999967</v>
      </c>
      <c r="H95" s="86">
        <f t="shared" si="19"/>
        <v>1</v>
      </c>
      <c r="I95" s="86">
        <f t="shared" si="20"/>
        <v>1</v>
      </c>
      <c r="J95" s="86">
        <f t="shared" si="22"/>
        <v>0</v>
      </c>
      <c r="K95" s="86">
        <f t="shared" si="22"/>
        <v>0</v>
      </c>
      <c r="L95" s="86">
        <f t="shared" si="22"/>
        <v>2.3762315082276331E-6</v>
      </c>
      <c r="M95" s="86">
        <f t="shared" si="22"/>
        <v>0</v>
      </c>
      <c r="N95" s="86">
        <f t="shared" si="22"/>
        <v>0</v>
      </c>
      <c r="O95" s="86">
        <f t="shared" si="22"/>
        <v>0</v>
      </c>
      <c r="P95" s="86">
        <f t="shared" si="22"/>
        <v>0</v>
      </c>
      <c r="Q95" s="86">
        <f t="shared" si="21"/>
        <v>0</v>
      </c>
    </row>
    <row r="96" spans="1:17" x14ac:dyDescent="0.2">
      <c r="A96" s="13">
        <v>82</v>
      </c>
      <c r="B96" s="86">
        <f t="shared" si="13"/>
        <v>0.99999999999999989</v>
      </c>
      <c r="C96" s="86">
        <f t="shared" si="14"/>
        <v>1</v>
      </c>
      <c r="D96" s="86">
        <f t="shared" si="15"/>
        <v>0.99999453632747815</v>
      </c>
      <c r="E96" s="86">
        <f t="shared" si="16"/>
        <v>1</v>
      </c>
      <c r="F96" s="86">
        <f t="shared" si="17"/>
        <v>1</v>
      </c>
      <c r="G96" s="86">
        <f t="shared" si="18"/>
        <v>0.99999999999999967</v>
      </c>
      <c r="H96" s="86">
        <f t="shared" si="19"/>
        <v>1</v>
      </c>
      <c r="I96" s="86">
        <f t="shared" si="20"/>
        <v>1</v>
      </c>
      <c r="J96" s="86">
        <f t="shared" si="22"/>
        <v>0</v>
      </c>
      <c r="K96" s="86">
        <f t="shared" si="22"/>
        <v>0</v>
      </c>
      <c r="L96" s="86">
        <f t="shared" si="22"/>
        <v>1.7911965719541456E-6</v>
      </c>
      <c r="M96" s="86">
        <f t="shared" si="22"/>
        <v>0</v>
      </c>
      <c r="N96" s="86">
        <f t="shared" si="22"/>
        <v>0</v>
      </c>
      <c r="O96" s="86">
        <f t="shared" si="22"/>
        <v>0</v>
      </c>
      <c r="P96" s="86">
        <f t="shared" si="22"/>
        <v>0</v>
      </c>
      <c r="Q96" s="86">
        <f t="shared" si="21"/>
        <v>0</v>
      </c>
    </row>
    <row r="97" spans="1:17" x14ac:dyDescent="0.2">
      <c r="A97" s="13">
        <v>83</v>
      </c>
      <c r="B97" s="86">
        <f t="shared" si="13"/>
        <v>0.99999999999999989</v>
      </c>
      <c r="C97" s="86">
        <f t="shared" si="14"/>
        <v>1</v>
      </c>
      <c r="D97" s="86">
        <f t="shared" si="15"/>
        <v>0.99999588602704703</v>
      </c>
      <c r="E97" s="86">
        <f t="shared" si="16"/>
        <v>1</v>
      </c>
      <c r="F97" s="86">
        <f t="shared" si="17"/>
        <v>1</v>
      </c>
      <c r="G97" s="86">
        <f t="shared" si="18"/>
        <v>0.99999999999999978</v>
      </c>
      <c r="H97" s="86">
        <f t="shared" si="19"/>
        <v>1</v>
      </c>
      <c r="I97" s="86">
        <f t="shared" si="20"/>
        <v>1</v>
      </c>
      <c r="J97" s="86">
        <f t="shared" si="22"/>
        <v>0</v>
      </c>
      <c r="K97" s="86">
        <f t="shared" si="22"/>
        <v>0</v>
      </c>
      <c r="L97" s="86">
        <f t="shared" si="22"/>
        <v>1.349699568886642E-6</v>
      </c>
      <c r="M97" s="86">
        <f t="shared" si="22"/>
        <v>0</v>
      </c>
      <c r="N97" s="86">
        <f t="shared" si="22"/>
        <v>0</v>
      </c>
      <c r="O97" s="86">
        <f t="shared" si="22"/>
        <v>0</v>
      </c>
      <c r="P97" s="86">
        <f t="shared" si="22"/>
        <v>0</v>
      </c>
      <c r="Q97" s="86">
        <f t="shared" si="2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D2A5-712F-E24D-A47B-A89D2B8B6683}">
  <dimension ref="A1:S85"/>
  <sheetViews>
    <sheetView topLeftCell="A2" zoomScale="134" workbookViewId="0">
      <selection activeCell="B23" sqref="B23"/>
    </sheetView>
  </sheetViews>
  <sheetFormatPr baseColWidth="10" defaultRowHeight="16" x14ac:dyDescent="0.2"/>
  <cols>
    <col min="1" max="1" width="26.33203125" bestFit="1" customWidth="1"/>
    <col min="2" max="3" width="12.5" bestFit="1" customWidth="1"/>
    <col min="4" max="4" width="12" bestFit="1" customWidth="1"/>
    <col min="5" max="7" width="12.5" bestFit="1" customWidth="1"/>
    <col min="8" max="8" width="11.5" bestFit="1" customWidth="1"/>
    <col min="9" max="9" width="12" bestFit="1" customWidth="1"/>
    <col min="11" max="11" width="22" bestFit="1" customWidth="1"/>
    <col min="12" max="13" width="13" bestFit="1" customWidth="1"/>
    <col min="14" max="14" width="14.1640625" bestFit="1" customWidth="1"/>
    <col min="15" max="16" width="13" bestFit="1" customWidth="1"/>
    <col min="17" max="18" width="14.1640625" bestFit="1" customWidth="1"/>
  </cols>
  <sheetData>
    <row r="1" spans="1:12" x14ac:dyDescent="0.2">
      <c r="A1" s="197" t="s">
        <v>272</v>
      </c>
      <c r="B1" s="198"/>
      <c r="C1" s="198"/>
      <c r="D1" s="198"/>
      <c r="E1" s="198"/>
      <c r="F1" s="198"/>
      <c r="G1" s="198"/>
      <c r="H1" s="198"/>
      <c r="I1" s="199"/>
      <c r="K1" s="114" t="s">
        <v>266</v>
      </c>
      <c r="L1" s="92">
        <v>39437610</v>
      </c>
    </row>
    <row r="2" spans="1:12" x14ac:dyDescent="0.2">
      <c r="A2" s="101"/>
      <c r="B2" s="122" t="s">
        <v>91</v>
      </c>
      <c r="C2" s="122" t="s">
        <v>87</v>
      </c>
      <c r="D2" s="122" t="s">
        <v>88</v>
      </c>
      <c r="E2" s="122" t="s">
        <v>229</v>
      </c>
      <c r="F2" s="122" t="s">
        <v>90</v>
      </c>
      <c r="G2" s="122" t="s">
        <v>265</v>
      </c>
      <c r="H2" s="122" t="s">
        <v>188</v>
      </c>
      <c r="I2" s="123" t="s">
        <v>63</v>
      </c>
      <c r="K2" s="101" t="s">
        <v>267</v>
      </c>
      <c r="L2" s="102">
        <v>37522584</v>
      </c>
    </row>
    <row r="3" spans="1:12" x14ac:dyDescent="0.2">
      <c r="A3" s="101" t="s">
        <v>278</v>
      </c>
      <c r="B3" s="115">
        <v>270203.11087400001</v>
      </c>
      <c r="C3" s="115">
        <v>528805.62149799999</v>
      </c>
      <c r="D3" s="115">
        <v>654717.92872700002</v>
      </c>
      <c r="E3" s="115">
        <v>1120306.7086199999</v>
      </c>
      <c r="F3" s="115">
        <v>53506.213365800002</v>
      </c>
      <c r="G3" s="115">
        <v>293274.00748600002</v>
      </c>
      <c r="H3" s="115">
        <v>301244.88964900002</v>
      </c>
      <c r="I3" s="116">
        <v>3222058.4802100002</v>
      </c>
      <c r="K3" s="101" t="s">
        <v>268</v>
      </c>
      <c r="L3" s="102">
        <v>334319671</v>
      </c>
    </row>
    <row r="4" spans="1:12" x14ac:dyDescent="0.2">
      <c r="A4" s="103" t="s">
        <v>279</v>
      </c>
      <c r="B4" s="93">
        <f>B3/1000000</f>
        <v>0.27020311087400001</v>
      </c>
      <c r="C4" s="93">
        <f t="shared" ref="C4:I4" si="0">C3/1000000</f>
        <v>0.52880562149800003</v>
      </c>
      <c r="D4" s="93">
        <f t="shared" si="0"/>
        <v>0.65471792872700008</v>
      </c>
      <c r="E4" s="93">
        <f t="shared" si="0"/>
        <v>1.12030670862</v>
      </c>
      <c r="F4" s="93">
        <f t="shared" si="0"/>
        <v>5.3506213365800005E-2</v>
      </c>
      <c r="G4" s="93">
        <f t="shared" si="0"/>
        <v>0.29327400748600002</v>
      </c>
      <c r="H4" s="93">
        <f t="shared" si="0"/>
        <v>0.30124488964900004</v>
      </c>
      <c r="I4" s="94">
        <f t="shared" si="0"/>
        <v>3.2220584802100003</v>
      </c>
      <c r="K4" s="101" t="s">
        <v>269</v>
      </c>
      <c r="L4" s="102">
        <v>125085311</v>
      </c>
    </row>
    <row r="5" spans="1:12" x14ac:dyDescent="0.2">
      <c r="A5" s="121"/>
      <c r="B5" s="198" t="s">
        <v>296</v>
      </c>
      <c r="C5" s="198"/>
      <c r="D5" s="198"/>
      <c r="E5" s="198"/>
      <c r="F5" s="198"/>
      <c r="G5" s="198"/>
      <c r="H5" s="198"/>
      <c r="I5" s="199"/>
      <c r="K5" s="101" t="s">
        <v>270</v>
      </c>
      <c r="L5" s="102">
        <f>SUM(L2:L4)</f>
        <v>496927566</v>
      </c>
    </row>
    <row r="6" spans="1:12" x14ac:dyDescent="0.2">
      <c r="A6" s="101" t="s">
        <v>275</v>
      </c>
      <c r="B6" s="33">
        <f>Production_Consumption!V5</f>
        <v>4.001839153540403</v>
      </c>
      <c r="C6" s="33">
        <f>Production_Consumption!R5</f>
        <v>9.8750040173194744</v>
      </c>
      <c r="D6" s="33">
        <f>Production_Consumption!S5</f>
        <v>9.0834379121541033</v>
      </c>
      <c r="E6" s="33">
        <f>Production_Consumption!Q5</f>
        <v>14.840009808309228</v>
      </c>
      <c r="F6" s="33">
        <f>Production_Consumption!U5</f>
        <v>5.8491239774767498</v>
      </c>
      <c r="G6" s="33">
        <f>Production_Consumption!T5</f>
        <v>2.7192307801347937</v>
      </c>
      <c r="H6" s="33">
        <f>SUM(Production_Consumption!W5,Production_Consumption!X5,Production_Consumption!Y5)</f>
        <v>14.286423029221869</v>
      </c>
      <c r="I6" s="105">
        <f>SUM(B6:H6)</f>
        <v>60.655068678156624</v>
      </c>
      <c r="K6" s="103" t="s">
        <v>264</v>
      </c>
      <c r="L6" s="117">
        <f>L1/L5</f>
        <v>7.9362894510867199E-2</v>
      </c>
    </row>
    <row r="7" spans="1:12" x14ac:dyDescent="0.2">
      <c r="A7" s="101" t="s">
        <v>274</v>
      </c>
      <c r="B7" s="33">
        <f ca="1">NAFTA!H13*EoL!M5</f>
        <v>0.43365416695997405</v>
      </c>
      <c r="C7" s="33">
        <f ca="1">NAFTA!D13*EoL!M5</f>
        <v>1.070092144275343</v>
      </c>
      <c r="D7" s="33">
        <f ca="1">NAFTA!E13*EoL!M5</f>
        <v>0.984315098582351</v>
      </c>
      <c r="E7" s="33">
        <f ca="1">NAFTA!C13*EoL!M5</f>
        <v>1.6081186285077937</v>
      </c>
      <c r="F7" s="33">
        <f ca="1">NAFTA!G13*EoL!M5</f>
        <v>0.63383281750698717</v>
      </c>
      <c r="G7" s="33">
        <f ca="1">NAFTA!F13*EoL!M5</f>
        <v>0.29466595569890364</v>
      </c>
      <c r="H7" s="33">
        <f ca="1">SUM(NAFTA!J13:K13)*EoL!M5</f>
        <v>0.9369472259086512</v>
      </c>
      <c r="I7" s="105">
        <f ca="1">SUM(B7:H7)</f>
        <v>5.961626037440003</v>
      </c>
      <c r="J7" s="33"/>
      <c r="K7" s="101" t="s">
        <v>292</v>
      </c>
      <c r="L7" s="126">
        <f>L3/L5</f>
        <v>0.67277344601969613</v>
      </c>
    </row>
    <row r="8" spans="1:12" x14ac:dyDescent="0.2">
      <c r="A8" s="101" t="s">
        <v>276</v>
      </c>
      <c r="B8" s="33">
        <f ca="1">SUM(B6:B7)</f>
        <v>4.4354933205003775</v>
      </c>
      <c r="C8" s="33">
        <f t="shared" ref="C8:I8" ca="1" si="1">SUM(C6:C7)</f>
        <v>10.945096161594817</v>
      </c>
      <c r="D8" s="33">
        <f t="shared" ca="1" si="1"/>
        <v>10.067753010736455</v>
      </c>
      <c r="E8" s="33">
        <f t="shared" ca="1" si="1"/>
        <v>16.448128436817022</v>
      </c>
      <c r="F8" s="33">
        <f t="shared" ca="1" si="1"/>
        <v>6.4829567949837372</v>
      </c>
      <c r="G8" s="33">
        <f t="shared" ca="1" si="1"/>
        <v>3.0138967358336974</v>
      </c>
      <c r="H8" s="33">
        <f t="shared" ca="1" si="1"/>
        <v>15.22337025513052</v>
      </c>
      <c r="I8" s="33">
        <f t="shared" ca="1" si="1"/>
        <v>66.616694715596623</v>
      </c>
      <c r="J8" s="33"/>
    </row>
    <row r="9" spans="1:12" x14ac:dyDescent="0.2">
      <c r="A9" s="120"/>
      <c r="B9" s="203" t="s">
        <v>273</v>
      </c>
      <c r="C9" s="203"/>
      <c r="D9" s="203"/>
      <c r="E9" s="203"/>
      <c r="F9" s="203"/>
      <c r="G9" s="203"/>
      <c r="H9" s="203"/>
      <c r="I9" s="204"/>
    </row>
    <row r="10" spans="1:12" x14ac:dyDescent="0.2">
      <c r="A10" s="103" t="s">
        <v>277</v>
      </c>
      <c r="B10" s="97">
        <f t="shared" ref="B10:I10" ca="1" si="2">B8*$L$6</f>
        <v>0.35201358849852754</v>
      </c>
      <c r="C10" s="97">
        <f t="shared" ca="1" si="2"/>
        <v>0.86863451208394693</v>
      </c>
      <c r="D10" s="97">
        <f t="shared" ca="1" si="2"/>
        <v>0.79900602015254296</v>
      </c>
      <c r="E10" s="97">
        <f t="shared" ca="1" si="2"/>
        <v>1.3053710820323043</v>
      </c>
      <c r="F10" s="97">
        <f t="shared" ca="1" si="2"/>
        <v>0.5145062162388041</v>
      </c>
      <c r="G10" s="97">
        <f t="shared" ca="1" si="2"/>
        <v>0.23919156871261671</v>
      </c>
      <c r="H10" s="97">
        <f t="shared" ca="1" si="2"/>
        <v>1.2081707276577969</v>
      </c>
      <c r="I10" s="97">
        <f t="shared" ca="1" si="2"/>
        <v>5.2868937153765394</v>
      </c>
    </row>
    <row r="11" spans="1:12" x14ac:dyDescent="0.2">
      <c r="A11" s="200" t="s">
        <v>271</v>
      </c>
      <c r="B11" s="201"/>
      <c r="C11" s="201"/>
      <c r="D11" s="201"/>
      <c r="E11" s="201"/>
      <c r="F11" s="201"/>
      <c r="G11" s="201"/>
      <c r="H11" s="201"/>
      <c r="I11" s="202"/>
    </row>
    <row r="12" spans="1:12" x14ac:dyDescent="0.2">
      <c r="A12" s="103"/>
      <c r="B12" s="118">
        <f ca="1">(B10-B4)/B10</f>
        <v>0.23240715784149266</v>
      </c>
      <c r="C12" s="118">
        <f t="shared" ref="C12:I12" ca="1" si="3">(C10-C4)/C10</f>
        <v>0.39122195337445331</v>
      </c>
      <c r="D12" s="118">
        <f t="shared" ca="1" si="3"/>
        <v>0.18058448595668403</v>
      </c>
      <c r="E12" s="118">
        <f t="shared" ca="1" si="3"/>
        <v>0.14177146710204544</v>
      </c>
      <c r="F12" s="118">
        <f t="shared" ca="1" si="3"/>
        <v>0.89600472904497319</v>
      </c>
      <c r="G12" s="118">
        <f t="shared" ca="1" si="3"/>
        <v>-0.22610512178362835</v>
      </c>
      <c r="H12" s="118">
        <f t="shared" ca="1" si="3"/>
        <v>0.75066033073570304</v>
      </c>
      <c r="I12" s="119">
        <f t="shared" ca="1" si="3"/>
        <v>0.39055735680123821</v>
      </c>
    </row>
    <row r="16" spans="1:12" x14ac:dyDescent="0.2">
      <c r="A16" s="197" t="s">
        <v>272</v>
      </c>
      <c r="B16" s="198"/>
      <c r="C16" s="198"/>
      <c r="D16" s="198"/>
      <c r="E16" s="198"/>
      <c r="F16" s="198"/>
      <c r="G16" s="198"/>
      <c r="H16" s="198"/>
      <c r="I16" s="199"/>
    </row>
    <row r="17" spans="1:19" x14ac:dyDescent="0.2">
      <c r="A17" s="101"/>
      <c r="B17" s="122" t="s">
        <v>91</v>
      </c>
      <c r="C17" s="122" t="s">
        <v>87</v>
      </c>
      <c r="D17" s="122" t="s">
        <v>88</v>
      </c>
      <c r="E17" s="122" t="s">
        <v>229</v>
      </c>
      <c r="F17" s="122" t="s">
        <v>90</v>
      </c>
      <c r="G17" s="122" t="s">
        <v>265</v>
      </c>
      <c r="H17" s="122" t="s">
        <v>188</v>
      </c>
      <c r="I17" s="123" t="s">
        <v>63</v>
      </c>
    </row>
    <row r="18" spans="1:19" x14ac:dyDescent="0.2">
      <c r="A18" s="124" t="s">
        <v>281</v>
      </c>
      <c r="B18" s="124">
        <v>5986</v>
      </c>
      <c r="C18" s="124">
        <v>7910</v>
      </c>
      <c r="D18" s="124">
        <v>8189</v>
      </c>
      <c r="E18" s="124">
        <v>15139</v>
      </c>
      <c r="F18" s="124">
        <v>699</v>
      </c>
      <c r="G18" s="124">
        <v>3094</v>
      </c>
      <c r="H18" s="124">
        <v>3115</v>
      </c>
      <c r="I18" s="124">
        <v>44131</v>
      </c>
    </row>
    <row r="19" spans="1:19" x14ac:dyDescent="0.2">
      <c r="A19" s="124" t="s">
        <v>282</v>
      </c>
      <c r="B19" s="124">
        <v>4554</v>
      </c>
      <c r="C19" s="124">
        <v>6448</v>
      </c>
      <c r="D19" s="124">
        <v>7202</v>
      </c>
      <c r="E19" s="124">
        <v>13290</v>
      </c>
      <c r="F19" s="124">
        <v>614</v>
      </c>
      <c r="G19" s="124">
        <v>2815</v>
      </c>
      <c r="H19" s="124">
        <v>2796</v>
      </c>
      <c r="I19" s="124">
        <v>37720</v>
      </c>
    </row>
    <row r="20" spans="1:19" x14ac:dyDescent="0.2">
      <c r="A20" s="125" t="s">
        <v>283</v>
      </c>
      <c r="B20" s="124">
        <v>533</v>
      </c>
      <c r="C20" s="124">
        <v>693</v>
      </c>
      <c r="D20" s="124">
        <v>716</v>
      </c>
      <c r="E20" s="124">
        <v>1524</v>
      </c>
      <c r="F20" s="124">
        <v>66</v>
      </c>
      <c r="G20" s="124">
        <v>263</v>
      </c>
      <c r="H20" s="124">
        <v>278</v>
      </c>
      <c r="I20" s="124">
        <v>4073</v>
      </c>
    </row>
    <row r="21" spans="1:19" x14ac:dyDescent="0.2">
      <c r="A21" s="125" t="s">
        <v>284</v>
      </c>
      <c r="B21" s="124">
        <v>899</v>
      </c>
      <c r="C21" s="124">
        <v>768</v>
      </c>
      <c r="D21" s="124">
        <v>271</v>
      </c>
      <c r="E21" s="124">
        <v>325</v>
      </c>
      <c r="F21" s="124">
        <v>18</v>
      </c>
      <c r="G21" s="124">
        <v>16</v>
      </c>
      <c r="H21" s="124">
        <v>41</v>
      </c>
      <c r="I21" s="124">
        <v>2339</v>
      </c>
    </row>
    <row r="22" spans="1:19" x14ac:dyDescent="0.2">
      <c r="A22" s="197" t="s">
        <v>296</v>
      </c>
      <c r="B22" s="198"/>
      <c r="C22" s="198"/>
      <c r="D22" s="198"/>
      <c r="E22" s="198"/>
      <c r="F22" s="198"/>
      <c r="G22" s="198"/>
      <c r="H22" s="198"/>
      <c r="I22" s="199"/>
    </row>
    <row r="23" spans="1:19" x14ac:dyDescent="0.2">
      <c r="A23" s="125" t="s">
        <v>275</v>
      </c>
      <c r="B23" s="33">
        <f>Production_Consumption!V5</f>
        <v>4.001839153540403</v>
      </c>
      <c r="C23" s="33">
        <f>Production_Consumption!R5</f>
        <v>9.8750040173194744</v>
      </c>
      <c r="D23" s="33">
        <f>Production_Consumption!S5</f>
        <v>9.0834379121541033</v>
      </c>
      <c r="E23" s="33">
        <f>Production_Consumption!Q5</f>
        <v>14.840009808309228</v>
      </c>
      <c r="F23" s="33">
        <f>Production_Consumption!U5</f>
        <v>5.8491239774767498</v>
      </c>
      <c r="G23" s="33">
        <f>Production_Consumption!T5</f>
        <v>2.7192307801347937</v>
      </c>
      <c r="H23" s="33">
        <f>Production_Consumption!W5+Production_Consumption!X5+Production_Consumption!Y5</f>
        <v>14.286423029221869</v>
      </c>
      <c r="I23" s="105">
        <f>SUM(B23:H23)</f>
        <v>60.655068678156624</v>
      </c>
      <c r="J23" s="33">
        <f>I23-SUM(B23:H23)</f>
        <v>0</v>
      </c>
    </row>
    <row r="24" spans="1:19" x14ac:dyDescent="0.2">
      <c r="A24" s="125" t="s">
        <v>274</v>
      </c>
      <c r="B24" s="33">
        <f ca="1">NAFTA!$H$13*EoL!$M5</f>
        <v>0.43365416695997405</v>
      </c>
      <c r="C24" s="33">
        <f ca="1">NAFTA!$D$13*EoL!$M5</f>
        <v>1.070092144275343</v>
      </c>
      <c r="D24" s="33">
        <f ca="1">NAFTA!$E$13*EoL!$M5</f>
        <v>0.984315098582351</v>
      </c>
      <c r="E24" s="33">
        <f ca="1">NAFTA!$C$13*EoL!$M5</f>
        <v>1.6081186285077937</v>
      </c>
      <c r="F24" s="33">
        <f ca="1">NAFTA!$G$13*EoL!$M5</f>
        <v>0.63383281750698717</v>
      </c>
      <c r="G24" s="33">
        <f ca="1">NAFTA!$F$13*EoL!$M5</f>
        <v>0.29466595569890364</v>
      </c>
      <c r="H24" s="33">
        <f ca="1">SUM(NAFTA!$J$13:$K$30)*EoL!$M5</f>
        <v>0.9369472259086512</v>
      </c>
      <c r="I24" s="105">
        <f ca="1">SUM(B24:H24)</f>
        <v>5.961626037440003</v>
      </c>
      <c r="J24" s="33">
        <f ca="1">I24-SUM(B24:H24)</f>
        <v>0</v>
      </c>
      <c r="K24" s="2"/>
    </row>
    <row r="25" spans="1:19" x14ac:dyDescent="0.2">
      <c r="A25" s="124" t="s">
        <v>285</v>
      </c>
      <c r="B25" s="33">
        <f>B23*EoL!$Q$40</f>
        <v>2.9204084800016052</v>
      </c>
      <c r="C25" s="33">
        <f>C23*EoL!$Q$40</f>
        <v>7.2064479270027588</v>
      </c>
      <c r="D25" s="33">
        <f>D23*EoL!$Q$40</f>
        <v>6.628789436165702</v>
      </c>
      <c r="E25" s="33">
        <f>E23*EoL!$Q$40</f>
        <v>10.829743231721746</v>
      </c>
      <c r="F25" s="33">
        <f>F23*EoL!$Q$40</f>
        <v>4.2684952115808112</v>
      </c>
      <c r="G25" s="33">
        <f>G23*EoL!$Q$40</f>
        <v>1.9844037515504447</v>
      </c>
      <c r="H25" s="33">
        <f>H23*EoL!$Q$40</f>
        <v>10.425754100216245</v>
      </c>
      <c r="I25" s="33">
        <f>I23*EoL!$Q$40</f>
        <v>44.264042138239319</v>
      </c>
      <c r="K25" s="2"/>
    </row>
    <row r="26" spans="1:19" x14ac:dyDescent="0.2">
      <c r="A26" s="125" t="s">
        <v>286</v>
      </c>
      <c r="B26" s="33">
        <f>B23*EoL!$P$40</f>
        <v>0.62305362341765713</v>
      </c>
      <c r="C26" s="33">
        <f>C23*EoL!$P$40</f>
        <v>1.537457353529964</v>
      </c>
      <c r="D26" s="33">
        <f>D23*EoL!$P$40</f>
        <v>1.4142169855202789</v>
      </c>
      <c r="E26" s="33">
        <f>E23*EoL!$P$40</f>
        <v>2.3104681442382931</v>
      </c>
      <c r="F26" s="33">
        <f>F23*EoL!$P$40</f>
        <v>0.91066076075593438</v>
      </c>
      <c r="G26" s="33">
        <f>G23*EoL!$P$40</f>
        <v>0.42336199069193819</v>
      </c>
      <c r="H26" s="33">
        <f>H23*EoL!$P$40</f>
        <v>2.2242792107622074</v>
      </c>
      <c r="I26" s="33">
        <f>I23*EoL!$P$40</f>
        <v>9.4434980689162735</v>
      </c>
      <c r="K26" s="2"/>
    </row>
    <row r="27" spans="1:19" x14ac:dyDescent="0.2">
      <c r="A27" s="125" t="s">
        <v>287</v>
      </c>
      <c r="B27" s="33">
        <f>B23*EoL!$O$40</f>
        <v>0.36142682139228693</v>
      </c>
      <c r="C27" s="33">
        <f>C23*EoL!$O$40</f>
        <v>0.89186276016573229</v>
      </c>
      <c r="D27" s="33">
        <f>D23*EoL!$O$40</f>
        <v>0.82037232530937687</v>
      </c>
      <c r="E27" s="33">
        <f>E23*EoL!$O$40</f>
        <v>1.3402781492860452</v>
      </c>
      <c r="F27" s="33">
        <f>F23*EoL!$O$40</f>
        <v>0.52826468181225184</v>
      </c>
      <c r="G27" s="33">
        <f>G23*EoL!$O$40</f>
        <v>0.24558781594875129</v>
      </c>
      <c r="H27" s="33">
        <f>H23*EoL!$O$40</f>
        <v>1.2902808599763718</v>
      </c>
      <c r="I27" s="33">
        <f>I23*EoL!$O$40</f>
        <v>5.478073413890816</v>
      </c>
      <c r="K27" s="2"/>
    </row>
    <row r="28" spans="1:19" x14ac:dyDescent="0.2">
      <c r="A28" s="196" t="s">
        <v>293</v>
      </c>
      <c r="B28" s="196"/>
      <c r="C28" s="196"/>
      <c r="D28" s="196"/>
      <c r="E28" s="196"/>
      <c r="F28" s="196"/>
      <c r="G28" s="196"/>
      <c r="H28" s="196"/>
      <c r="I28" s="196"/>
      <c r="K28" s="2"/>
      <c r="L28" s="33"/>
      <c r="M28" s="33"/>
      <c r="N28" s="33"/>
      <c r="O28" s="33"/>
      <c r="P28" s="33"/>
      <c r="Q28" s="33"/>
      <c r="R28" s="33"/>
      <c r="S28" s="105"/>
    </row>
    <row r="29" spans="1:19" x14ac:dyDescent="0.2">
      <c r="A29" s="124" t="s">
        <v>281</v>
      </c>
      <c r="B29" s="33">
        <f ca="1">(B23+B24)*$L$7*1000</f>
        <v>2984.0821260303833</v>
      </c>
      <c r="C29" s="33">
        <f t="shared" ref="C29:I29" ca="1" si="4">(C23+C24)*$L$7*1000</f>
        <v>7363.5700616530939</v>
      </c>
      <c r="D29" s="33">
        <f t="shared" ca="1" si="4"/>
        <v>6773.3168867083359</v>
      </c>
      <c r="E29" s="33">
        <f t="shared" ca="1" si="4"/>
        <v>11065.864049011945</v>
      </c>
      <c r="F29" s="33">
        <f t="shared" ca="1" si="4"/>
        <v>4361.5611833580133</v>
      </c>
      <c r="G29" s="33">
        <f t="shared" ca="1" si="4"/>
        <v>2027.6696929143502</v>
      </c>
      <c r="H29" s="33">
        <f t="shared" ca="1" si="4"/>
        <v>10241.8792665779</v>
      </c>
      <c r="I29" s="33">
        <f t="shared" ca="1" si="4"/>
        <v>44817.94326625402</v>
      </c>
      <c r="K29" s="2"/>
      <c r="L29" s="33"/>
      <c r="M29" s="33"/>
      <c r="N29" s="33"/>
      <c r="O29" s="33"/>
      <c r="P29" s="33"/>
      <c r="Q29" s="33"/>
      <c r="R29" s="33"/>
      <c r="S29" s="105"/>
    </row>
    <row r="30" spans="1:19" x14ac:dyDescent="0.2">
      <c r="A30" s="124" t="s">
        <v>282</v>
      </c>
      <c r="B30" s="33">
        <f t="shared" ref="B30:I32" si="5">B25*$L$7*1000</f>
        <v>1964.7732768758228</v>
      </c>
      <c r="C30" s="33">
        <f t="shared" si="5"/>
        <v>4848.3068054111409</v>
      </c>
      <c r="D30" s="33">
        <f t="shared" si="5"/>
        <v>4459.6735119081577</v>
      </c>
      <c r="E30" s="33">
        <f t="shared" si="5"/>
        <v>7285.9636735139202</v>
      </c>
      <c r="F30" s="33">
        <f t="shared" si="5"/>
        <v>2871.7302328137944</v>
      </c>
      <c r="G30" s="33">
        <f t="shared" si="5"/>
        <v>1335.0541502250055</v>
      </c>
      <c r="H30" s="33">
        <f t="shared" si="5"/>
        <v>7014.1705133564592</v>
      </c>
      <c r="I30" s="33">
        <f t="shared" si="5"/>
        <v>29779.672164104304</v>
      </c>
      <c r="K30" s="2"/>
      <c r="L30" s="2"/>
      <c r="M30" s="2"/>
      <c r="N30" s="2"/>
      <c r="O30" s="2"/>
      <c r="P30" s="2"/>
      <c r="Q30" s="2"/>
      <c r="R30" s="2"/>
    </row>
    <row r="31" spans="1:19" x14ac:dyDescent="0.2">
      <c r="A31" s="125" t="s">
        <v>283</v>
      </c>
      <c r="B31" s="33">
        <f t="shared" si="5"/>
        <v>419.17393328175524</v>
      </c>
      <c r="C31" s="33">
        <f t="shared" si="5"/>
        <v>1034.3604818426761</v>
      </c>
      <c r="D31" s="33">
        <f t="shared" si="5"/>
        <v>951.44763476806475</v>
      </c>
      <c r="E31" s="33">
        <f t="shared" si="5"/>
        <v>1554.4216153179286</v>
      </c>
      <c r="F31" s="33">
        <f t="shared" si="5"/>
        <v>612.66837816868804</v>
      </c>
      <c r="G31" s="33">
        <f t="shared" si="5"/>
        <v>284.8267053915738</v>
      </c>
      <c r="H31" s="33">
        <f t="shared" si="5"/>
        <v>1496.4359895344603</v>
      </c>
      <c r="I31" s="33">
        <f t="shared" si="5"/>
        <v>6353.3347383051469</v>
      </c>
      <c r="K31" s="2"/>
      <c r="L31" s="2"/>
      <c r="M31" s="2"/>
      <c r="N31" s="2"/>
      <c r="O31" s="2"/>
      <c r="P31" s="2"/>
      <c r="Q31" s="2"/>
      <c r="R31" s="2"/>
    </row>
    <row r="32" spans="1:19" x14ac:dyDescent="0.2">
      <c r="A32" s="125" t="s">
        <v>284</v>
      </c>
      <c r="B32" s="33">
        <f t="shared" si="5"/>
        <v>243.15836811203411</v>
      </c>
      <c r="C32" s="33">
        <f t="shared" si="5"/>
        <v>600.02158253333744</v>
      </c>
      <c r="D32" s="33">
        <f t="shared" si="5"/>
        <v>551.92471631758065</v>
      </c>
      <c r="E32" s="33">
        <f t="shared" si="5"/>
        <v>901.70354912007338</v>
      </c>
      <c r="F32" s="33">
        <f t="shared" si="5"/>
        <v>355.40245039332694</v>
      </c>
      <c r="G32" s="33">
        <f t="shared" si="5"/>
        <v>165.2249612362923</v>
      </c>
      <c r="H32" s="33">
        <f t="shared" si="5"/>
        <v>868.06670049956074</v>
      </c>
      <c r="I32" s="33">
        <f t="shared" si="5"/>
        <v>3685.5023282122056</v>
      </c>
      <c r="K32" s="2"/>
      <c r="L32" s="2"/>
      <c r="M32" s="2"/>
      <c r="N32" s="2"/>
      <c r="O32" s="2"/>
      <c r="P32" s="2"/>
      <c r="Q32" s="2"/>
      <c r="R32" s="2"/>
    </row>
    <row r="33" spans="1:19" x14ac:dyDescent="0.2">
      <c r="A33" s="200" t="s">
        <v>271</v>
      </c>
      <c r="B33" s="201"/>
      <c r="C33" s="201"/>
      <c r="D33" s="201"/>
      <c r="E33" s="201"/>
      <c r="F33" s="201"/>
      <c r="G33" s="201"/>
      <c r="H33" s="201"/>
      <c r="I33" s="202"/>
    </row>
    <row r="34" spans="1:19" x14ac:dyDescent="0.2">
      <c r="A34" s="124" t="s">
        <v>289</v>
      </c>
      <c r="B34" s="118">
        <f t="shared" ref="B34:I37" ca="1" si="6">(B29-B18)/B29</f>
        <v>-1.0059769628267436</v>
      </c>
      <c r="C34" s="118">
        <f t="shared" ca="1" si="6"/>
        <v>-7.4207202996889057E-2</v>
      </c>
      <c r="D34" s="118">
        <f t="shared" ca="1" si="6"/>
        <v>-0.20900884115871493</v>
      </c>
      <c r="E34" s="118">
        <f t="shared" ca="1" si="6"/>
        <v>-0.3680811487424463</v>
      </c>
      <c r="F34" s="118">
        <f t="shared" ca="1" si="6"/>
        <v>0.83973628464341932</v>
      </c>
      <c r="G34" s="118">
        <f t="shared" ca="1" si="6"/>
        <v>-0.52588955233286716</v>
      </c>
      <c r="H34" s="118">
        <f t="shared" ca="1" si="6"/>
        <v>0.69585659829391744</v>
      </c>
      <c r="I34" s="118">
        <f t="shared" ca="1" si="6"/>
        <v>1.5327416123784042E-2</v>
      </c>
    </row>
    <row r="35" spans="1:19" x14ac:dyDescent="0.2">
      <c r="A35" s="124" t="s">
        <v>290</v>
      </c>
      <c r="B35" s="118">
        <f t="shared" si="6"/>
        <v>-1.3178246842003547</v>
      </c>
      <c r="C35" s="118">
        <f t="shared" si="6"/>
        <v>-0.32994883756190091</v>
      </c>
      <c r="D35" s="118">
        <f t="shared" si="6"/>
        <v>-0.61491642398694002</v>
      </c>
      <c r="E35" s="118">
        <f t="shared" si="6"/>
        <v>-0.82405521019986305</v>
      </c>
      <c r="F35" s="118">
        <f t="shared" si="6"/>
        <v>0.78619161612600807</v>
      </c>
      <c r="G35" s="118">
        <f t="shared" si="6"/>
        <v>-1.1085287061394247</v>
      </c>
      <c r="H35" s="118">
        <f t="shared" si="6"/>
        <v>0.60137838185201986</v>
      </c>
      <c r="I35" s="118">
        <f t="shared" si="6"/>
        <v>-0.26663583776676947</v>
      </c>
    </row>
    <row r="36" spans="1:19" x14ac:dyDescent="0.2">
      <c r="A36" s="125" t="s">
        <v>291</v>
      </c>
      <c r="B36" s="118">
        <f t="shared" si="6"/>
        <v>-0.27154853315207111</v>
      </c>
      <c r="C36" s="118">
        <f t="shared" si="6"/>
        <v>0.33002080786628146</v>
      </c>
      <c r="D36" s="118">
        <f t="shared" si="6"/>
        <v>0.24746252569691871</v>
      </c>
      <c r="E36" s="118">
        <f t="shared" si="6"/>
        <v>1.9571019225505585E-2</v>
      </c>
      <c r="F36" s="118">
        <f t="shared" si="6"/>
        <v>0.89227451203328145</v>
      </c>
      <c r="G36" s="118">
        <f t="shared" si="6"/>
        <v>7.6631527094929167E-2</v>
      </c>
      <c r="H36" s="118">
        <f t="shared" si="6"/>
        <v>0.81422526459919908</v>
      </c>
      <c r="I36" s="118">
        <f t="shared" si="6"/>
        <v>0.35891934428650341</v>
      </c>
    </row>
    <row r="37" spans="1:19" x14ac:dyDescent="0.2">
      <c r="A37" s="125" t="s">
        <v>280</v>
      </c>
      <c r="B37" s="118">
        <f t="shared" si="6"/>
        <v>-2.6971789495880718</v>
      </c>
      <c r="C37" s="118">
        <f t="shared" si="6"/>
        <v>-0.27995395891835212</v>
      </c>
      <c r="D37" s="118">
        <f t="shared" si="6"/>
        <v>0.50899100549781318</v>
      </c>
      <c r="E37" s="118">
        <f t="shared" si="6"/>
        <v>0.63957112033422625</v>
      </c>
      <c r="F37" s="118">
        <f t="shared" si="6"/>
        <v>0.94935319106528604</v>
      </c>
      <c r="G37" s="118">
        <f t="shared" si="6"/>
        <v>0.90316233164601556</v>
      </c>
      <c r="H37" s="118">
        <f t="shared" si="6"/>
        <v>0.95276860640270489</v>
      </c>
      <c r="I37" s="118">
        <f t="shared" si="6"/>
        <v>0.36535109960583806</v>
      </c>
    </row>
    <row r="38" spans="1:19" ht="17" customHeight="1" x14ac:dyDescent="0.2"/>
    <row r="39" spans="1:19" x14ac:dyDescent="0.2">
      <c r="A39" s="197" t="s">
        <v>295</v>
      </c>
      <c r="B39" s="198"/>
      <c r="C39" s="198"/>
      <c r="D39" s="198"/>
      <c r="E39" s="198"/>
      <c r="F39" s="198"/>
      <c r="G39" s="198"/>
      <c r="H39" s="198"/>
      <c r="I39" s="199"/>
    </row>
    <row r="40" spans="1:19" x14ac:dyDescent="0.2">
      <c r="A40" s="125" t="s">
        <v>275</v>
      </c>
      <c r="B40" s="33">
        <f>Production_Consumption!V6</f>
        <v>3.878507040711336</v>
      </c>
      <c r="C40" s="33">
        <f>Production_Consumption!R6</f>
        <v>9.5706676702241484</v>
      </c>
      <c r="D40" s="33">
        <f>Production_Consumption!S6</f>
        <v>8.8034967284944585</v>
      </c>
      <c r="E40" s="33">
        <f>Production_Consumption!Q6</f>
        <v>14.382657652502656</v>
      </c>
      <c r="F40" s="33">
        <f>Production_Consumption!U6</f>
        <v>5.6688606558729422</v>
      </c>
      <c r="G40" s="33">
        <f>Production_Consumption!T6</f>
        <v>2.6354271927049595</v>
      </c>
      <c r="H40" s="33">
        <f>Production_Consumption!W6+Production_Consumption!X6+Production_Consumption!Y6</f>
        <v>13.84613178578072</v>
      </c>
      <c r="I40" s="105">
        <f>SUM(B40:H40)</f>
        <v>58.785748726291217</v>
      </c>
    </row>
    <row r="41" spans="1:19" x14ac:dyDescent="0.2">
      <c r="A41" s="125" t="s">
        <v>274</v>
      </c>
      <c r="B41" s="33">
        <f ca="1">NAFTA!$H$13*EoL!$M6</f>
        <v>0.38953825553757621</v>
      </c>
      <c r="C41" s="33">
        <f ca="1">NAFTA!$D$13*EoL!$M6</f>
        <v>0.96123099673559842</v>
      </c>
      <c r="D41" s="33">
        <f ca="1">NAFTA!$E$13*EoL!$M6</f>
        <v>0.88418010390398605</v>
      </c>
      <c r="E41" s="33">
        <f ca="1">NAFTA!$C$13*EoL!$M6</f>
        <v>1.4445237079993836</v>
      </c>
      <c r="F41" s="33">
        <f ca="1">NAFTA!$G$13*EoL!$M6</f>
        <v>0.56935260593708892</v>
      </c>
      <c r="G41" s="33">
        <f ca="1">NAFTA!$F$13*EoL!$M6</f>
        <v>0.26468940251151346</v>
      </c>
      <c r="H41" s="33">
        <f ca="1">SUM(NAFTA!$J$13:$K$30)*EoL!$M6</f>
        <v>0.84163099473898151</v>
      </c>
      <c r="I41" s="105">
        <f ca="1">SUM(B41:H41)</f>
        <v>5.3551460673641289</v>
      </c>
    </row>
    <row r="42" spans="1:19" x14ac:dyDescent="0.2">
      <c r="A42" s="124" t="s">
        <v>285</v>
      </c>
      <c r="B42" s="33">
        <f>B40*EoL!$Q$40</f>
        <v>2.8304048255958869</v>
      </c>
      <c r="C42" s="33">
        <f>C40*EoL!$Q$40</f>
        <v>6.9843534312648181</v>
      </c>
      <c r="D42" s="33">
        <f>D40*EoL!$Q$40</f>
        <v>6.4244977154607268</v>
      </c>
      <c r="E42" s="33">
        <f>E40*EoL!$Q$40</f>
        <v>10.495982912298894</v>
      </c>
      <c r="F42" s="33">
        <f>F40*EoL!$Q$40</f>
        <v>4.1369450635496801</v>
      </c>
      <c r="G42" s="33">
        <f>G40*EoL!$Q$40</f>
        <v>1.9232466940090083</v>
      </c>
      <c r="H42" s="33">
        <f>H40*EoL!$Q$40</f>
        <v>10.104444264492734</v>
      </c>
      <c r="I42" s="33">
        <f>I40*EoL!$Q$40</f>
        <v>42.899874906671748</v>
      </c>
    </row>
    <row r="43" spans="1:19" x14ac:dyDescent="0.2">
      <c r="A43" s="125" t="s">
        <v>286</v>
      </c>
      <c r="B43" s="33">
        <f>B40*EoL!$P$40</f>
        <v>0.60385182223733647</v>
      </c>
      <c r="C43" s="33">
        <f>C40*EoL!$P$40</f>
        <v>1.4900746735869976</v>
      </c>
      <c r="D43" s="33">
        <f>D40*EoL!$P$40</f>
        <v>1.3706324329855617</v>
      </c>
      <c r="E43" s="33">
        <f>E40*EoL!$P$40</f>
        <v>2.2392621544620512</v>
      </c>
      <c r="F43" s="33">
        <f>F40*EoL!$P$40</f>
        <v>0.88259523603458434</v>
      </c>
      <c r="G43" s="33">
        <f>G40*EoL!$P$40</f>
        <v>0.41031445759522112</v>
      </c>
      <c r="H43" s="33">
        <f>H40*EoL!$P$40</f>
        <v>2.1557294654926156</v>
      </c>
      <c r="I43" s="33">
        <f>I40*EoL!$P$40</f>
        <v>9.1524602423943673</v>
      </c>
    </row>
    <row r="44" spans="1:19" x14ac:dyDescent="0.2">
      <c r="A44" s="125" t="s">
        <v>287</v>
      </c>
      <c r="B44" s="33">
        <f>B40*EoL!$O$40</f>
        <v>0.35028805948678432</v>
      </c>
      <c r="C44" s="33">
        <f>C40*EoL!$O$40</f>
        <v>0.86437656835627608</v>
      </c>
      <c r="D44" s="33">
        <f>D40*EoL!$O$40</f>
        <v>0.79508938706399834</v>
      </c>
      <c r="E44" s="33">
        <f>E40*EoL!$O$40</f>
        <v>1.2989723072499304</v>
      </c>
      <c r="F44" s="33">
        <f>F40*EoL!$O$40</f>
        <v>0.51198416756838472</v>
      </c>
      <c r="G44" s="33">
        <f>G40*EoL!$O$40</f>
        <v>0.23801907990916327</v>
      </c>
      <c r="H44" s="33">
        <f>H40*EoL!$O$40</f>
        <v>1.2505158773025911</v>
      </c>
      <c r="I44" s="33">
        <f>I40*EoL!$O$40</f>
        <v>5.309245446937128</v>
      </c>
    </row>
    <row r="45" spans="1:19" x14ac:dyDescent="0.2">
      <c r="A45" s="196" t="s">
        <v>294</v>
      </c>
      <c r="B45" s="196"/>
      <c r="C45" s="196"/>
      <c r="D45" s="196"/>
      <c r="E45" s="196"/>
      <c r="F45" s="196"/>
      <c r="G45" s="196"/>
      <c r="H45" s="196"/>
      <c r="I45" s="196"/>
      <c r="L45" s="33"/>
      <c r="M45" s="33"/>
      <c r="N45" s="33"/>
      <c r="O45" s="33"/>
      <c r="P45" s="33"/>
      <c r="Q45" s="33"/>
      <c r="R45" s="33"/>
      <c r="S45" s="105"/>
    </row>
    <row r="46" spans="1:19" x14ac:dyDescent="0.2">
      <c r="A46" s="124" t="s">
        <v>281</v>
      </c>
      <c r="B46" s="33">
        <f ca="1">(B40+B41)*$L$7*1000</f>
        <v>2871.4275417255358</v>
      </c>
      <c r="C46" s="33">
        <f t="shared" ref="C46:I46" ca="1" si="7">(C40+C41)*$L$7*1000</f>
        <v>7085.5817593007523</v>
      </c>
      <c r="D46" s="33">
        <f t="shared" ca="1" si="7"/>
        <v>6517.6117264578761</v>
      </c>
      <c r="E46" s="33">
        <f t="shared" ca="1" si="7"/>
        <v>10648.10734468366</v>
      </c>
      <c r="F46" s="33">
        <f t="shared" ca="1" si="7"/>
        <v>4196.904233153703</v>
      </c>
      <c r="G46" s="33">
        <f t="shared" ca="1" si="7"/>
        <v>1951.1214356226949</v>
      </c>
      <c r="H46" s="33">
        <f t="shared" ca="1" si="7"/>
        <v>9881.5367801700722</v>
      </c>
      <c r="I46" s="33">
        <f t="shared" ca="1" si="7"/>
        <v>43152.290821114293</v>
      </c>
    </row>
    <row r="47" spans="1:19" x14ac:dyDescent="0.2">
      <c r="A47" s="124" t="s">
        <v>282</v>
      </c>
      <c r="B47" s="33">
        <f t="shared" ref="B47:I49" si="8">B42*$L$7*1000</f>
        <v>1904.2212081469218</v>
      </c>
      <c r="C47" s="33">
        <f t="shared" si="8"/>
        <v>4698.8875261715202</v>
      </c>
      <c r="D47" s="33">
        <f t="shared" si="8"/>
        <v>4322.2314669761781</v>
      </c>
      <c r="E47" s="33">
        <f t="shared" si="8"/>
        <v>7061.4185932711734</v>
      </c>
      <c r="F47" s="33">
        <f t="shared" si="8"/>
        <v>2783.2267863984889</v>
      </c>
      <c r="G47" s="33">
        <f t="shared" si="8"/>
        <v>1293.9093058744286</v>
      </c>
      <c r="H47" s="33">
        <f t="shared" si="8"/>
        <v>6798.0017879367315</v>
      </c>
      <c r="I47" s="33">
        <f t="shared" si="8"/>
        <v>28861.896674775442</v>
      </c>
    </row>
    <row r="48" spans="1:19" x14ac:dyDescent="0.2">
      <c r="A48" s="125" t="s">
        <v>283</v>
      </c>
      <c r="B48" s="33">
        <f t="shared" si="8"/>
        <v>406.25547133188581</v>
      </c>
      <c r="C48" s="33">
        <f t="shared" si="8"/>
        <v>1002.4826729757983</v>
      </c>
      <c r="D48" s="33">
        <f t="shared" si="8"/>
        <v>922.12510516605664</v>
      </c>
      <c r="E48" s="33">
        <f t="shared" si="8"/>
        <v>1506.5161161989233</v>
      </c>
      <c r="F48" s="33">
        <f t="shared" si="8"/>
        <v>593.78663838755438</v>
      </c>
      <c r="G48" s="33">
        <f t="shared" si="8"/>
        <v>276.04867158803944</v>
      </c>
      <c r="H48" s="33">
        <f t="shared" si="8"/>
        <v>1450.3175411856646</v>
      </c>
      <c r="I48" s="33">
        <f t="shared" si="8"/>
        <v>6157.5322168339226</v>
      </c>
    </row>
    <row r="49" spans="1:18" x14ac:dyDescent="0.2">
      <c r="A49" s="125" t="s">
        <v>284</v>
      </c>
      <c r="B49" s="33">
        <f t="shared" si="8"/>
        <v>235.66450488047619</v>
      </c>
      <c r="C49" s="33">
        <f t="shared" si="8"/>
        <v>581.52960255173127</v>
      </c>
      <c r="D49" s="33">
        <f t="shared" si="8"/>
        <v>534.9150268287342</v>
      </c>
      <c r="E49" s="33">
        <f t="shared" si="8"/>
        <v>873.91407543269122</v>
      </c>
      <c r="F49" s="33">
        <f t="shared" si="8"/>
        <v>344.44935272250774</v>
      </c>
      <c r="G49" s="33">
        <f t="shared" si="8"/>
        <v>160.1329166089252</v>
      </c>
      <c r="H49" s="33">
        <f t="shared" si="8"/>
        <v>841.31387607520765</v>
      </c>
      <c r="I49" s="33">
        <f t="shared" si="8"/>
        <v>3571.9193551002736</v>
      </c>
      <c r="L49" s="33"/>
      <c r="M49" s="33"/>
      <c r="N49" s="33"/>
      <c r="O49" s="33"/>
      <c r="P49" s="33"/>
      <c r="Q49" s="33"/>
      <c r="R49" s="33"/>
    </row>
    <row r="51" spans="1:18" x14ac:dyDescent="0.2">
      <c r="A51" s="197" t="s">
        <v>297</v>
      </c>
      <c r="B51" s="198"/>
      <c r="C51" s="198"/>
      <c r="D51" s="198"/>
      <c r="E51" s="198"/>
      <c r="F51" s="198"/>
      <c r="G51" s="198"/>
      <c r="H51" s="198"/>
      <c r="I51" s="199"/>
    </row>
    <row r="52" spans="1:18" x14ac:dyDescent="0.2">
      <c r="A52" s="125" t="s">
        <v>275</v>
      </c>
      <c r="B52" s="33">
        <f>Production_Consumption!V7</f>
        <v>3.7806790730270223</v>
      </c>
      <c r="C52" s="33">
        <f>Production_Consumption!R7</f>
        <v>9.3292657705415643</v>
      </c>
      <c r="D52" s="33">
        <f>Production_Consumption!S7</f>
        <v>8.5814452575485234</v>
      </c>
      <c r="E52" s="33">
        <f>Production_Consumption!Q7</f>
        <v>14.019882452335551</v>
      </c>
      <c r="F52" s="33">
        <f>Production_Consumption!U7</f>
        <v>5.5258744214202373</v>
      </c>
      <c r="G52" s="33">
        <f>Production_Consumption!T7</f>
        <v>2.5689535512918922</v>
      </c>
      <c r="H52" s="33">
        <f>Production_Consumption!W7+Production_Consumption!X7+Production_Consumption!Y7</f>
        <v>13.496889430752358</v>
      </c>
      <c r="I52" s="105">
        <f>SUM(B52:H52)</f>
        <v>57.302989956917145</v>
      </c>
      <c r="K52" s="33">
        <f>B52*$L$7</f>
        <v>2.5435404882549402</v>
      </c>
      <c r="L52" s="33">
        <f t="shared" ref="L52:Q52" si="9">C52*$L$7</f>
        <v>6.2764822812808436</v>
      </c>
      <c r="M52" s="33">
        <f t="shared" si="9"/>
        <v>5.7733684977502993</v>
      </c>
      <c r="N52" s="33">
        <f t="shared" si="9"/>
        <v>9.4322046302488562</v>
      </c>
      <c r="O52" s="33">
        <f t="shared" si="9"/>
        <v>3.7176615767709875</v>
      </c>
      <c r="P52" s="33">
        <f t="shared" si="9"/>
        <v>1.7283237333671826</v>
      </c>
      <c r="Q52" s="33">
        <f t="shared" si="9"/>
        <v>9.0803488128740781</v>
      </c>
      <c r="R52" s="105">
        <f>SUM(K52:Q52)</f>
        <v>38.551930020547189</v>
      </c>
    </row>
    <row r="53" spans="1:18" x14ac:dyDescent="0.2">
      <c r="A53" s="125" t="s">
        <v>274</v>
      </c>
      <c r="B53" s="33">
        <f ca="1">NAFTA!$H$13*EoL!$M7</f>
        <v>0.40111638674478717</v>
      </c>
      <c r="C53" s="33">
        <f ca="1">NAFTA!$D$13*EoL!$M7</f>
        <v>0.98980138344969448</v>
      </c>
      <c r="D53" s="33">
        <f ca="1">NAFTA!$E$13*EoL!$M7</f>
        <v>0.91046032955134415</v>
      </c>
      <c r="E53" s="33">
        <f ca="1">NAFTA!$C$13*EoL!$M7</f>
        <v>1.4874588620834488</v>
      </c>
      <c r="F53" s="33">
        <f ca="1">NAFTA!$G$13*EoL!$M7</f>
        <v>0.58627530629063918</v>
      </c>
      <c r="G53" s="33">
        <f ca="1">NAFTA!$F$13*EoL!$M7</f>
        <v>0.27255668791383503</v>
      </c>
      <c r="H53" s="33">
        <f ca="1">SUM(NAFTA!$J$13:$K$30)*EoL!$M7</f>
        <v>0.86664654570635868</v>
      </c>
      <c r="I53" s="105">
        <f ca="1">SUM(B53:H53)</f>
        <v>5.5143155017401071</v>
      </c>
    </row>
    <row r="54" spans="1:18" x14ac:dyDescent="0.2">
      <c r="A54" s="124" t="s">
        <v>285</v>
      </c>
      <c r="B54" s="33">
        <f>B52*EoL!$Q$40</f>
        <v>2.7590132440142443</v>
      </c>
      <c r="C54" s="33">
        <f>C52*EoL!$Q$40</f>
        <v>6.808186392092888</v>
      </c>
      <c r="D54" s="33">
        <f>D52*EoL!$Q$40</f>
        <v>6.2624519725243486</v>
      </c>
      <c r="E54" s="33">
        <f>E52*EoL!$Q$40</f>
        <v>10.231241694510317</v>
      </c>
      <c r="F54" s="33">
        <f>F52*EoL!$Q$40</f>
        <v>4.0325984879883547</v>
      </c>
      <c r="G54" s="33">
        <f>G52*EoL!$Q$40</f>
        <v>1.8747364519350453</v>
      </c>
      <c r="H54" s="33">
        <f>H52*EoL!$Q$40</f>
        <v>9.8495788648431173</v>
      </c>
      <c r="I54" s="33">
        <f>I52*EoL!$Q$40</f>
        <v>41.817807107908315</v>
      </c>
    </row>
    <row r="55" spans="1:18" x14ac:dyDescent="0.2">
      <c r="A55" s="125" t="s">
        <v>286</v>
      </c>
      <c r="B55" s="33">
        <f>B52*EoL!$P$40</f>
        <v>0.58862080784652249</v>
      </c>
      <c r="C55" s="33">
        <f>C52*EoL!$P$40</f>
        <v>1.452490372337889</v>
      </c>
      <c r="D55" s="33">
        <f>D52*EoL!$P$40</f>
        <v>1.3360608352151495</v>
      </c>
      <c r="E55" s="33">
        <f>E52*EoL!$P$40</f>
        <v>2.1827810230926872</v>
      </c>
      <c r="F55" s="33">
        <f>F52*EoL!$P$40</f>
        <v>0.86033344887709984</v>
      </c>
      <c r="G55" s="33">
        <f>G52*EoL!$P$40</f>
        <v>0.39996505534412452</v>
      </c>
      <c r="H55" s="33">
        <f>H52*EoL!$P$40</f>
        <v>2.1013552874203083</v>
      </c>
      <c r="I55" s="33">
        <f>I52*EoL!$P$40</f>
        <v>8.921606830133781</v>
      </c>
    </row>
    <row r="56" spans="1:18" x14ac:dyDescent="0.2">
      <c r="A56" s="125" t="s">
        <v>287</v>
      </c>
      <c r="B56" s="33">
        <f>B52*EoL!$O$40</f>
        <v>0.34145270902745162</v>
      </c>
      <c r="C56" s="33">
        <f>C52*EoL!$O$40</f>
        <v>0.84257431246022196</v>
      </c>
      <c r="D56" s="33">
        <f>D52*EoL!$O$40</f>
        <v>0.77503476861226228</v>
      </c>
      <c r="E56" s="33">
        <f>E52*EoL!$O$40</f>
        <v>1.2662081999368344</v>
      </c>
      <c r="F56" s="33">
        <f>F52*EoL!$O$40</f>
        <v>0.49907034014096963</v>
      </c>
      <c r="G56" s="33">
        <f>G52*EoL!$O$40</f>
        <v>0.23201550105441582</v>
      </c>
      <c r="H56" s="33">
        <f>H52*EoL!$O$40</f>
        <v>1.2189739913270423</v>
      </c>
      <c r="I56" s="33">
        <f>I52*EoL!$O$40</f>
        <v>5.1753298225591973</v>
      </c>
    </row>
    <row r="57" spans="1:18" x14ac:dyDescent="0.2">
      <c r="A57" s="196" t="s">
        <v>298</v>
      </c>
      <c r="B57" s="196"/>
      <c r="C57" s="196"/>
      <c r="D57" s="196"/>
      <c r="E57" s="196"/>
      <c r="F57" s="196"/>
      <c r="G57" s="196"/>
      <c r="H57" s="196"/>
      <c r="I57" s="196"/>
    </row>
    <row r="58" spans="1:18" x14ac:dyDescent="0.2">
      <c r="A58" s="124" t="s">
        <v>281</v>
      </c>
      <c r="B58" s="33">
        <f ca="1">(B52+B53)*$L$7*1000</f>
        <v>2813.4009420201996</v>
      </c>
      <c r="C58" s="33">
        <f t="shared" ref="C58:I58" ca="1" si="10">(C52+C53)*$L$7*1000</f>
        <v>6942.3943688993577</v>
      </c>
      <c r="D58" s="33">
        <f t="shared" ca="1" si="10"/>
        <v>6385.902031126785</v>
      </c>
      <c r="E58" s="33">
        <f t="shared" ca="1" si="10"/>
        <v>10432.927454705274</v>
      </c>
      <c r="F58" s="33">
        <f t="shared" ca="1" si="10"/>
        <v>4112.0920349003945</v>
      </c>
      <c r="G58" s="33">
        <f t="shared" ca="1" si="10"/>
        <v>1911.6926355306882</v>
      </c>
      <c r="H58" s="33">
        <f t="shared" ca="1" si="10"/>
        <v>9663.4055959100115</v>
      </c>
      <c r="I58" s="33">
        <f t="shared" ca="1" si="10"/>
        <v>42261.815063092705</v>
      </c>
    </row>
    <row r="59" spans="1:18" x14ac:dyDescent="0.2">
      <c r="A59" s="124" t="s">
        <v>282</v>
      </c>
      <c r="B59" s="33">
        <f t="shared" ref="B59:I59" si="11">B54*$L$7*1000</f>
        <v>1856.190847789444</v>
      </c>
      <c r="C59" s="33">
        <f t="shared" si="11"/>
        <v>4580.3670201527348</v>
      </c>
      <c r="D59" s="33">
        <f t="shared" si="11"/>
        <v>4213.2113940880499</v>
      </c>
      <c r="E59" s="33">
        <f t="shared" si="11"/>
        <v>6883.3077318761007</v>
      </c>
      <c r="F59" s="33">
        <f t="shared" si="11"/>
        <v>2713.0251811777416</v>
      </c>
      <c r="G59" s="33">
        <f t="shared" si="11"/>
        <v>1261.2729031470788</v>
      </c>
      <c r="H59" s="33">
        <f t="shared" si="11"/>
        <v>6626.5351147432702</v>
      </c>
      <c r="I59" s="33">
        <f t="shared" si="11"/>
        <v>28133.910192974417</v>
      </c>
    </row>
    <row r="60" spans="1:18" x14ac:dyDescent="0.2">
      <c r="A60" s="125" t="s">
        <v>283</v>
      </c>
      <c r="B60" s="33">
        <f t="shared" ref="B60:I60" si="12">B55*$L$7*1000</f>
        <v>396.0084492938023</v>
      </c>
      <c r="C60" s="33">
        <f t="shared" si="12"/>
        <v>977.19695310819316</v>
      </c>
      <c r="D60" s="33">
        <f t="shared" si="12"/>
        <v>898.86625219964958</v>
      </c>
      <c r="E60" s="33">
        <f t="shared" si="12"/>
        <v>1468.517110812465</v>
      </c>
      <c r="F60" s="33">
        <f t="shared" si="12"/>
        <v>578.80949912705648</v>
      </c>
      <c r="G60" s="33">
        <f t="shared" si="12"/>
        <v>269.08586857132514</v>
      </c>
      <c r="H60" s="33">
        <f t="shared" si="12"/>
        <v>1413.7360380294699</v>
      </c>
      <c r="I60" s="33">
        <f t="shared" si="12"/>
        <v>6002.2201711419611</v>
      </c>
    </row>
    <row r="61" spans="1:18" x14ac:dyDescent="0.2">
      <c r="A61" s="125" t="s">
        <v>284</v>
      </c>
      <c r="B61" s="33">
        <f t="shared" ref="B61:I61" si="13">B56*$L$7*1000</f>
        <v>229.72031570515921</v>
      </c>
      <c r="C61" s="33">
        <f t="shared" si="13"/>
        <v>566.86162372153967</v>
      </c>
      <c r="D61" s="33">
        <f t="shared" si="13"/>
        <v>521.4228120643495</v>
      </c>
      <c r="E61" s="33">
        <f t="shared" si="13"/>
        <v>851.87125404990047</v>
      </c>
      <c r="F61" s="33">
        <f t="shared" si="13"/>
        <v>335.76127254286206</v>
      </c>
      <c r="G61" s="33">
        <f t="shared" si="13"/>
        <v>156.09386817436578</v>
      </c>
      <c r="H61" s="33">
        <f t="shared" si="13"/>
        <v>820.0933327534774</v>
      </c>
      <c r="I61" s="33">
        <f t="shared" si="13"/>
        <v>3481.8244790116537</v>
      </c>
    </row>
    <row r="63" spans="1:18" x14ac:dyDescent="0.2">
      <c r="A63" s="197" t="s">
        <v>299</v>
      </c>
      <c r="B63" s="198"/>
      <c r="C63" s="198"/>
      <c r="D63" s="198"/>
      <c r="E63" s="198"/>
      <c r="F63" s="198"/>
      <c r="G63" s="198"/>
      <c r="H63" s="198"/>
      <c r="I63" s="199"/>
    </row>
    <row r="64" spans="1:18" x14ac:dyDescent="0.2">
      <c r="A64" s="125" t="s">
        <v>275</v>
      </c>
      <c r="B64" s="33">
        <f>Production_Consumption!V8</f>
        <v>3.5313751702212768</v>
      </c>
      <c r="C64" s="33">
        <f>Production_Consumption!R8</f>
        <v>8.7140793656701554</v>
      </c>
      <c r="D64" s="33">
        <f>Production_Consumption!S8</f>
        <v>8.0155713092189735</v>
      </c>
      <c r="E64" s="33">
        <f>Production_Consumption!Q8</f>
        <v>13.095389432766297</v>
      </c>
      <c r="F64" s="33">
        <f>Production_Consumption!U8</f>
        <v>5.1614896024328099</v>
      </c>
      <c r="G64" s="33">
        <f>Production_Consumption!T8</f>
        <v>2.3995527282934543</v>
      </c>
      <c r="H64" s="33">
        <f>Production_Consumption!W8+Production_Consumption!X8+Production_Consumption!Y8</f>
        <v>12.606883390612563</v>
      </c>
      <c r="I64" s="105">
        <f>SUM(B64:H64)</f>
        <v>53.524340999215539</v>
      </c>
    </row>
    <row r="65" spans="1:18" x14ac:dyDescent="0.2">
      <c r="A65" s="125" t="s">
        <v>274</v>
      </c>
      <c r="B65" s="33">
        <f ca="1">NAFTA!$H$13*EoL!$M8</f>
        <v>0.39560237519502794</v>
      </c>
      <c r="C65" s="33">
        <f ca="1">NAFTA!$D$13*EoL!$M8</f>
        <v>0.97619491799311908</v>
      </c>
      <c r="D65" s="33">
        <f ca="1">NAFTA!$E$13*EoL!$M8</f>
        <v>0.89794453877678804</v>
      </c>
      <c r="E65" s="33">
        <f ca="1">NAFTA!$C$13*EoL!$M8</f>
        <v>1.4670112672796534</v>
      </c>
      <c r="F65" s="33">
        <f ca="1">NAFTA!$G$13*EoL!$M8</f>
        <v>0.57821597758442489</v>
      </c>
      <c r="G65" s="33">
        <f ca="1">NAFTA!$F$13*EoL!$M8</f>
        <v>0.26880994314153223</v>
      </c>
      <c r="H65" s="33">
        <f ca="1">SUM(NAFTA!$J$13:$K$30)*EoL!$M8</f>
        <v>0.85473304822657536</v>
      </c>
      <c r="I65" s="105">
        <f ca="1">SUM(B65:H65)</f>
        <v>5.4385120681971202</v>
      </c>
    </row>
    <row r="66" spans="1:18" x14ac:dyDescent="0.2">
      <c r="A66" s="124" t="s">
        <v>285</v>
      </c>
      <c r="B66" s="33">
        <f>B64*EoL!$Q$40</f>
        <v>2.577079587033734</v>
      </c>
      <c r="C66" s="33">
        <f>C64*EoL!$Q$40</f>
        <v>6.3592439122386626</v>
      </c>
      <c r="D66" s="33">
        <f>D64*EoL!$Q$40</f>
        <v>5.849496075520948</v>
      </c>
      <c r="E66" s="33">
        <f>E64*EoL!$Q$40</f>
        <v>9.5565775837192177</v>
      </c>
      <c r="F66" s="33">
        <f>F64*EoL!$Q$40</f>
        <v>3.7666826241752664</v>
      </c>
      <c r="G66" s="33">
        <f>G64*EoL!$Q$40</f>
        <v>1.7511133923809867</v>
      </c>
      <c r="H66" s="33">
        <f>H64*EoL!$Q$40</f>
        <v>9.200082199146939</v>
      </c>
      <c r="I66" s="33">
        <f>I64*EoL!$Q$40</f>
        <v>39.060275374215763</v>
      </c>
    </row>
    <row r="67" spans="1:18" x14ac:dyDescent="0.2">
      <c r="A67" s="125" t="s">
        <v>286</v>
      </c>
      <c r="B67" s="33">
        <f>B64*EoL!$P$40</f>
        <v>0.54980622934506918</v>
      </c>
      <c r="C67" s="33">
        <f>C64*EoL!$P$40</f>
        <v>1.3567108809774442</v>
      </c>
      <c r="D67" s="33">
        <f>D64*EoL!$P$40</f>
        <v>1.2479588899901732</v>
      </c>
      <c r="E67" s="33">
        <f>E64*EoL!$P$40</f>
        <v>2.0388450217775511</v>
      </c>
      <c r="F67" s="33">
        <f>F64*EoL!$P$40</f>
        <v>0.80360171302318606</v>
      </c>
      <c r="G67" s="33">
        <f>G64*EoL!$P$40</f>
        <v>0.37359073280651472</v>
      </c>
      <c r="H67" s="33">
        <f>H64*EoL!$P$40</f>
        <v>1.9627886267182861</v>
      </c>
      <c r="I67" s="33">
        <f>I64*EoL!$P$40</f>
        <v>8.3333020946382259</v>
      </c>
    </row>
    <row r="68" spans="1:18" x14ac:dyDescent="0.2">
      <c r="A68" s="125" t="s">
        <v>287</v>
      </c>
      <c r="B68" s="33">
        <f>B64*EoL!$O$40</f>
        <v>0.31893678230109712</v>
      </c>
      <c r="C68" s="33">
        <f>C64*EoL!$O$40</f>
        <v>0.7870136418921122</v>
      </c>
      <c r="D68" s="33">
        <f>D64*EoL!$O$40</f>
        <v>0.72392776140720927</v>
      </c>
      <c r="E68" s="33">
        <f>E64*EoL!$O$40</f>
        <v>1.1827124469486954</v>
      </c>
      <c r="F68" s="33">
        <f>F64*EoL!$O$40</f>
        <v>0.46616085981522565</v>
      </c>
      <c r="G68" s="33">
        <f>G64*EoL!$O$40</f>
        <v>0.21671603532166728</v>
      </c>
      <c r="H68" s="33">
        <f>H64*EoL!$O$40</f>
        <v>1.1385929360757134</v>
      </c>
      <c r="I68" s="33">
        <f>I64*EoL!$O$40</f>
        <v>4.8340604637617215</v>
      </c>
    </row>
    <row r="69" spans="1:18" x14ac:dyDescent="0.2">
      <c r="A69" s="196" t="s">
        <v>300</v>
      </c>
      <c r="B69" s="196"/>
      <c r="C69" s="196"/>
      <c r="D69" s="196"/>
      <c r="E69" s="196"/>
      <c r="F69" s="196"/>
      <c r="G69" s="196"/>
      <c r="H69" s="196"/>
      <c r="I69" s="196"/>
    </row>
    <row r="70" spans="1:18" x14ac:dyDescent="0.2">
      <c r="A70" s="124" t="s">
        <v>281</v>
      </c>
      <c r="B70" s="33">
        <f t="shared" ref="B70:I70" ca="1" si="14">(B52+B53)*$L$7*1000</f>
        <v>2813.4009420201996</v>
      </c>
      <c r="C70" s="33">
        <f t="shared" ca="1" si="14"/>
        <v>6942.3943688993577</v>
      </c>
      <c r="D70" s="33">
        <f t="shared" ca="1" si="14"/>
        <v>6385.902031126785</v>
      </c>
      <c r="E70" s="33">
        <f t="shared" ca="1" si="14"/>
        <v>10432.927454705274</v>
      </c>
      <c r="F70" s="33">
        <f t="shared" ca="1" si="14"/>
        <v>4112.0920349003945</v>
      </c>
      <c r="G70" s="33">
        <f t="shared" ca="1" si="14"/>
        <v>1911.6926355306882</v>
      </c>
      <c r="H70" s="33">
        <f t="shared" ca="1" si="14"/>
        <v>9663.4055959100115</v>
      </c>
      <c r="I70" s="33">
        <f t="shared" ca="1" si="14"/>
        <v>42261.815063092705</v>
      </c>
    </row>
    <row r="71" spans="1:18" x14ac:dyDescent="0.2">
      <c r="A71" s="124" t="s">
        <v>282</v>
      </c>
      <c r="B71" s="33">
        <f t="shared" ref="B71:I71" si="15">B66*$L$7*1000</f>
        <v>1733.7907144357005</v>
      </c>
      <c r="C71" s="33">
        <f t="shared" si="15"/>
        <v>4278.3304409165794</v>
      </c>
      <c r="D71" s="33">
        <f t="shared" si="15"/>
        <v>3935.3856322069169</v>
      </c>
      <c r="E71" s="33">
        <f t="shared" si="15"/>
        <v>6429.4116331533587</v>
      </c>
      <c r="F71" s="33">
        <f t="shared" si="15"/>
        <v>2534.1240491289059</v>
      </c>
      <c r="G71" s="33">
        <f t="shared" si="15"/>
        <v>1178.1025913633966</v>
      </c>
      <c r="H71" s="33">
        <f t="shared" si="15"/>
        <v>6189.5710047845505</v>
      </c>
      <c r="I71" s="33">
        <f t="shared" si="15"/>
        <v>26278.716065989414</v>
      </c>
    </row>
    <row r="72" spans="1:18" x14ac:dyDescent="0.2">
      <c r="A72" s="125" t="s">
        <v>283</v>
      </c>
      <c r="B72" s="33">
        <f t="shared" ref="B72:I72" si="16">B67*$L$7*1000</f>
        <v>369.8950315595776</v>
      </c>
      <c r="C72" s="33">
        <f t="shared" si="16"/>
        <v>912.75905464761297</v>
      </c>
      <c r="D72" s="33">
        <f t="shared" si="16"/>
        <v>839.59360290960376</v>
      </c>
      <c r="E72" s="33">
        <f t="shared" si="16"/>
        <v>1371.6807912013855</v>
      </c>
      <c r="F72" s="33">
        <f t="shared" si="16"/>
        <v>540.64189369793985</v>
      </c>
      <c r="G72" s="33">
        <f t="shared" si="16"/>
        <v>251.34192471126244</v>
      </c>
      <c r="H72" s="33">
        <f t="shared" si="16"/>
        <v>1320.5120682055285</v>
      </c>
      <c r="I72" s="33">
        <f t="shared" si="16"/>
        <v>5606.4243669329117</v>
      </c>
    </row>
    <row r="73" spans="1:18" x14ac:dyDescent="0.2">
      <c r="A73" s="125" t="s">
        <v>284</v>
      </c>
      <c r="B73" s="33">
        <f t="shared" ref="B73:I73" si="17">B68*$L$7*1000</f>
        <v>214.57219809114275</v>
      </c>
      <c r="C73" s="33">
        <f t="shared" si="17"/>
        <v>529.48187992026737</v>
      </c>
      <c r="D73" s="33">
        <f t="shared" si="17"/>
        <v>487.03937471125261</v>
      </c>
      <c r="E73" s="33">
        <f t="shared" si="17"/>
        <v>795.69752858406082</v>
      </c>
      <c r="F73" s="33">
        <f t="shared" si="17"/>
        <v>313.62064805739385</v>
      </c>
      <c r="G73" s="33">
        <f t="shared" si="17"/>
        <v>145.80079389108428</v>
      </c>
      <c r="H73" s="33">
        <f t="shared" si="17"/>
        <v>766.01509321734125</v>
      </c>
      <c r="I73" s="33">
        <f t="shared" si="17"/>
        <v>3252.2275164725438</v>
      </c>
    </row>
    <row r="75" spans="1:18" x14ac:dyDescent="0.2">
      <c r="A75" s="197" t="s">
        <v>301</v>
      </c>
      <c r="B75" s="198"/>
      <c r="C75" s="198"/>
      <c r="D75" s="198"/>
      <c r="E75" s="198"/>
      <c r="F75" s="198"/>
      <c r="G75" s="198"/>
      <c r="H75" s="198"/>
      <c r="I75" s="199"/>
    </row>
    <row r="76" spans="1:18" x14ac:dyDescent="0.2">
      <c r="A76" s="125" t="s">
        <v>275</v>
      </c>
      <c r="B76" s="33">
        <f>Production_Consumption!V9</f>
        <v>3.6273736284249787</v>
      </c>
      <c r="C76" s="33">
        <f>Production_Consumption!R9</f>
        <v>8.950966737712422</v>
      </c>
      <c r="D76" s="33">
        <f>Production_Consumption!S9</f>
        <v>8.2334701305607556</v>
      </c>
      <c r="E76" s="33">
        <f>Production_Consumption!Q9</f>
        <v>13.451380267646591</v>
      </c>
      <c r="F76" s="33">
        <f>Production_Consumption!U9</f>
        <v>5.3018018094297634</v>
      </c>
      <c r="G76" s="33">
        <f>Production_Consumption!T9</f>
        <v>2.4647832266661958</v>
      </c>
      <c r="H76" s="33">
        <f>Production_Consumption!W9+Production_Consumption!X9+Production_Consumption!Y9</f>
        <v>12.949594462055257</v>
      </c>
      <c r="I76" s="105">
        <f>SUM(B76:H76)</f>
        <v>54.979370262495962</v>
      </c>
      <c r="K76" s="33">
        <f t="shared" ref="K76:Q76" si="18">B76*$L$7</f>
        <v>2.4404006559964415</v>
      </c>
      <c r="L76" s="33">
        <f t="shared" si="18"/>
        <v>6.0219727373384639</v>
      </c>
      <c r="M76" s="33">
        <f t="shared" si="18"/>
        <v>5.5392600724375969</v>
      </c>
      <c r="N76" s="33">
        <f t="shared" si="18"/>
        <v>9.0497314563859401</v>
      </c>
      <c r="O76" s="33">
        <f t="shared" si="18"/>
        <v>3.5669114734435223</v>
      </c>
      <c r="P76" s="33">
        <f t="shared" si="18"/>
        <v>1.6582407050957624</v>
      </c>
      <c r="Q76" s="33">
        <f t="shared" si="18"/>
        <v>8.7121432907944882</v>
      </c>
      <c r="R76" s="105">
        <f>SUM(K76:Q76)</f>
        <v>36.988660391492211</v>
      </c>
    </row>
    <row r="77" spans="1:18" x14ac:dyDescent="0.2">
      <c r="A77" s="125" t="s">
        <v>274</v>
      </c>
      <c r="B77" s="33">
        <f ca="1">NAFTA!$H$13*EoL!$M9</f>
        <v>0.34634068485127706</v>
      </c>
      <c r="C77" s="33">
        <f ca="1">NAFTA!$D$13*EoL!$M9</f>
        <v>0.85463596187812374</v>
      </c>
      <c r="D77" s="33">
        <f ca="1">NAFTA!$E$13*EoL!$M9</f>
        <v>0.78612957357776136</v>
      </c>
      <c r="E77" s="33">
        <f ca="1">NAFTA!$C$13*EoL!$M9</f>
        <v>1.2843342680733247</v>
      </c>
      <c r="F77" s="33">
        <f ca="1">NAFTA!$G$13*EoL!$M9</f>
        <v>0.50621464941866023</v>
      </c>
      <c r="G77" s="33">
        <f ca="1">NAFTA!$F$13*EoL!$M9</f>
        <v>0.23533685751146932</v>
      </c>
      <c r="H77" s="33">
        <f ca="1">SUM(NAFTA!$J$13:$K$30)*EoL!$M9</f>
        <v>0.74829891792705372</v>
      </c>
      <c r="I77" s="105">
        <f ca="1">SUM(B77:H77)</f>
        <v>4.7612909132376702</v>
      </c>
    </row>
    <row r="78" spans="1:18" x14ac:dyDescent="0.2">
      <c r="A78" s="124" t="s">
        <v>285</v>
      </c>
      <c r="B78" s="33">
        <f>B76*EoL!$Q$40</f>
        <v>2.6471360537353359</v>
      </c>
      <c r="C78" s="33">
        <f>C76*EoL!$Q$40</f>
        <v>6.5321164000060667</v>
      </c>
      <c r="D78" s="33">
        <f>D76*EoL!$Q$40</f>
        <v>6.0085113535502801</v>
      </c>
      <c r="E78" s="33">
        <f>E76*EoL!$Q$40</f>
        <v>9.8163677984427409</v>
      </c>
      <c r="F78" s="33">
        <f>F76*EoL!$Q$40</f>
        <v>3.8690777838605634</v>
      </c>
      <c r="G78" s="33">
        <f>G76*EoL!$Q$40</f>
        <v>1.7987164302077199</v>
      </c>
      <c r="H78" s="33">
        <f>H76*EoL!$Q$40</f>
        <v>9.450181286299463</v>
      </c>
      <c r="I78" s="33">
        <f>I76*EoL!$Q$40</f>
        <v>40.12210710610217</v>
      </c>
    </row>
    <row r="79" spans="1:18" x14ac:dyDescent="0.2">
      <c r="A79" s="125" t="s">
        <v>286</v>
      </c>
      <c r="B79" s="33">
        <f>B76*EoL!$P$40</f>
        <v>0.56475240407410832</v>
      </c>
      <c r="C79" s="33">
        <f>C76*EoL!$P$40</f>
        <v>1.3935923071992466</v>
      </c>
      <c r="D79" s="33">
        <f>D76*EoL!$P$40</f>
        <v>1.2818839541835518</v>
      </c>
      <c r="E79" s="33">
        <f>E76*EoL!$P$40</f>
        <v>2.0942698829640429</v>
      </c>
      <c r="F79" s="33">
        <f>F76*EoL!$P$40</f>
        <v>0.82544717597784745</v>
      </c>
      <c r="G79" s="33">
        <f>G76*EoL!$P$40</f>
        <v>0.38374658785444193</v>
      </c>
      <c r="H79" s="33">
        <f>H76*EoL!$P$40</f>
        <v>2.0161459373585231</v>
      </c>
      <c r="I79" s="33">
        <f>I76*EoL!$P$40</f>
        <v>8.5598382496117615</v>
      </c>
    </row>
    <row r="80" spans="1:18" x14ac:dyDescent="0.2">
      <c r="A80" s="125" t="s">
        <v>287</v>
      </c>
      <c r="B80" s="33">
        <f>B76*EoL!$O$40</f>
        <v>0.3276069002833325</v>
      </c>
      <c r="C80" s="33">
        <f>C76*EoL!$O$40</f>
        <v>0.80840816741407462</v>
      </c>
      <c r="D80" s="33">
        <f>D76*EoL!$O$40</f>
        <v>0.74360733256463885</v>
      </c>
      <c r="E80" s="33">
        <f>E76*EoL!$O$40</f>
        <v>1.214863823093272</v>
      </c>
      <c r="F80" s="33">
        <f>F76*EoL!$O$40</f>
        <v>0.47883318197304664</v>
      </c>
      <c r="G80" s="33">
        <f>G76*EoL!$O$40</f>
        <v>0.22260733948961145</v>
      </c>
      <c r="H80" s="33">
        <f>H76*EoL!$O$40</f>
        <v>1.1695449480020037</v>
      </c>
      <c r="I80" s="33">
        <f>I76*EoL!$O$40</f>
        <v>4.9654716928199791</v>
      </c>
    </row>
    <row r="81" spans="1:9" x14ac:dyDescent="0.2">
      <c r="A81" s="196" t="s">
        <v>302</v>
      </c>
      <c r="B81" s="196"/>
      <c r="C81" s="196"/>
      <c r="D81" s="196"/>
      <c r="E81" s="196"/>
      <c r="F81" s="196"/>
      <c r="G81" s="196"/>
      <c r="H81" s="196"/>
      <c r="I81" s="196"/>
    </row>
    <row r="82" spans="1:9" x14ac:dyDescent="0.2">
      <c r="A82" s="124" t="s">
        <v>281</v>
      </c>
      <c r="B82" s="33">
        <f>B76*$L$7*1000</f>
        <v>2440.4006559964414</v>
      </c>
      <c r="C82" s="33">
        <f t="shared" ref="C82:I82" si="19">C76*$L$7*1000</f>
        <v>6021.972737338464</v>
      </c>
      <c r="D82" s="33">
        <f t="shared" si="19"/>
        <v>5539.260072437597</v>
      </c>
      <c r="E82" s="33">
        <f t="shared" si="19"/>
        <v>9049.73145638594</v>
      </c>
      <c r="F82" s="33">
        <f t="shared" si="19"/>
        <v>3566.9114734435225</v>
      </c>
      <c r="G82" s="33">
        <f t="shared" si="19"/>
        <v>1658.2407050957625</v>
      </c>
      <c r="H82" s="33">
        <f t="shared" si="19"/>
        <v>8712.1432907944891</v>
      </c>
      <c r="I82" s="33">
        <f t="shared" si="19"/>
        <v>36988.660391492209</v>
      </c>
    </row>
    <row r="83" spans="1:9" x14ac:dyDescent="0.2">
      <c r="A83" s="124" t="s">
        <v>282</v>
      </c>
      <c r="B83" s="33">
        <f t="shared" ref="B83:I83" si="20">B78*$L$7*1000</f>
        <v>1780.9228449545014</v>
      </c>
      <c r="C83" s="33">
        <f t="shared" si="20"/>
        <v>4394.634460233854</v>
      </c>
      <c r="D83" s="33">
        <f t="shared" si="20"/>
        <v>4042.3668887764911</v>
      </c>
      <c r="E83" s="33">
        <f t="shared" si="20"/>
        <v>6604.1915911551014</v>
      </c>
      <c r="F83" s="33">
        <f t="shared" si="20"/>
        <v>2603.0127935661203</v>
      </c>
      <c r="G83" s="33">
        <f t="shared" si="20"/>
        <v>1210.128651163094</v>
      </c>
      <c r="H83" s="33">
        <f t="shared" si="20"/>
        <v>6357.8310294945341</v>
      </c>
      <c r="I83" s="33">
        <f t="shared" si="20"/>
        <v>26993.088259343695</v>
      </c>
    </row>
    <row r="84" spans="1:9" x14ac:dyDescent="0.2">
      <c r="A84" s="125" t="s">
        <v>283</v>
      </c>
      <c r="B84" s="33">
        <f t="shared" ref="B84:I84" si="21">B79*$L$7*1000</f>
        <v>379.95042103684574</v>
      </c>
      <c r="C84" s="33">
        <f t="shared" si="21"/>
        <v>937.57189886097615</v>
      </c>
      <c r="D84" s="33">
        <f t="shared" si="21"/>
        <v>862.41748525342246</v>
      </c>
      <c r="E84" s="33">
        <f t="shared" si="21"/>
        <v>1408.9691660569849</v>
      </c>
      <c r="F84" s="33">
        <f t="shared" si="21"/>
        <v>555.33894108984293</v>
      </c>
      <c r="G84" s="33">
        <f t="shared" si="21"/>
        <v>258.17451430913297</v>
      </c>
      <c r="H84" s="33">
        <f t="shared" si="21"/>
        <v>1356.4094499553041</v>
      </c>
      <c r="I84" s="33">
        <f t="shared" si="21"/>
        <v>5758.831876562509</v>
      </c>
    </row>
    <row r="85" spans="1:9" x14ac:dyDescent="0.2">
      <c r="A85" s="125" t="s">
        <v>284</v>
      </c>
      <c r="B85" s="33">
        <f t="shared" ref="B85:I85" si="22">B80*$L$7*1000</f>
        <v>220.40522324344857</v>
      </c>
      <c r="C85" s="33">
        <f t="shared" si="22"/>
        <v>543.87554858163446</v>
      </c>
      <c r="D85" s="33">
        <f t="shared" si="22"/>
        <v>500.2792676150263</v>
      </c>
      <c r="E85" s="33">
        <f t="shared" si="22"/>
        <v>817.32812070712316</v>
      </c>
      <c r="F85" s="33">
        <f t="shared" si="22"/>
        <v>322.14624990458287</v>
      </c>
      <c r="G85" s="33">
        <f t="shared" si="22"/>
        <v>149.76430689770228</v>
      </c>
      <c r="H85" s="33">
        <f t="shared" si="22"/>
        <v>786.83878494223438</v>
      </c>
      <c r="I85" s="33">
        <f t="shared" si="22"/>
        <v>3340.6375018917515</v>
      </c>
    </row>
  </sheetData>
  <mergeCells count="16">
    <mergeCell ref="A1:I1"/>
    <mergeCell ref="B5:I5"/>
    <mergeCell ref="B9:I9"/>
    <mergeCell ref="A16:I16"/>
    <mergeCell ref="A11:I11"/>
    <mergeCell ref="A39:I39"/>
    <mergeCell ref="A45:I45"/>
    <mergeCell ref="A51:I51"/>
    <mergeCell ref="A22:I22"/>
    <mergeCell ref="A33:I33"/>
    <mergeCell ref="A28:I28"/>
    <mergeCell ref="A57:I57"/>
    <mergeCell ref="A63:I63"/>
    <mergeCell ref="A69:I69"/>
    <mergeCell ref="A75:I75"/>
    <mergeCell ref="A81:I8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FC3B-21CE-9541-980E-0433E5F4BCFC}">
  <dimension ref="A1:M38"/>
  <sheetViews>
    <sheetView tabSelected="1" zoomScale="134" workbookViewId="0">
      <selection activeCell="K22" sqref="K22"/>
    </sheetView>
  </sheetViews>
  <sheetFormatPr baseColWidth="10" defaultRowHeight="16" x14ac:dyDescent="0.2"/>
  <sheetData>
    <row r="1" spans="1:13" x14ac:dyDescent="0.2">
      <c r="A1" s="151" t="s">
        <v>373</v>
      </c>
      <c r="B1" s="151"/>
      <c r="C1" s="151"/>
      <c r="D1" s="151"/>
      <c r="E1" s="151"/>
      <c r="F1" s="151"/>
      <c r="G1" s="151"/>
      <c r="H1" s="151"/>
      <c r="I1" s="151"/>
      <c r="J1" s="152"/>
    </row>
    <row r="2" spans="1:13" x14ac:dyDescent="0.2">
      <c r="A2" s="127" t="s">
        <v>0</v>
      </c>
      <c r="B2" s="127" t="s">
        <v>39</v>
      </c>
      <c r="C2" s="127" t="s">
        <v>40</v>
      </c>
      <c r="D2" s="127" t="s">
        <v>41</v>
      </c>
      <c r="E2" s="127" t="s">
        <v>42</v>
      </c>
      <c r="F2" s="127" t="s">
        <v>43</v>
      </c>
      <c r="G2" s="127" t="s">
        <v>44</v>
      </c>
      <c r="H2" s="127" t="s">
        <v>187</v>
      </c>
      <c r="I2" s="127" t="s">
        <v>45</v>
      </c>
      <c r="J2" s="127" t="s">
        <v>63</v>
      </c>
      <c r="K2" s="130" t="s">
        <v>372</v>
      </c>
    </row>
    <row r="3" spans="1:13" x14ac:dyDescent="0.2">
      <c r="A3" s="135">
        <v>2020</v>
      </c>
      <c r="B3" s="145">
        <f>'CA Population'!$G3*Production_Consumption!AB84</f>
        <v>0.49116763007418257</v>
      </c>
      <c r="C3" s="145">
        <f>'CA Population'!$G3*Production_Consumption!AC84</f>
        <v>2.010702583536029</v>
      </c>
      <c r="D3" s="145">
        <f>'CA Population'!$G3*Production_Consumption!AD84</f>
        <v>1.2068093884362647</v>
      </c>
      <c r="E3" s="145">
        <f>'CA Population'!$G3*Production_Consumption!AE84</f>
        <v>0.62045336357657299</v>
      </c>
      <c r="F3" s="145">
        <f>'CA Population'!$G3*Production_Consumption!AF84</f>
        <v>1.3715702728322767</v>
      </c>
      <c r="G3" s="145">
        <f>'CA Population'!$G3*Production_Consumption!AG84</f>
        <v>3.5972905888730575E-2</v>
      </c>
      <c r="H3" s="145">
        <f>'CA Population'!$G3*Production_Consumption!AH84</f>
        <v>0.75588191362786483</v>
      </c>
      <c r="I3" s="145">
        <f>'CA Population'!$G3*Production_Consumption!AI84</f>
        <v>0.52059559979009251</v>
      </c>
      <c r="J3" s="145">
        <f>'CA Population'!$G3*Production_Consumption!AJ84</f>
        <v>7.0131536577620146</v>
      </c>
      <c r="K3" t="b">
        <f>J3=SUM(B3:I3)</f>
        <v>1</v>
      </c>
    </row>
    <row r="4" spans="1:13" x14ac:dyDescent="0.2">
      <c r="A4" s="135">
        <v>2019</v>
      </c>
      <c r="B4" s="145">
        <f>'CA Population'!$G4*Production_Consumption!AB85</f>
        <v>0.51950300234111746</v>
      </c>
      <c r="C4" s="145">
        <f>'CA Population'!$G4*Production_Consumption!AC85</f>
        <v>2.0295320502084997</v>
      </c>
      <c r="D4" s="145">
        <f>'CA Population'!$G4*Production_Consumption!AD85</f>
        <v>1.2344834849442499</v>
      </c>
      <c r="E4" s="145">
        <f>'CA Population'!$G4*Production_Consumption!AE85</f>
        <v>0.3553928237234682</v>
      </c>
      <c r="F4" s="145">
        <f>'CA Population'!$G4*Production_Consumption!AF85</f>
        <v>1.3725181939920243</v>
      </c>
      <c r="G4" s="145">
        <f>'CA Population'!$G4*Production_Consumption!AG85</f>
        <v>3.7059042184088821E-2</v>
      </c>
      <c r="H4" s="145">
        <f>'CA Population'!$G4*Production_Consumption!AH85</f>
        <v>0.60716102142235884</v>
      </c>
      <c r="I4" s="145">
        <f>'CA Population'!$G4*Production_Consumption!AI85</f>
        <v>0.48204474073196629</v>
      </c>
      <c r="J4" s="145">
        <f>'CA Population'!$G4*Production_Consumption!AJ85</f>
        <v>6.6376943595477735</v>
      </c>
      <c r="K4" t="b">
        <f t="shared" ref="K4:K18" si="0">J4=SUM(B4:I4)</f>
        <v>1</v>
      </c>
    </row>
    <row r="5" spans="1:13" x14ac:dyDescent="0.2">
      <c r="A5" s="135">
        <v>2018</v>
      </c>
      <c r="B5" s="145">
        <f>'CA Population'!$G5*Production_Consumption!AB86</f>
        <v>0.51210831694470405</v>
      </c>
      <c r="C5" s="145">
        <f>'CA Population'!$G5*Production_Consumption!AC86</f>
        <v>1.9670202701048007</v>
      </c>
      <c r="D5" s="145">
        <f>'CA Population'!$G5*Production_Consumption!AD86</f>
        <v>1.1944058813340148</v>
      </c>
      <c r="E5" s="145">
        <f>'CA Population'!$G5*Production_Consumption!AE86</f>
        <v>0.35251137364088814</v>
      </c>
      <c r="F5" s="145">
        <f>'CA Population'!$G5*Production_Consumption!AF86</f>
        <v>1.3274411240196164</v>
      </c>
      <c r="G5" s="145">
        <f>'CA Population'!$G5*Production_Consumption!AG86</f>
        <v>3.6110755013660803E-2</v>
      </c>
      <c r="H5" s="145">
        <f>'CA Population'!$G5*Production_Consumption!AH86</f>
        <v>0.68923077296453505</v>
      </c>
      <c r="I5" s="145">
        <f>'CA Population'!$G5*Production_Consumption!AI86</f>
        <v>0.46957195273833735</v>
      </c>
      <c r="J5" s="145">
        <f>'CA Population'!$G5*Production_Consumption!AJ86</f>
        <v>6.5484004467605574</v>
      </c>
      <c r="K5" t="b">
        <f t="shared" si="0"/>
        <v>1</v>
      </c>
    </row>
    <row r="6" spans="1:13" x14ac:dyDescent="0.2">
      <c r="A6" s="135">
        <v>2017</v>
      </c>
      <c r="B6" s="145">
        <f>'CA Population'!$G6*Production_Consumption!AB87</f>
        <v>0.51709258545593417</v>
      </c>
      <c r="C6" s="145">
        <f>'CA Population'!$G6*Production_Consumption!AC87</f>
        <v>1.9317284387137752</v>
      </c>
      <c r="D6" s="145">
        <f>'CA Population'!$G6*Production_Consumption!AD87</f>
        <v>1.1385349773403162</v>
      </c>
      <c r="E6" s="145">
        <f>'CA Population'!$G6*Production_Consumption!AE87</f>
        <v>0.33749218153322569</v>
      </c>
      <c r="F6" s="145">
        <f>'CA Population'!$G6*Production_Consumption!AF87</f>
        <v>1.2950419866583458</v>
      </c>
      <c r="G6" s="145">
        <f>'CA Population'!$G6*Production_Consumption!AG87</f>
        <v>3.5337978533064252E-2</v>
      </c>
      <c r="H6" s="145">
        <f>'CA Population'!$G6*Production_Consumption!AH87</f>
        <v>0.70013324294228052</v>
      </c>
      <c r="I6" s="145">
        <f>'CA Population'!$G6*Production_Consumption!AI87</f>
        <v>0.44880836149380376</v>
      </c>
      <c r="J6" s="145">
        <f>'CA Population'!$G6*Production_Consumption!AJ87</f>
        <v>6.4041697526707457</v>
      </c>
      <c r="K6" t="b">
        <f t="shared" si="0"/>
        <v>1</v>
      </c>
    </row>
    <row r="7" spans="1:13" x14ac:dyDescent="0.2">
      <c r="A7" s="135">
        <v>2016</v>
      </c>
      <c r="B7" s="145">
        <f>'CA Population'!$G7*Production_Consumption!AB88</f>
        <v>0.46247386741837077</v>
      </c>
      <c r="C7" s="145">
        <f>'CA Population'!$G7*Production_Consumption!AC88</f>
        <v>1.7710744417100734</v>
      </c>
      <c r="D7" s="145">
        <f>'CA Population'!$G7*Production_Consumption!AD88</f>
        <v>0.92640639652273304</v>
      </c>
      <c r="E7" s="145">
        <f>'CA Population'!$G7*Production_Consumption!AE88</f>
        <v>0.32228909117613758</v>
      </c>
      <c r="F7" s="145">
        <f>'CA Population'!$G7*Production_Consumption!AF88</f>
        <v>1.2068140753807175</v>
      </c>
      <c r="G7" s="145">
        <f>'CA Population'!$G7*Production_Consumption!AG88</f>
        <v>3.3092764202208316E-2</v>
      </c>
      <c r="H7" s="145">
        <f>'CA Population'!$G7*Production_Consumption!AH88</f>
        <v>0.65987975608459259</v>
      </c>
      <c r="I7" s="145">
        <f>'CA Population'!$G7*Production_Consumption!AI88</f>
        <v>0.40606819586305543</v>
      </c>
      <c r="J7" s="145">
        <f>'CA Population'!$G7*Production_Consumption!AJ88</f>
        <v>5.7880985883578884</v>
      </c>
      <c r="K7" t="b">
        <f t="shared" si="0"/>
        <v>1</v>
      </c>
    </row>
    <row r="8" spans="1:13" x14ac:dyDescent="0.2">
      <c r="A8" s="135">
        <v>2015</v>
      </c>
      <c r="B8" s="145">
        <f>'CA Population'!$G8*Production_Consumption!AB89</f>
        <v>0.47689035707309485</v>
      </c>
      <c r="C8" s="145">
        <f>'CA Population'!$G8*Production_Consumption!AC89</f>
        <v>1.8630558812165032</v>
      </c>
      <c r="D8" s="145">
        <f>'CA Population'!$G8*Production_Consumption!AD89</f>
        <v>1.0254919836642356</v>
      </c>
      <c r="E8" s="145">
        <f>'CA Population'!$G8*Production_Consumption!AE89</f>
        <v>0.59466664549822856</v>
      </c>
      <c r="F8" s="145">
        <f>'CA Population'!$G8*Production_Consumption!AF89</f>
        <v>1.24213867292822</v>
      </c>
      <c r="G8" s="145">
        <f>'CA Population'!$G8*Production_Consumption!AG89</f>
        <v>3.4091523567952489E-2</v>
      </c>
      <c r="H8" s="145">
        <f>'CA Population'!$G8*Production_Consumption!AH89</f>
        <v>0.69544085753922902</v>
      </c>
      <c r="I8" s="145">
        <f>'CA Population'!$G8*Production_Consumption!AI89</f>
        <v>0.42969312157711048</v>
      </c>
      <c r="J8" s="145">
        <f>'CA Population'!$G8*Production_Consumption!AJ89</f>
        <v>6.3614690430645755</v>
      </c>
      <c r="K8" t="b">
        <f t="shared" si="0"/>
        <v>0</v>
      </c>
      <c r="L8">
        <f>SUM(B8:I8)</f>
        <v>6.3614690430645746</v>
      </c>
      <c r="M8" t="s">
        <v>374</v>
      </c>
    </row>
    <row r="9" spans="1:13" x14ac:dyDescent="0.2">
      <c r="A9" s="135">
        <v>2014</v>
      </c>
      <c r="B9" s="145">
        <f>'CA Population'!$G9*Production_Consumption!AB90</f>
        <v>0.46041237419118203</v>
      </c>
      <c r="C9" s="145">
        <f>'CA Population'!$G9*Production_Consumption!AC90</f>
        <v>1.7958030730758148</v>
      </c>
      <c r="D9" s="145">
        <f>'CA Population'!$G9*Production_Consumption!AD90</f>
        <v>0.98715802265460306</v>
      </c>
      <c r="E9" s="145">
        <f>'CA Population'!$G9*Production_Consumption!AE90</f>
        <v>0.31634881204846688</v>
      </c>
      <c r="F9" s="145">
        <f>'CA Population'!$G9*Production_Consumption!AF90</f>
        <v>1.2054461117607307</v>
      </c>
      <c r="G9" s="145">
        <f>'CA Population'!$G9*Production_Consumption!AG90</f>
        <v>3.3617919076642508E-2</v>
      </c>
      <c r="H9" s="145">
        <f>'CA Population'!$G9*Production_Consumption!AH90</f>
        <v>0.60943322294443014</v>
      </c>
      <c r="I9" s="145">
        <f>'CA Population'!$G9*Production_Consumption!AI90</f>
        <v>0.42122665730816111</v>
      </c>
      <c r="J9" s="145">
        <f>'CA Population'!$G9*Production_Consumption!AJ90</f>
        <v>5.829446193060031</v>
      </c>
      <c r="K9" t="b">
        <f t="shared" si="0"/>
        <v>1</v>
      </c>
    </row>
    <row r="10" spans="1:13" x14ac:dyDescent="0.2">
      <c r="A10" s="135">
        <v>2013</v>
      </c>
      <c r="B10" s="145">
        <f>'CA Population'!$G10*Production_Consumption!AB91</f>
        <v>0.45366448978394958</v>
      </c>
      <c r="C10" s="145">
        <f>'CA Population'!$G10*Production_Consumption!AC91</f>
        <v>1.8388822224281718</v>
      </c>
      <c r="D10" s="145">
        <f>'CA Population'!$G10*Production_Consumption!AD91</f>
        <v>1.0916056175533675</v>
      </c>
      <c r="E10" s="145">
        <f>'CA Population'!$G10*Production_Consumption!AE91</f>
        <v>0.30179088740014981</v>
      </c>
      <c r="F10" s="145">
        <f>'CA Population'!$G10*Production_Consumption!AF91</f>
        <v>1.1862863520358709</v>
      </c>
      <c r="G10" s="145">
        <f>'CA Population'!$G10*Production_Consumption!AG91</f>
        <v>3.2063711459438413E-2</v>
      </c>
      <c r="H10" s="145">
        <f>'CA Population'!$G10*Production_Consumption!AH91</f>
        <v>0.67512130466943931</v>
      </c>
      <c r="I10" s="145">
        <f>'CA Population'!$G10*Production_Consumption!AI91</f>
        <v>0.4710001315001538</v>
      </c>
      <c r="J10" s="145">
        <f>'CA Population'!$G10*Production_Consumption!AJ91</f>
        <v>6.0504147168305398</v>
      </c>
      <c r="K10" t="b">
        <f t="shared" si="0"/>
        <v>1</v>
      </c>
    </row>
    <row r="11" spans="1:13" x14ac:dyDescent="0.2">
      <c r="A11" s="135">
        <v>2012</v>
      </c>
      <c r="B11" s="145">
        <f>'CA Population'!$G11*Production_Consumption!AB92</f>
        <v>0.44624678057275124</v>
      </c>
      <c r="C11" s="145">
        <f>'CA Population'!$G11*Production_Consumption!AC92</f>
        <v>1.9931548747296062</v>
      </c>
      <c r="D11" s="145">
        <f>'CA Population'!$G11*Production_Consumption!AD92</f>
        <v>0.92847226676988415</v>
      </c>
      <c r="E11" s="145">
        <f>'CA Population'!$G11*Production_Consumption!AE92</f>
        <v>0.4204661758419776</v>
      </c>
      <c r="F11" s="145">
        <f>'CA Population'!$G11*Production_Consumption!AF92</f>
        <v>1.1524793030668081</v>
      </c>
      <c r="G11" s="145">
        <f>'CA Population'!$G11*Production_Consumption!AG92</f>
        <v>3.1805518340592871E-2</v>
      </c>
      <c r="H11" s="145">
        <f>'CA Population'!$G11*Production_Consumption!AH92</f>
        <v>0.63543254718049591</v>
      </c>
      <c r="I11" s="145">
        <f>'CA Population'!$G11*Production_Consumption!AI92</f>
        <v>0.4086211487731371</v>
      </c>
      <c r="J11" s="145">
        <f>'CA Population'!$G11*Production_Consumption!AJ92</f>
        <v>6.0166786152752527</v>
      </c>
      <c r="K11" t="b">
        <f t="shared" si="0"/>
        <v>1</v>
      </c>
    </row>
    <row r="12" spans="1:13" x14ac:dyDescent="0.2">
      <c r="A12" s="135">
        <v>2011</v>
      </c>
      <c r="B12" s="145">
        <f>'CA Population'!$G12*Production_Consumption!AB93</f>
        <v>0.392252724945024</v>
      </c>
      <c r="C12" s="145">
        <f>'CA Population'!$G12*Production_Consumption!AC93</f>
        <v>1.6425563497140914</v>
      </c>
      <c r="D12" s="145">
        <f>'CA Population'!$G12*Production_Consumption!AD93</f>
        <v>0.85464146447208222</v>
      </c>
      <c r="E12" s="145">
        <f>'CA Population'!$G12*Production_Consumption!AE93</f>
        <v>0.34521774984742459</v>
      </c>
      <c r="F12" s="145">
        <f>'CA Population'!$G12*Production_Consumption!AF93</f>
        <v>1.1235197817613454</v>
      </c>
      <c r="G12" s="145">
        <f>'CA Population'!$G12*Production_Consumption!AG93</f>
        <v>2.9917340769913481E-2</v>
      </c>
      <c r="H12" s="145">
        <f>'CA Population'!$G12*Production_Consumption!AH93</f>
        <v>0.54432194170847192</v>
      </c>
      <c r="I12" s="145">
        <f>'CA Population'!$G12*Production_Consumption!AI93</f>
        <v>0.36744559171991148</v>
      </c>
      <c r="J12" s="145">
        <f>'CA Population'!$G12*Production_Consumption!AJ93</f>
        <v>5.2998729449382651</v>
      </c>
      <c r="K12" t="b">
        <f t="shared" si="0"/>
        <v>0</v>
      </c>
      <c r="L12">
        <f>SUM(B12:I12)</f>
        <v>5.2998729449382642</v>
      </c>
      <c r="M12" t="s">
        <v>374</v>
      </c>
    </row>
    <row r="13" spans="1:13" x14ac:dyDescent="0.2">
      <c r="A13" s="135">
        <v>2010</v>
      </c>
      <c r="B13" s="145">
        <f>'CA Population'!$G13*Production_Consumption!AB94</f>
        <v>0.39384577156250034</v>
      </c>
      <c r="C13" s="145">
        <f>'CA Population'!$G13*Production_Consumption!AC94</f>
        <v>1.6590331075415137</v>
      </c>
      <c r="D13" s="145">
        <f>'CA Population'!$G13*Production_Consumption!AD94</f>
        <v>0.9666427792192489</v>
      </c>
      <c r="E13" s="145">
        <f>'CA Population'!$G13*Production_Consumption!AE94</f>
        <v>0.50949879946359078</v>
      </c>
      <c r="F13" s="145">
        <f>'CA Population'!$G13*Production_Consumption!AF94</f>
        <v>1.0934559965045045</v>
      </c>
      <c r="G13" s="145">
        <f>'CA Population'!$G13*Production_Consumption!AG94</f>
        <v>2.9366676157715745E-2</v>
      </c>
      <c r="H13" s="145">
        <f>'CA Population'!$G13*Production_Consumption!AH94</f>
        <v>0.58026049448752648</v>
      </c>
      <c r="I13" s="145">
        <f>'CA Population'!$G13*Production_Consumption!AI94</f>
        <v>0.42628969567991831</v>
      </c>
      <c r="J13" s="145">
        <f>'CA Population'!$G13*Production_Consumption!AJ94</f>
        <v>5.6583933206165185</v>
      </c>
      <c r="K13" t="b">
        <f t="shared" si="0"/>
        <v>1</v>
      </c>
    </row>
    <row r="14" spans="1:13" x14ac:dyDescent="0.2">
      <c r="A14" s="135">
        <v>2009</v>
      </c>
      <c r="B14" s="145">
        <f>'CA Population'!$G14*Production_Consumption!AB95</f>
        <v>0.4137451739260633</v>
      </c>
      <c r="C14" s="145">
        <f>'CA Population'!$G14*Production_Consumption!AC95</f>
        <v>1.6814005095882647</v>
      </c>
      <c r="D14" s="145">
        <f>'CA Population'!$G14*Production_Consumption!AD95</f>
        <v>0.84194687923592604</v>
      </c>
      <c r="E14" s="145">
        <f>'CA Population'!$G14*Production_Consumption!AE95</f>
        <v>0.39168275981768158</v>
      </c>
      <c r="F14" s="145">
        <f>'CA Population'!$G14*Production_Consumption!AF95</f>
        <v>1.1158077331353513</v>
      </c>
      <c r="G14" s="145">
        <f>'CA Population'!$G14*Production_Consumption!AG95</f>
        <v>3.1182773064578204E-2</v>
      </c>
      <c r="H14" s="145">
        <f>'CA Population'!$G14*Production_Consumption!AH95</f>
        <v>0.53633050190009668</v>
      </c>
      <c r="I14" s="145">
        <f>'CA Population'!$G14*Production_Consumption!AI95</f>
        <v>0.41569695761255088</v>
      </c>
      <c r="J14" s="145">
        <f>'CA Population'!$G14*Production_Consumption!AJ95</f>
        <v>5.4277932882805118</v>
      </c>
      <c r="K14" t="b">
        <f t="shared" si="0"/>
        <v>1</v>
      </c>
    </row>
    <row r="15" spans="1:13" x14ac:dyDescent="0.2">
      <c r="A15" s="135">
        <v>2008</v>
      </c>
      <c r="B15" s="145">
        <f>'CA Population'!$G15*Production_Consumption!AB96</f>
        <v>0.43745984455873649</v>
      </c>
      <c r="C15" s="145">
        <f>'CA Population'!$G15*Production_Consumption!AC96</f>
        <v>1.7317790362123422</v>
      </c>
      <c r="D15" s="145">
        <f>'CA Population'!$G15*Production_Consumption!AD96</f>
        <v>0.9003265423829635</v>
      </c>
      <c r="E15" s="145">
        <f>'CA Population'!$G15*Production_Consumption!AE96</f>
        <v>0.42824806188541392</v>
      </c>
      <c r="F15" s="145">
        <f>'CA Population'!$G15*Production_Consumption!AF96</f>
        <v>1.1425717000021318</v>
      </c>
      <c r="G15" s="145">
        <f>'CA Population'!$G15*Production_Consumption!AG96</f>
        <v>3.162668000367256E-2</v>
      </c>
      <c r="H15" s="145">
        <f>'CA Population'!$G15*Production_Consumption!AH96</f>
        <v>0.51581532848326161</v>
      </c>
      <c r="I15" s="145">
        <f>'CA Population'!$G15*Production_Consumption!AI96</f>
        <v>0.56976407027042808</v>
      </c>
      <c r="J15" s="145">
        <f>'CA Population'!$G15*Production_Consumption!AJ96</f>
        <v>5.7575912637989504</v>
      </c>
      <c r="K15" t="b">
        <f t="shared" si="0"/>
        <v>1</v>
      </c>
    </row>
    <row r="16" spans="1:13" x14ac:dyDescent="0.2">
      <c r="A16" s="135">
        <v>2007</v>
      </c>
      <c r="B16" s="145">
        <f>'CA Population'!$G16*Production_Consumption!AB97</f>
        <v>0.48075813728964722</v>
      </c>
      <c r="C16" s="145">
        <f>'CA Population'!$G16*Production_Consumption!AC97</f>
        <v>1.8209503655334982</v>
      </c>
      <c r="D16" s="145">
        <f>'CA Population'!$G16*Production_Consumption!AD97</f>
        <v>0.91952799333370527</v>
      </c>
      <c r="E16" s="145">
        <f>'CA Population'!$G16*Production_Consumption!AE97</f>
        <v>0.42646727710955001</v>
      </c>
      <c r="F16" s="145">
        <f>'CA Population'!$G16*Production_Consumption!AF97</f>
        <v>1.1991856663542544</v>
      </c>
      <c r="G16" s="145">
        <f>'CA Population'!$G16*Production_Consumption!AG97</f>
        <v>3.3249155400077578E-2</v>
      </c>
      <c r="H16" s="145">
        <f>'CA Population'!$G16*Production_Consumption!AH97</f>
        <v>0.62916595379917728</v>
      </c>
      <c r="I16" s="145">
        <f>'CA Population'!$G16*Production_Consumption!AI97</f>
        <v>0.43620129157729554</v>
      </c>
      <c r="J16" s="145">
        <f>'CA Population'!$G16*Production_Consumption!AJ97</f>
        <v>5.945505840397205</v>
      </c>
      <c r="K16" t="b">
        <f t="shared" si="0"/>
        <v>1</v>
      </c>
    </row>
    <row r="17" spans="1:11" x14ac:dyDescent="0.2">
      <c r="A17" s="135">
        <v>2006</v>
      </c>
      <c r="B17" s="145">
        <f>'CA Population'!$G17*Production_Consumption!AB98</f>
        <v>0.48473839055608647</v>
      </c>
      <c r="C17" s="145">
        <f>'CA Population'!$G17*Production_Consumption!AC98</f>
        <v>1.8843978715385175</v>
      </c>
      <c r="D17" s="145">
        <f>'CA Population'!$G17*Production_Consumption!AD98</f>
        <v>0.92598011797937674</v>
      </c>
      <c r="E17" s="145">
        <f>'CA Population'!$G17*Production_Consumption!AE98</f>
        <v>0.22036756702864305</v>
      </c>
      <c r="F17" s="145">
        <f>'CA Population'!$G17*Production_Consumption!AF98</f>
        <v>1.227329898796627</v>
      </c>
      <c r="G17" s="145">
        <f>'CA Population'!$G17*Production_Consumption!AG98</f>
        <v>3.4011627453400826E-2</v>
      </c>
      <c r="H17" s="145">
        <f>'CA Population'!$G17*Production_Consumption!AH98</f>
        <v>0.62035728898777143</v>
      </c>
      <c r="I17" s="145">
        <f>'CA Population'!$G17*Production_Consumption!AI98</f>
        <v>0.43024142269122101</v>
      </c>
      <c r="J17" s="145">
        <f>'CA Population'!$G17*Production_Consumption!AJ98</f>
        <v>5.8274241850316448</v>
      </c>
      <c r="K17" t="b">
        <f t="shared" si="0"/>
        <v>1</v>
      </c>
    </row>
    <row r="18" spans="1:11" x14ac:dyDescent="0.2">
      <c r="A18" s="136">
        <v>2005</v>
      </c>
      <c r="B18" s="145">
        <f>'CA Population'!$G18*Production_Consumption!AB99</f>
        <v>0.45777546480631165</v>
      </c>
      <c r="C18" s="145">
        <f>'CA Population'!$G18*Production_Consumption!AC99</f>
        <v>1.8012178422546341</v>
      </c>
      <c r="D18" s="145">
        <f>'CA Population'!$G18*Production_Consumption!AD99</f>
        <v>1.1139595943897627</v>
      </c>
      <c r="E18" s="145">
        <f>'CA Population'!$G18*Production_Consumption!AE99</f>
        <v>0.30756035418743088</v>
      </c>
      <c r="F18" s="145">
        <f>'CA Population'!$G18*Production_Consumption!AF99</f>
        <v>1.1557480834340212</v>
      </c>
      <c r="G18" s="145">
        <f>'CA Population'!$G18*Production_Consumption!AG99</f>
        <v>3.2249272250006566E-2</v>
      </c>
      <c r="H18" s="145">
        <f>'CA Population'!$G18*Production_Consumption!AH99</f>
        <v>0.62527118264961401</v>
      </c>
      <c r="I18" s="145">
        <f>'CA Population'!$G18*Production_Consumption!AI99</f>
        <v>0.40768141614810482</v>
      </c>
      <c r="J18" s="145">
        <f>'CA Population'!$G18*Production_Consumption!AJ99</f>
        <v>5.9014632101198865</v>
      </c>
      <c r="K18" t="b">
        <f t="shared" si="0"/>
        <v>1</v>
      </c>
    </row>
    <row r="21" spans="1:11" x14ac:dyDescent="0.2">
      <c r="A21" s="58"/>
      <c r="B21" s="149" t="s">
        <v>288</v>
      </c>
      <c r="C21" s="149"/>
      <c r="D21" s="149"/>
      <c r="E21" s="149"/>
      <c r="F21" s="149"/>
      <c r="G21" s="149"/>
      <c r="H21" s="149"/>
      <c r="I21" s="149"/>
      <c r="J21" s="150"/>
    </row>
    <row r="22" spans="1:11" x14ac:dyDescent="0.2">
      <c r="A22" s="127" t="s">
        <v>0</v>
      </c>
      <c r="B22" s="127" t="s">
        <v>183</v>
      </c>
      <c r="C22" s="127" t="s">
        <v>87</v>
      </c>
      <c r="D22" s="127" t="s">
        <v>88</v>
      </c>
      <c r="E22" s="127" t="s">
        <v>89</v>
      </c>
      <c r="F22" s="127" t="s">
        <v>90</v>
      </c>
      <c r="G22" s="127" t="s">
        <v>91</v>
      </c>
      <c r="H22" s="127" t="s">
        <v>92</v>
      </c>
      <c r="I22" s="127" t="s">
        <v>184</v>
      </c>
      <c r="J22" s="127" t="s">
        <v>185</v>
      </c>
    </row>
    <row r="23" spans="1:11" x14ac:dyDescent="0.2">
      <c r="A23" s="135">
        <v>2020</v>
      </c>
      <c r="B23" s="145">
        <f>Production_Consumption!Q4*'CA Population'!$G3</f>
        <v>1.1480912478421088</v>
      </c>
      <c r="C23" s="145">
        <f>Production_Consumption!R4*'CA Population'!$G3</f>
        <v>0.76397561936529879</v>
      </c>
      <c r="D23" s="145">
        <f>Production_Consumption!S4*'CA Population'!$G3</f>
        <v>0.70273643359872495</v>
      </c>
      <c r="E23" s="145">
        <f>Production_Consumption!T4*'CA Population'!$G3</f>
        <v>0.21037216955123547</v>
      </c>
      <c r="F23" s="145">
        <f>Production_Consumption!U4*'CA Population'!$G3</f>
        <v>0.45251506790274687</v>
      </c>
      <c r="G23" s="145">
        <f>Production_Consumption!V4*'CA Population'!$G3</f>
        <v>0.3096006381935858</v>
      </c>
      <c r="H23" s="145">
        <f>Production_Consumption!W4*'CA Population'!$G3</f>
        <v>0.43634435596622628</v>
      </c>
      <c r="I23" s="145">
        <f>Production_Consumption!X4*'CA Population'!$G3</f>
        <v>0.39556779022681782</v>
      </c>
      <c r="J23" s="145">
        <f>Production_Consumption!Y4*'CA Population'!$G3</f>
        <v>0.27335108844684741</v>
      </c>
    </row>
    <row r="24" spans="1:11" x14ac:dyDescent="0.2">
      <c r="A24" s="135">
        <v>2019</v>
      </c>
      <c r="B24" s="145">
        <f>Production_Consumption!Q5*'CA Population'!$G4</f>
        <v>1.1827557694829667</v>
      </c>
      <c r="C24" s="145">
        <f>Production_Consumption!R5*'CA Population'!$G4</f>
        <v>0.78704247005364969</v>
      </c>
      <c r="D24" s="145">
        <f>Production_Consumption!S5*'CA Population'!$G4</f>
        <v>0.72395427874482121</v>
      </c>
      <c r="E24" s="145">
        <f>Production_Consumption!T5*'CA Population'!$G4</f>
        <v>0.21672397358924164</v>
      </c>
      <c r="F24" s="145">
        <f>Production_Consumption!U5*'CA Population'!$G4</f>
        <v>0.46617793519976014</v>
      </c>
      <c r="G24" s="145">
        <f>Production_Consumption!V5*'CA Population'!$G4</f>
        <v>0.31894846489538897</v>
      </c>
      <c r="H24" s="145">
        <f>Production_Consumption!W5*'CA Population'!$G4</f>
        <v>0.44951897810421998</v>
      </c>
      <c r="I24" s="145">
        <f>Production_Consumption!X5*'CA Population'!$G4</f>
        <v>0.40751123831991715</v>
      </c>
      <c r="J24" s="145">
        <f>Production_Consumption!Y5*'CA Population'!$G4</f>
        <v>0.28160442609647029</v>
      </c>
    </row>
    <row r="25" spans="1:11" x14ac:dyDescent="0.2">
      <c r="A25" s="135">
        <v>2018</v>
      </c>
      <c r="B25" s="145">
        <f>Production_Consumption!Q6*'CA Population'!$G5</f>
        <v>1.1524907638096156</v>
      </c>
      <c r="C25" s="145">
        <f>Production_Consumption!R6*'CA Population'!$G5</f>
        <v>0.76690319410511221</v>
      </c>
      <c r="D25" s="145">
        <f>Production_Consumption!S6*'CA Population'!$G5</f>
        <v>0.70542933816217079</v>
      </c>
      <c r="E25" s="145">
        <f>Production_Consumption!T6*'CA Population'!$G5</f>
        <v>0.21117832125807867</v>
      </c>
      <c r="F25" s="145">
        <f>Production_Consumption!U6*'CA Population'!$G5</f>
        <v>0.45424911758783715</v>
      </c>
      <c r="G25" s="145">
        <f>Production_Consumption!V6*'CA Population'!$G5</f>
        <v>0.31078703601156676</v>
      </c>
      <c r="H25" s="145">
        <f>Production_Consumption!W6*'CA Population'!$G5</f>
        <v>0.43801643905632293</v>
      </c>
      <c r="I25" s="145">
        <f>Production_Consumption!X6*'CA Population'!$G5</f>
        <v>0.39708361644063594</v>
      </c>
      <c r="J25" s="145">
        <f>Production_Consumption!Y6*'CA Population'!$G5</f>
        <v>0.27439857703333181</v>
      </c>
    </row>
    <row r="26" spans="1:11" x14ac:dyDescent="0.2">
      <c r="A26" s="135">
        <v>2017</v>
      </c>
      <c r="B26" s="145">
        <f>Production_Consumption!Q7*'CA Population'!$G6</f>
        <v>1.127827259653031</v>
      </c>
      <c r="C26" s="145">
        <f>Production_Consumption!R7*'CA Population'!$G6</f>
        <v>0.75049133145990854</v>
      </c>
      <c r="D26" s="145">
        <f>Production_Consumption!S7*'CA Population'!$G6</f>
        <v>0.69033302679874764</v>
      </c>
      <c r="E26" s="145">
        <f>Production_Consumption!T7*'CA Population'!$G6</f>
        <v>0.20665906820401295</v>
      </c>
      <c r="F26" s="145">
        <f>Production_Consumption!U7*'CA Population'!$G6</f>
        <v>0.44452810692852468</v>
      </c>
      <c r="G26" s="145">
        <f>Production_Consumption!V7*'CA Population'!$G6</f>
        <v>0.30413613901943254</v>
      </c>
      <c r="H26" s="145">
        <f>Production_Consumption!W7*'CA Population'!$G6</f>
        <v>0.42864281056006676</v>
      </c>
      <c r="I26" s="145">
        <f>Production_Consumption!X7*'CA Population'!$G6</f>
        <v>0.38858595751604513</v>
      </c>
      <c r="J26" s="145">
        <f>Production_Consumption!Y7*'CA Population'!$G6</f>
        <v>0.26852639943526441</v>
      </c>
    </row>
    <row r="27" spans="1:11" x14ac:dyDescent="0.2">
      <c r="A27" s="135">
        <v>2016</v>
      </c>
      <c r="B27" s="145">
        <f>Production_Consumption!Q8*'CA Population'!$G7</f>
        <v>1.0561702483801967</v>
      </c>
      <c r="C27" s="145">
        <f>Production_Consumption!R8*'CA Population'!$G7</f>
        <v>0.70280852778735714</v>
      </c>
      <c r="D27" s="145">
        <f>Production_Consumption!S8*'CA Population'!$G7</f>
        <v>0.6464724080205263</v>
      </c>
      <c r="E27" s="145">
        <f>Production_Consumption!T8*'CA Population'!$G7</f>
        <v>0.19352889152741432</v>
      </c>
      <c r="F27" s="145">
        <f>Production_Consumption!U8*'CA Population'!$G7</f>
        <v>0.41628481408679235</v>
      </c>
      <c r="G27" s="145">
        <f>Production_Consumption!V8*'CA Population'!$G7</f>
        <v>0.28481271288687354</v>
      </c>
      <c r="H27" s="145">
        <f>Production_Consumption!W8*'CA Population'!$G7</f>
        <v>0.40140879715470579</v>
      </c>
      <c r="I27" s="145">
        <f>Production_Consumption!X8*'CA Population'!$G7</f>
        <v>0.36389697425210216</v>
      </c>
      <c r="J27" s="145">
        <f>Production_Consumption!Y8*'CA Population'!$G7</f>
        <v>0.25146545409394855</v>
      </c>
    </row>
    <row r="28" spans="1:11" x14ac:dyDescent="0.2">
      <c r="A28" s="135">
        <v>2015</v>
      </c>
      <c r="B28" s="145">
        <f>Production_Consumption!Q9*'CA Population'!$G8</f>
        <v>1.0880460965548764</v>
      </c>
      <c r="C28" s="145">
        <f>Production_Consumption!R9*'CA Population'!$G8</f>
        <v>0.72401970842985108</v>
      </c>
      <c r="D28" s="145">
        <f>Production_Consumption!S9*'CA Population'!$G8</f>
        <v>0.66598333096006734</v>
      </c>
      <c r="E28" s="145">
        <f>Production_Consumption!T9*'CA Population'!$G8</f>
        <v>0.19936970892707398</v>
      </c>
      <c r="F28" s="145">
        <f>Production_Consumption!U9*'CA Population'!$G8</f>
        <v>0.42884853811860085</v>
      </c>
      <c r="G28" s="145">
        <f>Production_Consumption!V9*'CA Population'!$G8</f>
        <v>0.2934085304722715</v>
      </c>
      <c r="H28" s="145">
        <f>Production_Consumption!W9*'CA Population'!$G8</f>
        <v>0.41352355412093145</v>
      </c>
      <c r="I28" s="145">
        <f>Production_Consumption!X9*'CA Population'!$G8</f>
        <v>0.37487960202473164</v>
      </c>
      <c r="J28" s="145">
        <f>Production_Consumption!Y9*'CA Population'!$G8</f>
        <v>0.25905483151503089</v>
      </c>
    </row>
    <row r="29" spans="1:11" x14ac:dyDescent="0.2">
      <c r="A29" s="135">
        <v>2014</v>
      </c>
      <c r="B29" s="145">
        <f>Production_Consumption!Q10*'CA Population'!$G9</f>
        <v>1.0729307991392723</v>
      </c>
      <c r="C29" s="145">
        <f>Production_Consumption!R10*'CA Population'!$G9</f>
        <v>0.71396151947781306</v>
      </c>
      <c r="D29" s="145">
        <f>Production_Consumption!S10*'CA Population'!$G9</f>
        <v>0.65673139195383379</v>
      </c>
      <c r="E29" s="145">
        <f>Production_Consumption!T10*'CA Population'!$G9</f>
        <v>0.19660003542184562</v>
      </c>
      <c r="F29" s="145">
        <f>Production_Consumption!U10*'CA Population'!$G9</f>
        <v>0.42289091075296398</v>
      </c>
      <c r="G29" s="145">
        <f>Production_Consumption!V10*'CA Population'!$G9</f>
        <v>0.28933245573940281</v>
      </c>
      <c r="H29" s="145">
        <f>Production_Consumption!W10*'CA Population'!$G9</f>
        <v>0.40777882370124896</v>
      </c>
      <c r="I29" s="145">
        <f>Production_Consumption!X10*'CA Population'!$G9</f>
        <v>0.36967171910728092</v>
      </c>
      <c r="J29" s="145">
        <f>Production_Consumption!Y10*'CA Population'!$G9</f>
        <v>0.25545600345278491</v>
      </c>
    </row>
    <row r="30" spans="1:11" x14ac:dyDescent="0.2">
      <c r="A30" s="135">
        <v>2013</v>
      </c>
      <c r="B30" s="145">
        <f>Production_Consumption!Q11*'CA Population'!$G10</f>
        <v>1.0233275736405905</v>
      </c>
      <c r="C30" s="145">
        <f>Production_Consumption!R11*'CA Population'!$G10</f>
        <v>0.68095399068243323</v>
      </c>
      <c r="D30" s="145">
        <f>Production_Consumption!S11*'CA Population'!$G10</f>
        <v>0.6263696991463551</v>
      </c>
      <c r="E30" s="145">
        <f>Production_Consumption!T11*'CA Population'!$G10</f>
        <v>0.18751091625600391</v>
      </c>
      <c r="F30" s="145">
        <f>Production_Consumption!U11*'CA Population'!$G10</f>
        <v>0.40334001965705157</v>
      </c>
      <c r="G30" s="145">
        <f>Production_Consumption!V11*'CA Population'!$G10</f>
        <v>0.27595617550060053</v>
      </c>
      <c r="H30" s="145">
        <f>Production_Consumption!W11*'CA Population'!$G10</f>
        <v>0.38892658741362734</v>
      </c>
      <c r="I30" s="145">
        <f>Production_Consumption!X11*'CA Population'!$G10</f>
        <v>0.35258123232278921</v>
      </c>
      <c r="J30" s="145">
        <f>Production_Consumption!Y11*'CA Population'!$G10</f>
        <v>0.24364588321536995</v>
      </c>
    </row>
    <row r="31" spans="1:11" x14ac:dyDescent="0.2">
      <c r="A31" s="135">
        <v>2012</v>
      </c>
      <c r="B31" s="145">
        <f>Production_Consumption!Q12*'CA Population'!$G11</f>
        <v>1.0150872257266208</v>
      </c>
      <c r="C31" s="145">
        <f>Production_Consumption!R12*'CA Population'!$G11</f>
        <v>0.67547060692422323</v>
      </c>
      <c r="D31" s="145">
        <f>Production_Consumption!S12*'CA Population'!$G11</f>
        <v>0.62132585553587572</v>
      </c>
      <c r="E31" s="145">
        <f>Production_Consumption!T12*'CA Population'!$G11</f>
        <v>0.18600098412144836</v>
      </c>
      <c r="F31" s="145">
        <f>Production_Consumption!U12*'CA Population'!$G11</f>
        <v>0.4000921231132526</v>
      </c>
      <c r="G31" s="145">
        <f>Production_Consumption!V12*'CA Population'!$G11</f>
        <v>0.27373403768890892</v>
      </c>
      <c r="H31" s="145">
        <f>Production_Consumption!W12*'CA Population'!$G11</f>
        <v>0.38579475506997274</v>
      </c>
      <c r="I31" s="145">
        <f>Production_Consumption!X12*'CA Population'!$G11</f>
        <v>0.34974207104431443</v>
      </c>
      <c r="J31" s="145">
        <f>Production_Consumption!Y12*'CA Population'!$G11</f>
        <v>0.24168392411525663</v>
      </c>
    </row>
    <row r="32" spans="1:11" x14ac:dyDescent="0.2">
      <c r="A32" s="135">
        <v>2011</v>
      </c>
      <c r="B32" s="145">
        <f>Production_Consumption!Q13*'CA Population'!$G12</f>
        <v>0.95482520102463797</v>
      </c>
      <c r="C32" s="145">
        <f>Production_Consumption!R13*'CA Population'!$G12</f>
        <v>0.63537038167432591</v>
      </c>
      <c r="D32" s="145">
        <f>Production_Consumption!S13*'CA Population'!$G12</f>
        <v>0.58444000661044815</v>
      </c>
      <c r="E32" s="145">
        <f>Production_Consumption!T13*'CA Population'!$G12</f>
        <v>0.17495878438172022</v>
      </c>
      <c r="F32" s="145">
        <f>Production_Consumption!U13*'CA Population'!$G12</f>
        <v>0.37634011363558345</v>
      </c>
      <c r="G32" s="145">
        <f>Production_Consumption!V13*'CA Population'!$G12</f>
        <v>0.25748344668262918</v>
      </c>
      <c r="H32" s="145">
        <f>Production_Consumption!W13*'CA Population'!$G12</f>
        <v>0.3628915281642453</v>
      </c>
      <c r="I32" s="145">
        <f>Production_Consumption!X13*'CA Population'!$G12</f>
        <v>0.3289791604387669</v>
      </c>
      <c r="J32" s="145">
        <f>Production_Consumption!Y13*'CA Population'!$G12</f>
        <v>0.22733603140615447</v>
      </c>
    </row>
    <row r="33" spans="1:10" x14ac:dyDescent="0.2">
      <c r="A33" s="135">
        <v>2010</v>
      </c>
      <c r="B33" s="145">
        <f>Production_Consumption!Q14*'CA Population'!$G13</f>
        <v>0.93725049566955454</v>
      </c>
      <c r="C33" s="145">
        <f>Production_Consumption!R14*'CA Population'!$G13</f>
        <v>0.62367562619731265</v>
      </c>
      <c r="D33" s="145">
        <f>Production_Consumption!S14*'CA Population'!$G13</f>
        <v>0.57368268589574634</v>
      </c>
      <c r="E33" s="145">
        <f>Production_Consumption!T14*'CA Population'!$G13</f>
        <v>0.17173845768580495</v>
      </c>
      <c r="F33" s="145">
        <f>Production_Consumption!U14*'CA Population'!$G13</f>
        <v>0.36941312155017725</v>
      </c>
      <c r="G33" s="145">
        <f>Production_Consumption!V14*'CA Population'!$G13</f>
        <v>0.2527441543970857</v>
      </c>
      <c r="H33" s="145">
        <f>Production_Consumption!W14*'CA Population'!$G13</f>
        <v>0.35621207345724915</v>
      </c>
      <c r="I33" s="145">
        <f>Production_Consumption!X14*'CA Population'!$G13</f>
        <v>0.32292390361639811</v>
      </c>
      <c r="J33" s="145">
        <f>Production_Consumption!Y14*'CA Population'!$G13</f>
        <v>0.22315163853061062</v>
      </c>
    </row>
    <row r="34" spans="1:10" x14ac:dyDescent="0.2">
      <c r="A34" s="135">
        <v>2009</v>
      </c>
      <c r="B34" s="145">
        <f>Production_Consumption!Q15*'CA Population'!$G14</f>
        <v>0.99521203401319736</v>
      </c>
      <c r="C34" s="145">
        <f>Production_Consumption!R15*'CA Population'!$G14</f>
        <v>0.66224503628442788</v>
      </c>
      <c r="D34" s="145">
        <f>Production_Consumption!S15*'CA Population'!$G14</f>
        <v>0.60916042759795375</v>
      </c>
      <c r="E34" s="145">
        <f>Production_Consumption!T15*'CA Population'!$G14</f>
        <v>0.18235912446189748</v>
      </c>
      <c r="F34" s="145">
        <f>Production_Consumption!U15*'CA Population'!$G14</f>
        <v>0.39225840454368405</v>
      </c>
      <c r="G34" s="145">
        <f>Production_Consumption!V15*'CA Population'!$G14</f>
        <v>0.26837438352356163</v>
      </c>
      <c r="H34" s="145">
        <f>Production_Consumption!W15*'CA Population'!$G14</f>
        <v>0.37824097592201805</v>
      </c>
      <c r="I34" s="145">
        <f>Production_Consumption!X15*'CA Population'!$G14</f>
        <v>0.3428941957720395</v>
      </c>
      <c r="J34" s="145">
        <f>Production_Consumption!Y15*'CA Population'!$G14</f>
        <v>0.23695180434849986</v>
      </c>
    </row>
    <row r="35" spans="1:10" x14ac:dyDescent="0.2">
      <c r="A35" s="135">
        <v>2008</v>
      </c>
      <c r="B35" s="145">
        <f>Production_Consumption!Q16*'CA Population'!$G15</f>
        <v>1.0093795208769782</v>
      </c>
      <c r="C35" s="145">
        <f>Production_Consumption!R16*'CA Population'!$G15</f>
        <v>0.67167252262050958</v>
      </c>
      <c r="D35" s="145">
        <f>Production_Consumption!S16*'CA Population'!$G15</f>
        <v>0.61783222020191519</v>
      </c>
      <c r="E35" s="145">
        <f>Production_Consumption!T16*'CA Population'!$G15</f>
        <v>0.18495512452219243</v>
      </c>
      <c r="F35" s="145">
        <f>Production_Consumption!U16*'CA Population'!$G15</f>
        <v>0.39784245658852352</v>
      </c>
      <c r="G35" s="145">
        <f>Production_Consumption!V16*'CA Population'!$G15</f>
        <v>0.27219486641886281</v>
      </c>
      <c r="H35" s="145">
        <f>Production_Consumption!W16*'CA Population'!$G15</f>
        <v>0.38362548080597697</v>
      </c>
      <c r="I35" s="145">
        <f>Production_Consumption!X16*'CA Population'!$G15</f>
        <v>0.34777551638336424</v>
      </c>
      <c r="J35" s="145">
        <f>Production_Consumption!Y16*'CA Population'!$G15</f>
        <v>0.24032496650965196</v>
      </c>
    </row>
    <row r="36" spans="1:10" x14ac:dyDescent="0.2">
      <c r="A36" s="135">
        <v>2007</v>
      </c>
      <c r="B36" s="145">
        <f>Production_Consumption!Q17*'CA Population'!$G16</f>
        <v>1.061161542830209</v>
      </c>
      <c r="C36" s="145">
        <f>Production_Consumption!R17*'CA Population'!$G16</f>
        <v>0.70612989033240747</v>
      </c>
      <c r="D36" s="145">
        <f>Production_Consumption!S17*'CA Population'!$G16</f>
        <v>0.64952753492567028</v>
      </c>
      <c r="E36" s="145">
        <f>Production_Consumption!T17*'CA Population'!$G16</f>
        <v>0.19444347862516609</v>
      </c>
      <c r="F36" s="145">
        <f>Production_Consumption!U17*'CA Population'!$G16</f>
        <v>0.41825211063331269</v>
      </c>
      <c r="G36" s="145">
        <f>Production_Consumption!V17*'CA Population'!$G16</f>
        <v>0.2861586929647118</v>
      </c>
      <c r="H36" s="145">
        <f>Production_Consumption!W17*'CA Population'!$G16</f>
        <v>0.4033057919853188</v>
      </c>
      <c r="I36" s="145">
        <f>Production_Consumption!X17*'CA Population'!$G16</f>
        <v>0.36561669410858022</v>
      </c>
      <c r="J36" s="145">
        <f>Production_Consumption!Y17*'CA Population'!$G16</f>
        <v>0.25265384027251581</v>
      </c>
    </row>
    <row r="37" spans="1:10" x14ac:dyDescent="0.2">
      <c r="A37" s="135">
        <v>2006</v>
      </c>
      <c r="B37" s="145">
        <f>Production_Consumption!Q18*'CA Population'!$G17</f>
        <v>1.0854961766196596</v>
      </c>
      <c r="C37" s="145">
        <f>Production_Consumption!R18*'CA Population'!$G17</f>
        <v>0.72232291240819269</v>
      </c>
      <c r="D37" s="145">
        <f>Production_Consumption!S18*'CA Population'!$G17</f>
        <v>0.6644225476646588</v>
      </c>
      <c r="E37" s="145">
        <f>Production_Consumption!T18*'CA Population'!$G17</f>
        <v>0.19890247063920988</v>
      </c>
      <c r="F37" s="145">
        <f>Production_Consumption!U18*'CA Population'!$G17</f>
        <v>0.42784349849757775</v>
      </c>
      <c r="G37" s="145">
        <f>Production_Consumption!V18*'CA Population'!$G17</f>
        <v>0.29272090495403025</v>
      </c>
      <c r="H37" s="145">
        <f>Production_Consumption!W18*'CA Population'!$G17</f>
        <v>0.41255442978173895</v>
      </c>
      <c r="I37" s="145">
        <f>Production_Consumption!X18*'CA Population'!$G17</f>
        <v>0.37400104276742097</v>
      </c>
      <c r="J37" s="145">
        <f>Production_Consumption!Y18*'CA Population'!$G17</f>
        <v>0.25844771653958454</v>
      </c>
    </row>
    <row r="38" spans="1:10" x14ac:dyDescent="0.2">
      <c r="A38" s="136">
        <v>2005</v>
      </c>
      <c r="B38" s="145">
        <f>Production_Consumption!Q19*'CA Population'!$G18</f>
        <v>1.0292498285802645</v>
      </c>
      <c r="C38" s="145">
        <f>Production_Consumption!R19*'CA Population'!$G18</f>
        <v>0.68489484328807815</v>
      </c>
      <c r="D38" s="145">
        <f>Production_Consumption!S19*'CA Population'!$G18</f>
        <v>0.62999465868070492</v>
      </c>
      <c r="E38" s="145">
        <f>Production_Consumption!T19*'CA Population'!$G18</f>
        <v>0.18859608925304264</v>
      </c>
      <c r="F38" s="145">
        <f>Production_Consumption!U19*'CA Population'!$G18</f>
        <v>0.40567425014718111</v>
      </c>
      <c r="G38" s="145">
        <f>Production_Consumption!V19*'CA Population'!$G18</f>
        <v>0.27755320353501367</v>
      </c>
      <c r="H38" s="145">
        <f>Production_Consumption!W19*'CA Population'!$G18</f>
        <v>0.39117740373365145</v>
      </c>
      <c r="I38" s="145">
        <f>Production_Consumption!X19*'CA Population'!$G18</f>
        <v>0.35462170889993394</v>
      </c>
      <c r="J38" s="145">
        <f>Production_Consumption!Y19*'CA Population'!$G18</f>
        <v>0.24505592343374311</v>
      </c>
    </row>
  </sheetData>
  <mergeCells count="2">
    <mergeCell ref="A1:J1"/>
    <mergeCell ref="B21:J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4C33-9954-7A46-9B26-6F20555AA12E}">
  <dimension ref="A1:L946"/>
  <sheetViews>
    <sheetView zoomScale="134" workbookViewId="0">
      <selection activeCell="L4" sqref="L4"/>
    </sheetView>
  </sheetViews>
  <sheetFormatPr baseColWidth="10" defaultRowHeight="16" x14ac:dyDescent="0.2"/>
  <sheetData>
    <row r="1" spans="1:12" x14ac:dyDescent="0.2">
      <c r="A1" s="151" t="s">
        <v>371</v>
      </c>
      <c r="B1" s="151"/>
      <c r="C1" s="151"/>
      <c r="D1" s="151"/>
      <c r="E1" s="151"/>
      <c r="F1" s="151"/>
      <c r="G1" s="151"/>
      <c r="H1" s="151"/>
      <c r="I1" s="151"/>
      <c r="J1" s="151"/>
      <c r="K1" s="152"/>
    </row>
    <row r="2" spans="1:12" x14ac:dyDescent="0.2">
      <c r="A2" s="128" t="s">
        <v>303</v>
      </c>
      <c r="B2" s="127" t="s">
        <v>0</v>
      </c>
      <c r="C2" s="127" t="s">
        <v>39</v>
      </c>
      <c r="D2" s="127" t="s">
        <v>40</v>
      </c>
      <c r="E2" s="127" t="s">
        <v>41</v>
      </c>
      <c r="F2" s="127" t="s">
        <v>42</v>
      </c>
      <c r="G2" s="127" t="s">
        <v>43</v>
      </c>
      <c r="H2" s="127" t="s">
        <v>44</v>
      </c>
      <c r="I2" s="127" t="s">
        <v>187</v>
      </c>
      <c r="J2" s="127" t="s">
        <v>45</v>
      </c>
      <c r="K2" s="127" t="s">
        <v>63</v>
      </c>
      <c r="L2" s="130" t="s">
        <v>372</v>
      </c>
    </row>
    <row r="3" spans="1:12" x14ac:dyDescent="0.2">
      <c r="A3" s="132" t="s">
        <v>305</v>
      </c>
      <c r="B3" s="129">
        <v>2020</v>
      </c>
      <c r="C3" s="143">
        <f>(INDEX(Production_Consumption!$AA$83:$AJ$99,MATCH('County Scaled Consumption '!$B3,Production_Consumption!$AA$83:$AA$99,0),MATCH('County Scaled Consumption '!C$2,Production_Consumption!$AA$83:$AJ$83,0)))*'CA Population'!$L3*10^6</f>
        <v>20602.513033847059</v>
      </c>
      <c r="D3" s="143">
        <f>(INDEX(Production_Consumption!$AA$83:$AJ$99,MATCH('County Scaled Consumption '!$B3,Production_Consumption!$AA$83:$AA$99,0),MATCH('County Scaled Consumption '!D$2,Production_Consumption!$AA$83:$AJ$83,0)))*'CA Population'!$L3*10^6</f>
        <v>84340.912649789985</v>
      </c>
      <c r="E3" s="143">
        <f>(INDEX(Production_Consumption!$AA$83:$AJ$99,MATCH('County Scaled Consumption '!$B3,Production_Consumption!$AA$83:$AA$99,0),MATCH('County Scaled Consumption '!E$2,Production_Consumption!$AA$83:$AJ$83,0)))*'CA Population'!$L3*10^6</f>
        <v>50620.815852363812</v>
      </c>
      <c r="F3" s="143">
        <f>(INDEX(Production_Consumption!$AA$83:$AJ$99,MATCH('County Scaled Consumption '!$B3,Production_Consumption!$AA$83:$AA$99,0),MATCH('County Scaled Consumption '!F$2,Production_Consumption!$AA$83:$AJ$83,0)))*'CA Population'!$L3*10^6</f>
        <v>26025.531259154752</v>
      </c>
      <c r="G3" s="143">
        <f>(INDEX(Production_Consumption!$AA$83:$AJ$99,MATCH('County Scaled Consumption '!$B3,Production_Consumption!$AA$83:$AA$99,0),MATCH('County Scaled Consumption '!G$2,Production_Consumption!$AA$83:$AJ$83,0)))*'CA Population'!$L3*10^6</f>
        <v>57531.874440903783</v>
      </c>
      <c r="H3" s="143">
        <f>(INDEX(Production_Consumption!$AA$83:$AJ$99,MATCH('County Scaled Consumption '!$B3,Production_Consumption!$AA$83:$AA$99,0),MATCH('County Scaled Consumption '!H$2,Production_Consumption!$AA$83:$AJ$83,0)))*'CA Population'!$L3*10^6</f>
        <v>1508.9191898211816</v>
      </c>
      <c r="I3" s="143">
        <f>(INDEX(Production_Consumption!$AA$83:$AJ$99,MATCH('County Scaled Consumption '!$B3,Production_Consumption!$AA$83:$AA$99,0),MATCH('County Scaled Consumption '!I$2,Production_Consumption!$AA$83:$AJ$83,0)))*'CA Population'!$L3*10^6</f>
        <v>31706.216012678389</v>
      </c>
      <c r="J3" s="143">
        <f>(INDEX(Production_Consumption!$AA$83:$AJ$99,MATCH('County Scaled Consumption '!$B3,Production_Consumption!$AA$83:$AA$99,0),MATCH('County Scaled Consumption '!J$2,Production_Consumption!$AA$83:$AJ$83,0)))*'CA Population'!$L3*10^6</f>
        <v>21836.898389291029</v>
      </c>
      <c r="K3" s="143">
        <f>(INDEX(Production_Consumption!$AA$83:$AJ$99,MATCH('County Scaled Consumption '!$B3,Production_Consumption!$AA$83:$AA$99,0),MATCH('County Scaled Consumption '!K$2,Production_Consumption!$AA$83:$AJ$83,0)))*'CA Population'!$L3*10^6</f>
        <v>294173.68082785001</v>
      </c>
      <c r="L3" s="131">
        <f>K3-SUM(C3:J3)</f>
        <v>0</v>
      </c>
    </row>
    <row r="4" spans="1:12" x14ac:dyDescent="0.2">
      <c r="A4" s="132" t="s">
        <v>306</v>
      </c>
      <c r="B4" s="129">
        <v>2020</v>
      </c>
      <c r="C4" s="143">
        <f>(INDEX(Production_Consumption!$AA$83:$AJ$99,MATCH('County Scaled Consumption '!$B4,Production_Consumption!$AA$83:$AA$99,0),MATCH('County Scaled Consumption '!C$2,Production_Consumption!$AA$83:$AJ$83,0)))*'CA Population'!$L4*10^6</f>
        <v>14.196549326617857</v>
      </c>
      <c r="D4" s="143">
        <f>(INDEX(Production_Consumption!$AA$83:$AJ$99,MATCH('County Scaled Consumption '!$B4,Production_Consumption!$AA$83:$AA$99,0),MATCH('County Scaled Consumption '!D$2,Production_Consumption!$AA$83:$AJ$83,0)))*'CA Population'!$L4*10^6</f>
        <v>58.116693080966982</v>
      </c>
      <c r="E4" s="143">
        <f>(INDEX(Production_Consumption!$AA$83:$AJ$99,MATCH('County Scaled Consumption '!$B4,Production_Consumption!$AA$83:$AA$99,0),MATCH('County Scaled Consumption '!E$2,Production_Consumption!$AA$83:$AJ$83,0)))*'CA Population'!$L4*10^6</f>
        <v>34.88122580100277</v>
      </c>
      <c r="F4" s="143">
        <f>(INDEX(Production_Consumption!$AA$83:$AJ$99,MATCH('County Scaled Consumption '!$B4,Production_Consumption!$AA$83:$AA$99,0),MATCH('County Scaled Consumption '!F$2,Production_Consumption!$AA$83:$AJ$83,0)))*'CA Population'!$L4*10^6</f>
        <v>17.933382091060107</v>
      </c>
      <c r="G4" s="143">
        <f>(INDEX(Production_Consumption!$AA$83:$AJ$99,MATCH('County Scaled Consumption '!$B4,Production_Consumption!$AA$83:$AA$99,0),MATCH('County Scaled Consumption '!G$2,Production_Consumption!$AA$83:$AJ$83,0)))*'CA Population'!$L4*10^6</f>
        <v>39.643420781302865</v>
      </c>
      <c r="H4" s="143">
        <f>(INDEX(Production_Consumption!$AA$83:$AJ$99,MATCH('County Scaled Consumption '!$B4,Production_Consumption!$AA$83:$AA$99,0),MATCH('County Scaled Consumption '!H$2,Production_Consumption!$AA$83:$AJ$83,0)))*'CA Population'!$L4*10^6</f>
        <v>1.0397491642395376</v>
      </c>
      <c r="I4" s="143">
        <f>(INDEX(Production_Consumption!$AA$83:$AJ$99,MATCH('County Scaled Consumption '!$B4,Production_Consumption!$AA$83:$AA$99,0),MATCH('County Scaled Consumption '!I$2,Production_Consumption!$AA$83:$AJ$83,0)))*'CA Population'!$L4*10^6</f>
        <v>21.847764825820377</v>
      </c>
      <c r="J4" s="143">
        <f>(INDEX(Production_Consumption!$AA$83:$AJ$99,MATCH('County Scaled Consumption '!$B4,Production_Consumption!$AA$83:$AA$99,0),MATCH('County Scaled Consumption '!J$2,Production_Consumption!$AA$83:$AJ$83,0)))*'CA Population'!$L4*10^6</f>
        <v>15.047125785801525</v>
      </c>
      <c r="K4" s="143">
        <f>(INDEX(Production_Consumption!$AA$83:$AJ$99,MATCH('County Scaled Consumption '!$B4,Production_Consumption!$AA$83:$AA$99,0),MATCH('County Scaled Consumption '!K$2,Production_Consumption!$AA$83:$AJ$83,0)))*'CA Population'!$L4*10^6</f>
        <v>202.70591085681207</v>
      </c>
      <c r="L4" s="131">
        <f t="shared" ref="L4:L67" si="0">K4-SUM(C4:J4)</f>
        <v>0</v>
      </c>
    </row>
    <row r="5" spans="1:12" x14ac:dyDescent="0.2">
      <c r="A5" s="132" t="s">
        <v>307</v>
      </c>
      <c r="B5" s="129">
        <v>2020</v>
      </c>
      <c r="C5" s="143">
        <f>(INDEX(Production_Consumption!$AA$83:$AJ$99,MATCH('County Scaled Consumption '!$B5,Production_Consumption!$AA$83:$AA$99,0),MATCH('County Scaled Consumption '!C$2,Production_Consumption!$AA$83:$AJ$83,0)))*'CA Population'!$L5*10^6</f>
        <v>466.68988026324132</v>
      </c>
      <c r="D5" s="143">
        <f>(INDEX(Production_Consumption!$AA$83:$AJ$99,MATCH('County Scaled Consumption '!$B5,Production_Consumption!$AA$83:$AA$99,0),MATCH('County Scaled Consumption '!D$2,Production_Consumption!$AA$83:$AJ$83,0)))*'CA Population'!$L5*10^6</f>
        <v>1910.4975379051214</v>
      </c>
      <c r="E5" s="143">
        <f>(INDEX(Production_Consumption!$AA$83:$AJ$99,MATCH('County Scaled Consumption '!$B5,Production_Consumption!$AA$83:$AA$99,0),MATCH('County Scaled Consumption '!E$2,Production_Consumption!$AA$83:$AJ$83,0)))*'CA Population'!$L5*10^6</f>
        <v>1146.6670328108005</v>
      </c>
      <c r="F5" s="143">
        <f>(INDEX(Production_Consumption!$AA$83:$AJ$99,MATCH('County Scaled Consumption '!$B5,Production_Consumption!$AA$83:$AA$99,0),MATCH('County Scaled Consumption '!F$2,Production_Consumption!$AA$83:$AJ$83,0)))*'CA Population'!$L5*10^6</f>
        <v>589.53255106152494</v>
      </c>
      <c r="G5" s="143">
        <f>(INDEX(Production_Consumption!$AA$83:$AJ$99,MATCH('County Scaled Consumption '!$B5,Production_Consumption!$AA$83:$AA$99,0),MATCH('County Scaled Consumption '!G$2,Production_Consumption!$AA$83:$AJ$83,0)))*'CA Population'!$L5*10^6</f>
        <v>1303.2169206754127</v>
      </c>
      <c r="H5" s="143">
        <f>(INDEX(Production_Consumption!$AA$83:$AJ$99,MATCH('County Scaled Consumption '!$B5,Production_Consumption!$AA$83:$AA$99,0),MATCH('County Scaled Consumption '!H$2,Production_Consumption!$AA$83:$AJ$83,0)))*'CA Population'!$L5*10^6</f>
        <v>34.180166024778437</v>
      </c>
      <c r="I5" s="143">
        <f>(INDEX(Production_Consumption!$AA$83:$AJ$99,MATCH('County Scaled Consumption '!$B5,Production_Consumption!$AA$83:$AA$99,0),MATCH('County Scaled Consumption '!I$2,Production_Consumption!$AA$83:$AJ$83,0)))*'CA Population'!$L5*10^6</f>
        <v>718.21190600622253</v>
      </c>
      <c r="J5" s="143">
        <f>(INDEX(Production_Consumption!$AA$83:$AJ$99,MATCH('County Scaled Consumption '!$B5,Production_Consumption!$AA$83:$AA$99,0),MATCH('County Scaled Consumption '!J$2,Production_Consumption!$AA$83:$AJ$83,0)))*'CA Population'!$L5*10^6</f>
        <v>494.65128248560285</v>
      </c>
      <c r="K5" s="143">
        <f>(INDEX(Production_Consumption!$AA$83:$AJ$99,MATCH('County Scaled Consumption '!$B5,Production_Consumption!$AA$83:$AA$99,0),MATCH('County Scaled Consumption '!K$2,Production_Consumption!$AA$83:$AJ$83,0)))*'CA Population'!$L5*10^6</f>
        <v>6663.6472772327052</v>
      </c>
      <c r="L5" s="131">
        <f t="shared" si="0"/>
        <v>0</v>
      </c>
    </row>
    <row r="6" spans="1:12" x14ac:dyDescent="0.2">
      <c r="A6" s="132" t="s">
        <v>308</v>
      </c>
      <c r="B6" s="129">
        <v>2020</v>
      </c>
      <c r="C6" s="143">
        <f>(INDEX(Production_Consumption!$AA$83:$AJ$99,MATCH('County Scaled Consumption '!$B6,Production_Consumption!$AA$83:$AA$99,0),MATCH('County Scaled Consumption '!C$2,Production_Consumption!$AA$83:$AJ$83,0)))*'CA Population'!$L6*10^6</f>
        <v>2588.46699681163</v>
      </c>
      <c r="D6" s="143">
        <f>(INDEX(Production_Consumption!$AA$83:$AJ$99,MATCH('County Scaled Consumption '!$B6,Production_Consumption!$AA$83:$AA$99,0),MATCH('County Scaled Consumption '!D$2,Production_Consumption!$AA$83:$AJ$83,0)))*'CA Population'!$L6*10^6</f>
        <v>10596.458233822977</v>
      </c>
      <c r="E6" s="143">
        <f>(INDEX(Production_Consumption!$AA$83:$AJ$99,MATCH('County Scaled Consumption '!$B6,Production_Consumption!$AA$83:$AA$99,0),MATCH('County Scaled Consumption '!E$2,Production_Consumption!$AA$83:$AJ$83,0)))*'CA Population'!$L6*10^6</f>
        <v>6359.9188589400792</v>
      </c>
      <c r="F6" s="143">
        <f>(INDEX(Production_Consumption!$AA$83:$AJ$99,MATCH('County Scaled Consumption '!$B6,Production_Consumption!$AA$83:$AA$99,0),MATCH('County Scaled Consumption '!F$2,Production_Consumption!$AA$83:$AJ$83,0)))*'CA Population'!$L6*10^6</f>
        <v>3269.806388576877</v>
      </c>
      <c r="G6" s="143">
        <f>(INDEX(Production_Consumption!$AA$83:$AJ$99,MATCH('County Scaled Consumption '!$B6,Production_Consumption!$AA$83:$AA$99,0),MATCH('County Scaled Consumption '!G$2,Production_Consumption!$AA$83:$AJ$83,0)))*'CA Population'!$L6*10^6</f>
        <v>7228.2132772024561</v>
      </c>
      <c r="H6" s="143">
        <f>(INDEX(Production_Consumption!$AA$83:$AJ$99,MATCH('County Scaled Consumption '!$B6,Production_Consumption!$AA$83:$AA$99,0),MATCH('County Scaled Consumption '!H$2,Production_Consumption!$AA$83:$AJ$83,0)))*'CA Population'!$L6*10^6</f>
        <v>189.57820908989143</v>
      </c>
      <c r="I6" s="143">
        <f>(INDEX(Production_Consumption!$AA$83:$AJ$99,MATCH('County Scaled Consumption '!$B6,Production_Consumption!$AA$83:$AA$99,0),MATCH('County Scaled Consumption '!I$2,Production_Consumption!$AA$83:$AJ$83,0)))*'CA Population'!$L6*10^6</f>
        <v>3983.5185934729438</v>
      </c>
      <c r="J6" s="143">
        <f>(INDEX(Production_Consumption!$AA$83:$AJ$99,MATCH('County Scaled Consumption '!$B6,Production_Consumption!$AA$83:$AA$99,0),MATCH('County Scaled Consumption '!J$2,Production_Consumption!$AA$83:$AJ$83,0)))*'CA Population'!$L6*10^6</f>
        <v>2743.5532112295068</v>
      </c>
      <c r="K6" s="143">
        <f>(INDEX(Production_Consumption!$AA$83:$AJ$99,MATCH('County Scaled Consumption '!$B6,Production_Consumption!$AA$83:$AA$99,0),MATCH('County Scaled Consumption '!K$2,Production_Consumption!$AA$83:$AJ$83,0)))*'CA Population'!$L6*10^6</f>
        <v>36959.513769146361</v>
      </c>
      <c r="L6" s="131">
        <f t="shared" si="0"/>
        <v>0</v>
      </c>
    </row>
    <row r="7" spans="1:12" x14ac:dyDescent="0.2">
      <c r="A7" s="132" t="s">
        <v>309</v>
      </c>
      <c r="B7" s="129">
        <v>2020</v>
      </c>
      <c r="C7" s="143">
        <f>(INDEX(Production_Consumption!$AA$83:$AJ$99,MATCH('County Scaled Consumption '!$B7,Production_Consumption!$AA$83:$AA$99,0),MATCH('County Scaled Consumption '!C$2,Production_Consumption!$AA$83:$AJ$83,0)))*'CA Population'!$L7*10^6</f>
        <v>557.74104741039775</v>
      </c>
      <c r="D7" s="143">
        <f>(INDEX(Production_Consumption!$AA$83:$AJ$99,MATCH('County Scaled Consumption '!$B7,Production_Consumption!$AA$83:$AA$99,0),MATCH('County Scaled Consumption '!D$2,Production_Consumption!$AA$83:$AJ$83,0)))*'CA Population'!$L7*10^6</f>
        <v>2283.2354909113237</v>
      </c>
      <c r="E7" s="143">
        <f>(INDEX(Production_Consumption!$AA$83:$AJ$99,MATCH('County Scaled Consumption '!$B7,Production_Consumption!$AA$83:$AA$99,0),MATCH('County Scaled Consumption '!E$2,Production_Consumption!$AA$83:$AJ$83,0)))*'CA Population'!$L7*10^6</f>
        <v>1370.3817009062373</v>
      </c>
      <c r="F7" s="143">
        <f>(INDEX(Production_Consumption!$AA$83:$AJ$99,MATCH('County Scaled Consumption '!$B7,Production_Consumption!$AA$83:$AA$99,0),MATCH('County Scaled Consumption '!F$2,Production_Consumption!$AA$83:$AJ$83,0)))*'CA Population'!$L7*10^6</f>
        <v>704.55031578167473</v>
      </c>
      <c r="G7" s="143">
        <f>(INDEX(Production_Consumption!$AA$83:$AJ$99,MATCH('County Scaled Consumption '!$B7,Production_Consumption!$AA$83:$AA$99,0),MATCH('County Scaled Consumption '!G$2,Production_Consumption!$AA$83:$AJ$83,0)))*'CA Population'!$L7*10^6</f>
        <v>1557.4744623356012</v>
      </c>
      <c r="H7" s="143">
        <f>(INDEX(Production_Consumption!$AA$83:$AJ$99,MATCH('County Scaled Consumption '!$B7,Production_Consumption!$AA$83:$AA$99,0),MATCH('County Scaled Consumption '!H$2,Production_Consumption!$AA$83:$AJ$83,0)))*'CA Population'!$L7*10^6</f>
        <v>40.848714329456108</v>
      </c>
      <c r="I7" s="143">
        <f>(INDEX(Production_Consumption!$AA$83:$AJ$99,MATCH('County Scaled Consumption '!$B7,Production_Consumption!$AA$83:$AA$99,0),MATCH('County Scaled Consumption '!I$2,Production_Consumption!$AA$83:$AJ$83,0)))*'CA Population'!$L7*10^6</f>
        <v>858.33500501999208</v>
      </c>
      <c r="J7" s="143">
        <f>(INDEX(Production_Consumption!$AA$83:$AJ$99,MATCH('County Scaled Consumption '!$B7,Production_Consumption!$AA$83:$AA$99,0),MATCH('County Scaled Consumption '!J$2,Production_Consumption!$AA$83:$AJ$83,0)))*'CA Population'!$L7*10^6</f>
        <v>591.15771749925148</v>
      </c>
      <c r="K7" s="143">
        <f>(INDEX(Production_Consumption!$AA$83:$AJ$99,MATCH('County Scaled Consumption '!$B7,Production_Consumption!$AA$83:$AA$99,0),MATCH('County Scaled Consumption '!K$2,Production_Consumption!$AA$83:$AJ$83,0)))*'CA Population'!$L7*10^6</f>
        <v>7963.7244541939344</v>
      </c>
      <c r="L7" s="131">
        <f t="shared" si="0"/>
        <v>0</v>
      </c>
    </row>
    <row r="8" spans="1:12" x14ac:dyDescent="0.2">
      <c r="A8" s="132" t="s">
        <v>310</v>
      </c>
      <c r="B8" s="129">
        <v>2020</v>
      </c>
      <c r="C8" s="143">
        <f>(INDEX(Production_Consumption!$AA$83:$AJ$99,MATCH('County Scaled Consumption '!$B8,Production_Consumption!$AA$83:$AA$99,0),MATCH('County Scaled Consumption '!C$2,Production_Consumption!$AA$83:$AJ$83,0)))*'CA Population'!$L8*10^6</f>
        <v>272.9057431635178</v>
      </c>
      <c r="D8" s="143">
        <f>(INDEX(Production_Consumption!$AA$83:$AJ$99,MATCH('County Scaled Consumption '!$B8,Production_Consumption!$AA$83:$AA$99,0),MATCH('County Scaled Consumption '!D$2,Production_Consumption!$AA$83:$AJ$83,0)))*'CA Population'!$L8*10^6</f>
        <v>1117.1996060852555</v>
      </c>
      <c r="E8" s="143">
        <f>(INDEX(Production_Consumption!$AA$83:$AJ$99,MATCH('County Scaled Consumption '!$B8,Production_Consumption!$AA$83:$AA$99,0),MATCH('County Scaled Consumption '!E$2,Production_Consumption!$AA$83:$AJ$83,0)))*'CA Population'!$L8*10^6</f>
        <v>670.5352568901319</v>
      </c>
      <c r="F8" s="143">
        <f>(INDEX(Production_Consumption!$AA$83:$AJ$99,MATCH('County Scaled Consumption '!$B8,Production_Consumption!$AA$83:$AA$99,0),MATCH('County Scaled Consumption '!F$2,Production_Consumption!$AA$83:$AJ$83,0)))*'CA Population'!$L8*10^6</f>
        <v>344.74032065100715</v>
      </c>
      <c r="G8" s="143">
        <f>(INDEX(Production_Consumption!$AA$83:$AJ$99,MATCH('County Scaled Consumption '!$B8,Production_Consumption!$AA$83:$AA$99,0),MATCH('County Scaled Consumption '!G$2,Production_Consumption!$AA$83:$AJ$83,0)))*'CA Population'!$L8*10^6</f>
        <v>762.08076772434742</v>
      </c>
      <c r="H8" s="143">
        <f>(INDEX(Production_Consumption!$AA$83:$AJ$99,MATCH('County Scaled Consumption '!$B8,Production_Consumption!$AA$83:$AA$99,0),MATCH('County Scaled Consumption '!H$2,Production_Consumption!$AA$83:$AJ$83,0)))*'CA Population'!$L8*10^6</f>
        <v>19.987499204360397</v>
      </c>
      <c r="I8" s="143">
        <f>(INDEX(Production_Consumption!$AA$83:$AJ$99,MATCH('County Scaled Consumption '!$B8,Production_Consumption!$AA$83:$AA$99,0),MATCH('County Scaled Consumption '!I$2,Production_Consumption!$AA$83:$AJ$83,0)))*'CA Population'!$L8*10^6</f>
        <v>419.9880096970532</v>
      </c>
      <c r="J8" s="143">
        <f>(INDEX(Production_Consumption!$AA$83:$AJ$99,MATCH('County Scaled Consumption '!$B8,Production_Consumption!$AA$83:$AA$99,0),MATCH('County Scaled Consumption '!J$2,Production_Consumption!$AA$83:$AJ$83,0)))*'CA Population'!$L8*10^6</f>
        <v>289.25670249669076</v>
      </c>
      <c r="K8" s="143">
        <f>(INDEX(Production_Consumption!$AA$83:$AJ$99,MATCH('County Scaled Consumption '!$B8,Production_Consumption!$AA$83:$AA$99,0),MATCH('County Scaled Consumption '!K$2,Production_Consumption!$AA$83:$AJ$83,0)))*'CA Population'!$L8*10^6</f>
        <v>3896.6939059123642</v>
      </c>
      <c r="L8" s="131">
        <f t="shared" si="0"/>
        <v>0</v>
      </c>
    </row>
    <row r="9" spans="1:12" x14ac:dyDescent="0.2">
      <c r="A9" s="132" t="s">
        <v>311</v>
      </c>
      <c r="B9" s="129">
        <v>2020</v>
      </c>
      <c r="C9" s="143">
        <f>(INDEX(Production_Consumption!$AA$83:$AJ$99,MATCH('County Scaled Consumption '!$B9,Production_Consumption!$AA$83:$AA$99,0),MATCH('County Scaled Consumption '!C$2,Production_Consumption!$AA$83:$AJ$83,0)))*'CA Population'!$L9*10^6</f>
        <v>14244.279958865205</v>
      </c>
      <c r="D9" s="143">
        <f>(INDEX(Production_Consumption!$AA$83:$AJ$99,MATCH('County Scaled Consumption '!$B9,Production_Consumption!$AA$83:$AA$99,0),MATCH('County Scaled Consumption '!D$2,Production_Consumption!$AA$83:$AJ$83,0)))*'CA Population'!$L9*10^6</f>
        <v>58312.088908576909</v>
      </c>
      <c r="E9" s="143">
        <f>(INDEX(Production_Consumption!$AA$83:$AJ$99,MATCH('County Scaled Consumption '!$B9,Production_Consumption!$AA$83:$AA$99,0),MATCH('County Scaled Consumption '!E$2,Production_Consumption!$AA$83:$AJ$83,0)))*'CA Population'!$L9*10^6</f>
        <v>34998.500986876476</v>
      </c>
      <c r="F9" s="143">
        <f>(INDEX(Production_Consumption!$AA$83:$AJ$99,MATCH('County Scaled Consumption '!$B9,Production_Consumption!$AA$83:$AA$99,0),MATCH('County Scaled Consumption '!F$2,Production_Consumption!$AA$83:$AJ$83,0)))*'CA Population'!$L9*10^6</f>
        <v>17993.676437654227</v>
      </c>
      <c r="G9" s="143">
        <f>(INDEX(Production_Consumption!$AA$83:$AJ$99,MATCH('County Scaled Consumption '!$B9,Production_Consumption!$AA$83:$AA$99,0),MATCH('County Scaled Consumption '!G$2,Production_Consumption!$AA$83:$AJ$83,0)))*'CA Population'!$L9*10^6</f>
        <v>39776.707081713306</v>
      </c>
      <c r="H9" s="143">
        <f>(INDEX(Production_Consumption!$AA$83:$AJ$99,MATCH('County Scaled Consumption '!$B9,Production_Consumption!$AA$83:$AA$99,0),MATCH('County Scaled Consumption '!H$2,Production_Consumption!$AA$83:$AJ$83,0)))*'CA Population'!$L9*10^6</f>
        <v>1043.2449352079623</v>
      </c>
      <c r="I9" s="143">
        <f>(INDEX(Production_Consumption!$AA$83:$AJ$99,MATCH('County Scaled Consumption '!$B9,Production_Consumption!$AA$83:$AA$99,0),MATCH('County Scaled Consumption '!I$2,Production_Consumption!$AA$83:$AJ$83,0)))*'CA Population'!$L9*10^6</f>
        <v>21921.219832691138</v>
      </c>
      <c r="J9" s="143">
        <f>(INDEX(Production_Consumption!$AA$83:$AJ$99,MATCH('County Scaled Consumption '!$B9,Production_Consumption!$AA$83:$AA$99,0),MATCH('County Scaled Consumption '!J$2,Production_Consumption!$AA$83:$AJ$83,0)))*'CA Population'!$L9*10^6</f>
        <v>15097.716165952219</v>
      </c>
      <c r="K9" s="143">
        <f>(INDEX(Production_Consumption!$AA$83:$AJ$99,MATCH('County Scaled Consumption '!$B9,Production_Consumption!$AA$83:$AA$99,0),MATCH('County Scaled Consumption '!K$2,Production_Consumption!$AA$83:$AJ$83,0)))*'CA Population'!$L9*10^6</f>
        <v>203387.43430753745</v>
      </c>
      <c r="L9" s="131">
        <f t="shared" si="0"/>
        <v>0</v>
      </c>
    </row>
    <row r="10" spans="1:12" x14ac:dyDescent="0.2">
      <c r="A10" s="132" t="s">
        <v>312</v>
      </c>
      <c r="B10" s="129">
        <v>2020</v>
      </c>
      <c r="C10" s="143">
        <f>(INDEX(Production_Consumption!$AA$83:$AJ$99,MATCH('County Scaled Consumption '!$B10,Production_Consumption!$AA$83:$AA$99,0),MATCH('County Scaled Consumption '!C$2,Production_Consumption!$AA$83:$AJ$83,0)))*'CA Population'!$L10*10^6</f>
        <v>337.33528334479132</v>
      </c>
      <c r="D10" s="143">
        <f>(INDEX(Production_Consumption!$AA$83:$AJ$99,MATCH('County Scaled Consumption '!$B10,Production_Consumption!$AA$83:$AA$99,0),MATCH('County Scaled Consumption '!D$2,Production_Consumption!$AA$83:$AJ$83,0)))*'CA Population'!$L10*10^6</f>
        <v>1380.9560814029774</v>
      </c>
      <c r="E10" s="143">
        <f>(INDEX(Production_Consumption!$AA$83:$AJ$99,MATCH('County Scaled Consumption '!$B10,Production_Consumption!$AA$83:$AA$99,0),MATCH('County Scaled Consumption '!E$2,Production_Consumption!$AA$83:$AJ$83,0)))*'CA Population'!$L10*10^6</f>
        <v>828.84001726623603</v>
      </c>
      <c r="F10" s="143">
        <f>(INDEX(Production_Consumption!$AA$83:$AJ$99,MATCH('County Scaled Consumption '!$B10,Production_Consumption!$AA$83:$AA$99,0),MATCH('County Scaled Consumption '!F$2,Production_Consumption!$AA$83:$AJ$83,0)))*'CA Population'!$L10*10^6</f>
        <v>426.12908178155135</v>
      </c>
      <c r="G10" s="143">
        <f>(INDEX(Production_Consumption!$AA$83:$AJ$99,MATCH('County Scaled Consumption '!$B10,Production_Consumption!$AA$83:$AA$99,0),MATCH('County Scaled Consumption '!G$2,Production_Consumption!$AA$83:$AJ$83,0)))*'CA Population'!$L10*10^6</f>
        <v>941.9982472038904</v>
      </c>
      <c r="H10" s="143">
        <f>(INDEX(Production_Consumption!$AA$83:$AJ$99,MATCH('County Scaled Consumption '!$B10,Production_Consumption!$AA$83:$AA$99,0),MATCH('County Scaled Consumption '!H$2,Production_Consumption!$AA$83:$AJ$83,0)))*'CA Population'!$L10*10^6</f>
        <v>24.706291004718015</v>
      </c>
      <c r="I10" s="143">
        <f>(INDEX(Production_Consumption!$AA$83:$AJ$99,MATCH('County Scaled Consumption '!$B10,Production_Consumption!$AA$83:$AA$99,0),MATCH('County Scaled Consumption '!I$2,Production_Consumption!$AA$83:$AJ$83,0)))*'CA Population'!$L10*10^6</f>
        <v>519.14178357060632</v>
      </c>
      <c r="J10" s="143">
        <f>(INDEX(Production_Consumption!$AA$83:$AJ$99,MATCH('County Scaled Consumption '!$B10,Production_Consumption!$AA$83:$AA$99,0),MATCH('County Scaled Consumption '!J$2,Production_Consumption!$AA$83:$AJ$83,0)))*'CA Population'!$L10*10^6</f>
        <v>357.54649413015829</v>
      </c>
      <c r="K10" s="143">
        <f>(INDEX(Production_Consumption!$AA$83:$AJ$99,MATCH('County Scaled Consumption '!$B10,Production_Consumption!$AA$83:$AA$99,0),MATCH('County Scaled Consumption '!K$2,Production_Consumption!$AA$83:$AJ$83,0)))*'CA Population'!$L10*10^6</f>
        <v>4816.6532797049294</v>
      </c>
      <c r="L10" s="131">
        <f t="shared" si="0"/>
        <v>0</v>
      </c>
    </row>
    <row r="11" spans="1:12" x14ac:dyDescent="0.2">
      <c r="A11" s="132" t="s">
        <v>313</v>
      </c>
      <c r="B11" s="129">
        <v>2020</v>
      </c>
      <c r="C11" s="143">
        <f>(INDEX(Production_Consumption!$AA$83:$AJ$99,MATCH('County Scaled Consumption '!$B11,Production_Consumption!$AA$83:$AA$99,0),MATCH('County Scaled Consumption '!C$2,Production_Consumption!$AA$83:$AJ$83,0)))*'CA Population'!$L11*10^6</f>
        <v>2397.2967095442941</v>
      </c>
      <c r="D11" s="143">
        <f>(INDEX(Production_Consumption!$AA$83:$AJ$99,MATCH('County Scaled Consumption '!$B11,Production_Consumption!$AA$83:$AA$99,0),MATCH('County Scaled Consumption '!D$2,Production_Consumption!$AA$83:$AJ$83,0)))*'CA Population'!$L11*10^6</f>
        <v>9813.8606704499562</v>
      </c>
      <c r="E11" s="143">
        <f>(INDEX(Production_Consumption!$AA$83:$AJ$99,MATCH('County Scaled Consumption '!$B11,Production_Consumption!$AA$83:$AA$99,0),MATCH('County Scaled Consumption '!E$2,Production_Consumption!$AA$83:$AJ$83,0)))*'CA Population'!$L11*10^6</f>
        <v>5890.2093680490889</v>
      </c>
      <c r="F11" s="143">
        <f>(INDEX(Production_Consumption!$AA$83:$AJ$99,MATCH('County Scaled Consumption '!$B11,Production_Consumption!$AA$83:$AA$99,0),MATCH('County Scaled Consumption '!F$2,Production_Consumption!$AA$83:$AJ$83,0)))*'CA Population'!$L11*10^6</f>
        <v>3028.3160286909783</v>
      </c>
      <c r="G11" s="143">
        <f>(INDEX(Production_Consumption!$AA$83:$AJ$99,MATCH('County Scaled Consumption '!$B11,Production_Consumption!$AA$83:$AA$99,0),MATCH('County Scaled Consumption '!G$2,Production_Consumption!$AA$83:$AJ$83,0)))*'CA Population'!$L11*10^6</f>
        <v>6694.3762183044937</v>
      </c>
      <c r="H11" s="143">
        <f>(INDEX(Production_Consumption!$AA$83:$AJ$99,MATCH('County Scaled Consumption '!$B11,Production_Consumption!$AA$83:$AA$99,0),MATCH('County Scaled Consumption '!H$2,Production_Consumption!$AA$83:$AJ$83,0)))*'CA Population'!$L11*10^6</f>
        <v>175.57697950651925</v>
      </c>
      <c r="I11" s="143">
        <f>(INDEX(Production_Consumption!$AA$83:$AJ$99,MATCH('County Scaled Consumption '!$B11,Production_Consumption!$AA$83:$AA$99,0),MATCH('County Scaled Consumption '!I$2,Production_Consumption!$AA$83:$AJ$83,0)))*'CA Population'!$L11*10^6</f>
        <v>3689.3172786456666</v>
      </c>
      <c r="J11" s="143">
        <f>(INDEX(Production_Consumption!$AA$83:$AJ$99,MATCH('County Scaled Consumption '!$B11,Production_Consumption!$AA$83:$AA$99,0),MATCH('County Scaled Consumption '!J$2,Production_Consumption!$AA$83:$AJ$83,0)))*'CA Population'!$L11*10^6</f>
        <v>2540.9290880824833</v>
      </c>
      <c r="K11" s="143">
        <f>(INDEX(Production_Consumption!$AA$83:$AJ$99,MATCH('County Scaled Consumption '!$B11,Production_Consumption!$AA$83:$AA$99,0),MATCH('County Scaled Consumption '!K$2,Production_Consumption!$AA$83:$AJ$83,0)))*'CA Population'!$L11*10^6</f>
        <v>34229.882341273486</v>
      </c>
      <c r="L11" s="131">
        <f t="shared" si="0"/>
        <v>0</v>
      </c>
    </row>
    <row r="12" spans="1:12" x14ac:dyDescent="0.2">
      <c r="A12" s="132" t="s">
        <v>314</v>
      </c>
      <c r="B12" s="129">
        <v>2020</v>
      </c>
      <c r="C12" s="143">
        <f>(INDEX(Production_Consumption!$AA$83:$AJ$99,MATCH('County Scaled Consumption '!$B12,Production_Consumption!$AA$83:$AA$99,0),MATCH('County Scaled Consumption '!C$2,Production_Consumption!$AA$83:$AJ$83,0)))*'CA Population'!$L12*10^6</f>
        <v>12639.289446381837</v>
      </c>
      <c r="D12" s="143">
        <f>(INDEX(Production_Consumption!$AA$83:$AJ$99,MATCH('County Scaled Consumption '!$B12,Production_Consumption!$AA$83:$AA$99,0),MATCH('County Scaled Consumption '!D$2,Production_Consumption!$AA$83:$AJ$83,0)))*'CA Population'!$L12*10^6</f>
        <v>51741.707693687575</v>
      </c>
      <c r="E12" s="143">
        <f>(INDEX(Production_Consumption!$AA$83:$AJ$99,MATCH('County Scaled Consumption '!$B12,Production_Consumption!$AA$83:$AA$99,0),MATCH('County Scaled Consumption '!E$2,Production_Consumption!$AA$83:$AJ$83,0)))*'CA Population'!$L12*10^6</f>
        <v>31055.004917065198</v>
      </c>
      <c r="F12" s="143">
        <f>(INDEX(Production_Consumption!$AA$83:$AJ$99,MATCH('County Scaled Consumption '!$B12,Production_Consumption!$AA$83:$AA$99,0),MATCH('County Scaled Consumption '!F$2,Production_Consumption!$AA$83:$AJ$83,0)))*'CA Population'!$L12*10^6</f>
        <v>15966.218394809686</v>
      </c>
      <c r="G12" s="143">
        <f>(INDEX(Production_Consumption!$AA$83:$AJ$99,MATCH('County Scaled Consumption '!$B12,Production_Consumption!$AA$83:$AA$99,0),MATCH('County Scaled Consumption '!G$2,Production_Consumption!$AA$83:$AJ$83,0)))*'CA Population'!$L12*10^6</f>
        <v>35294.821183068991</v>
      </c>
      <c r="H12" s="143">
        <f>(INDEX(Production_Consumption!$AA$83:$AJ$99,MATCH('County Scaled Consumption '!$B12,Production_Consumption!$AA$83:$AA$99,0),MATCH('County Scaled Consumption '!H$2,Production_Consumption!$AA$83:$AJ$83,0)))*'CA Population'!$L12*10^6</f>
        <v>925.69612066342586</v>
      </c>
      <c r="I12" s="143">
        <f>(INDEX(Production_Consumption!$AA$83:$AJ$99,MATCH('County Scaled Consumption '!$B12,Production_Consumption!$AA$83:$AA$99,0),MATCH('County Scaled Consumption '!I$2,Production_Consumption!$AA$83:$AJ$83,0)))*'CA Population'!$L12*10^6</f>
        <v>19451.221352239027</v>
      </c>
      <c r="J12" s="143">
        <f>(INDEX(Production_Consumption!$AA$83:$AJ$99,MATCH('County Scaled Consumption '!$B12,Production_Consumption!$AA$83:$AA$99,0),MATCH('County Scaled Consumption '!J$2,Production_Consumption!$AA$83:$AJ$83,0)))*'CA Population'!$L12*10^6</f>
        <v>13396.563754142242</v>
      </c>
      <c r="K12" s="143">
        <f>(INDEX(Production_Consumption!$AA$83:$AJ$99,MATCH('County Scaled Consumption '!$B12,Production_Consumption!$AA$83:$AA$99,0),MATCH('County Scaled Consumption '!K$2,Production_Consumption!$AA$83:$AJ$83,0)))*'CA Population'!$L12*10^6</f>
        <v>180470.52286205802</v>
      </c>
      <c r="L12" s="131">
        <f t="shared" si="0"/>
        <v>0</v>
      </c>
    </row>
    <row r="13" spans="1:12" x14ac:dyDescent="0.2">
      <c r="A13" s="132" t="s">
        <v>315</v>
      </c>
      <c r="B13" s="129">
        <v>2020</v>
      </c>
      <c r="C13" s="143">
        <f>(INDEX(Production_Consumption!$AA$83:$AJ$99,MATCH('County Scaled Consumption '!$B13,Production_Consumption!$AA$83:$AA$99,0),MATCH('County Scaled Consumption '!C$2,Production_Consumption!$AA$83:$AJ$83,0)))*'CA Population'!$L13*10^6</f>
        <v>366.45926891798382</v>
      </c>
      <c r="D13" s="143">
        <f>(INDEX(Production_Consumption!$AA$83:$AJ$99,MATCH('County Scaled Consumption '!$B13,Production_Consumption!$AA$83:$AA$99,0),MATCH('County Scaled Consumption '!D$2,Production_Consumption!$AA$83:$AJ$83,0)))*'CA Population'!$L13*10^6</f>
        <v>1500.1815137182944</v>
      </c>
      <c r="E13" s="143">
        <f>(INDEX(Production_Consumption!$AA$83:$AJ$99,MATCH('County Scaled Consumption '!$B13,Production_Consumption!$AA$83:$AA$99,0),MATCH('County Scaled Consumption '!E$2,Production_Consumption!$AA$83:$AJ$83,0)))*'CA Population'!$L13*10^6</f>
        <v>900.39827368696683</v>
      </c>
      <c r="F13" s="143">
        <f>(INDEX(Production_Consumption!$AA$83:$AJ$99,MATCH('County Scaled Consumption '!$B13,Production_Consumption!$AA$83:$AA$99,0),MATCH('County Scaled Consumption '!F$2,Production_Consumption!$AA$83:$AJ$83,0)))*'CA Population'!$L13*10^6</f>
        <v>462.91911781652715</v>
      </c>
      <c r="G13" s="143">
        <f>(INDEX(Production_Consumption!$AA$83:$AJ$99,MATCH('County Scaled Consumption '!$B13,Production_Consumption!$AA$83:$AA$99,0),MATCH('County Scaled Consumption '!G$2,Production_Consumption!$AA$83:$AJ$83,0)))*'CA Population'!$L13*10^6</f>
        <v>1023.3260676723397</v>
      </c>
      <c r="H13" s="143">
        <f>(INDEX(Production_Consumption!$AA$83:$AJ$99,MATCH('County Scaled Consumption '!$B13,Production_Consumption!$AA$83:$AA$99,0),MATCH('County Scaled Consumption '!H$2,Production_Consumption!$AA$83:$AJ$83,0)))*'CA Population'!$L13*10^6</f>
        <v>26.839319176731237</v>
      </c>
      <c r="I13" s="143">
        <f>(INDEX(Production_Consumption!$AA$83:$AJ$99,MATCH('County Scaled Consumption '!$B13,Production_Consumption!$AA$83:$AA$99,0),MATCH('County Scaled Consumption '!I$2,Production_Consumption!$AA$83:$AJ$83,0)))*'CA Population'!$L13*10^6</f>
        <v>563.96211088779967</v>
      </c>
      <c r="J13" s="143">
        <f>(INDEX(Production_Consumption!$AA$83:$AJ$99,MATCH('County Scaled Consumption '!$B13,Production_Consumption!$AA$83:$AA$99,0),MATCH('County Scaled Consumption '!J$2,Production_Consumption!$AA$83:$AJ$83,0)))*'CA Population'!$L13*10^6</f>
        <v>388.41542320731304</v>
      </c>
      <c r="K13" s="143">
        <f>(INDEX(Production_Consumption!$AA$83:$AJ$99,MATCH('County Scaled Consumption '!$B13,Production_Consumption!$AA$83:$AA$99,0),MATCH('County Scaled Consumption '!K$2,Production_Consumption!$AA$83:$AJ$83,0)))*'CA Population'!$L13*10^6</f>
        <v>5232.5010950839569</v>
      </c>
      <c r="L13" s="131">
        <f t="shared" si="0"/>
        <v>0</v>
      </c>
    </row>
    <row r="14" spans="1:12" x14ac:dyDescent="0.2">
      <c r="A14" s="132" t="s">
        <v>316</v>
      </c>
      <c r="B14" s="129">
        <v>2020</v>
      </c>
      <c r="C14" s="143">
        <f>(INDEX(Production_Consumption!$AA$83:$AJ$99,MATCH('County Scaled Consumption '!$B14,Production_Consumption!$AA$83:$AA$99,0),MATCH('County Scaled Consumption '!C$2,Production_Consumption!$AA$83:$AJ$83,0)))*'CA Population'!$L14*10^6</f>
        <v>1645.4122755311432</v>
      </c>
      <c r="D14" s="143">
        <f>(INDEX(Production_Consumption!$AA$83:$AJ$99,MATCH('County Scaled Consumption '!$B14,Production_Consumption!$AA$83:$AA$99,0),MATCH('County Scaled Consumption '!D$2,Production_Consumption!$AA$83:$AJ$83,0)))*'CA Population'!$L14*10^6</f>
        <v>6735.8565809654083</v>
      </c>
      <c r="E14" s="143">
        <f>(INDEX(Production_Consumption!$AA$83:$AJ$99,MATCH('County Scaled Consumption '!$B14,Production_Consumption!$AA$83:$AA$99,0),MATCH('County Scaled Consumption '!E$2,Production_Consumption!$AA$83:$AJ$83,0)))*'CA Population'!$L14*10^6</f>
        <v>4042.8132074977239</v>
      </c>
      <c r="F14" s="143">
        <f>(INDEX(Production_Consumption!$AA$83:$AJ$99,MATCH('County Scaled Consumption '!$B14,Production_Consumption!$AA$83:$AA$99,0),MATCH('County Scaled Consumption '!F$2,Production_Consumption!$AA$83:$AJ$83,0)))*'CA Population'!$L14*10^6</f>
        <v>2078.5196709100942</v>
      </c>
      <c r="G14" s="143">
        <f>(INDEX(Production_Consumption!$AA$83:$AJ$99,MATCH('County Scaled Consumption '!$B14,Production_Consumption!$AA$83:$AA$99,0),MATCH('County Scaled Consumption '!G$2,Production_Consumption!$AA$83:$AJ$83,0)))*'CA Population'!$L14*10^6</f>
        <v>4594.7624099963095</v>
      </c>
      <c r="H14" s="143">
        <f>(INDEX(Production_Consumption!$AA$83:$AJ$99,MATCH('County Scaled Consumption '!$B14,Production_Consumption!$AA$83:$AA$99,0),MATCH('County Scaled Consumption '!H$2,Production_Consumption!$AA$83:$AJ$83,0)))*'CA Population'!$L14*10^6</f>
        <v>120.50928707761982</v>
      </c>
      <c r="I14" s="143">
        <f>(INDEX(Production_Consumption!$AA$83:$AJ$99,MATCH('County Scaled Consumption '!$B14,Production_Consumption!$AA$83:$AA$99,0),MATCH('County Scaled Consumption '!I$2,Production_Consumption!$AA$83:$AJ$83,0)))*'CA Population'!$L14*10^6</f>
        <v>2532.2055106673347</v>
      </c>
      <c r="J14" s="143">
        <f>(INDEX(Production_Consumption!$AA$83:$AJ$99,MATCH('County Scaled Consumption '!$B14,Production_Consumption!$AA$83:$AA$99,0),MATCH('County Scaled Consumption '!J$2,Production_Consumption!$AA$83:$AJ$83,0)))*'CA Population'!$L14*10^6</f>
        <v>1743.9960169051499</v>
      </c>
      <c r="K14" s="143">
        <f>(INDEX(Production_Consumption!$AA$83:$AJ$99,MATCH('County Scaled Consumption '!$B14,Production_Consumption!$AA$83:$AA$99,0),MATCH('County Scaled Consumption '!K$2,Production_Consumption!$AA$83:$AJ$83,0)))*'CA Population'!$L14*10^6</f>
        <v>23494.074959550788</v>
      </c>
      <c r="L14" s="131">
        <f t="shared" si="0"/>
        <v>0</v>
      </c>
    </row>
    <row r="15" spans="1:12" x14ac:dyDescent="0.2">
      <c r="A15" s="132" t="s">
        <v>317</v>
      </c>
      <c r="B15" s="129">
        <v>2020</v>
      </c>
      <c r="C15" s="143">
        <f>(INDEX(Production_Consumption!$AA$83:$AJ$99,MATCH('County Scaled Consumption '!$B15,Production_Consumption!$AA$83:$AA$99,0),MATCH('County Scaled Consumption '!C$2,Production_Consumption!$AA$83:$AJ$83,0)))*'CA Population'!$L15*10^6</f>
        <v>2334.1555124083684</v>
      </c>
      <c r="D15" s="143">
        <f>(INDEX(Production_Consumption!$AA$83:$AJ$99,MATCH('County Scaled Consumption '!$B15,Production_Consumption!$AA$83:$AA$99,0),MATCH('County Scaled Consumption '!D$2,Production_Consumption!$AA$83:$AJ$83,0)))*'CA Population'!$L15*10^6</f>
        <v>9555.3783103856567</v>
      </c>
      <c r="E15" s="143">
        <f>(INDEX(Production_Consumption!$AA$83:$AJ$99,MATCH('County Scaled Consumption '!$B15,Production_Consumption!$AA$83:$AA$99,0),MATCH('County Scaled Consumption '!E$2,Production_Consumption!$AA$83:$AJ$83,0)))*'CA Population'!$L15*10^6</f>
        <v>5735.0700941331106</v>
      </c>
      <c r="F15" s="143">
        <f>(INDEX(Production_Consumption!$AA$83:$AJ$99,MATCH('County Scaled Consumption '!$B15,Production_Consumption!$AA$83:$AA$99,0),MATCH('County Scaled Consumption '!F$2,Production_Consumption!$AA$83:$AJ$83,0)))*'CA Population'!$L15*10^6</f>
        <v>2948.5547298095357</v>
      </c>
      <c r="G15" s="143">
        <f>(INDEX(Production_Consumption!$AA$83:$AJ$99,MATCH('County Scaled Consumption '!$B15,Production_Consumption!$AA$83:$AA$99,0),MATCH('County Scaled Consumption '!G$2,Production_Consumption!$AA$83:$AJ$83,0)))*'CA Population'!$L15*10^6</f>
        <v>6518.0563965572856</v>
      </c>
      <c r="H15" s="143">
        <f>(INDEX(Production_Consumption!$AA$83:$AJ$99,MATCH('County Scaled Consumption '!$B15,Production_Consumption!$AA$83:$AA$99,0),MATCH('County Scaled Consumption '!H$2,Production_Consumption!$AA$83:$AJ$83,0)))*'CA Population'!$L15*10^6</f>
        <v>170.9525453964591</v>
      </c>
      <c r="I15" s="143">
        <f>(INDEX(Production_Consumption!$AA$83:$AJ$99,MATCH('County Scaled Consumption '!$B15,Production_Consumption!$AA$83:$AA$99,0),MATCH('County Scaled Consumption '!I$2,Production_Consumption!$AA$83:$AJ$83,0)))*'CA Population'!$L15*10^6</f>
        <v>3592.1461989622403</v>
      </c>
      <c r="J15" s="143">
        <f>(INDEX(Production_Consumption!$AA$83:$AJ$99,MATCH('County Scaled Consumption '!$B15,Production_Consumption!$AA$83:$AA$99,0),MATCH('County Scaled Consumption '!J$2,Production_Consumption!$AA$83:$AJ$83,0)))*'CA Population'!$L15*10^6</f>
        <v>2474.0048296791406</v>
      </c>
      <c r="K15" s="143">
        <f>(INDEX(Production_Consumption!$AA$83:$AJ$99,MATCH('County Scaled Consumption '!$B15,Production_Consumption!$AA$83:$AA$99,0),MATCH('County Scaled Consumption '!K$2,Production_Consumption!$AA$83:$AJ$83,0)))*'CA Population'!$L15*10^6</f>
        <v>33328.318617331803</v>
      </c>
      <c r="L15" s="131">
        <f t="shared" si="0"/>
        <v>0</v>
      </c>
    </row>
    <row r="16" spans="1:12" x14ac:dyDescent="0.2">
      <c r="A16" s="132" t="s">
        <v>318</v>
      </c>
      <c r="B16" s="129">
        <v>2020</v>
      </c>
      <c r="C16" s="143">
        <f>(INDEX(Production_Consumption!$AA$83:$AJ$99,MATCH('County Scaled Consumption '!$B16,Production_Consumption!$AA$83:$AA$99,0),MATCH('County Scaled Consumption '!C$2,Production_Consumption!$AA$83:$AJ$83,0)))*'CA Population'!$L16*10^6</f>
        <v>230.21699187248367</v>
      </c>
      <c r="D16" s="143">
        <f>(INDEX(Production_Consumption!$AA$83:$AJ$99,MATCH('County Scaled Consumption '!$B16,Production_Consumption!$AA$83:$AA$99,0),MATCH('County Scaled Consumption '!D$2,Production_Consumption!$AA$83:$AJ$83,0)))*'CA Population'!$L16*10^6</f>
        <v>942.44382566901447</v>
      </c>
      <c r="E16" s="143">
        <f>(INDEX(Production_Consumption!$AA$83:$AJ$99,MATCH('County Scaled Consumption '!$B16,Production_Consumption!$AA$83:$AA$99,0),MATCH('County Scaled Consumption '!E$2,Production_Consumption!$AA$83:$AJ$83,0)))*'CA Population'!$L16*10^6</f>
        <v>565.64808052865226</v>
      </c>
      <c r="F16" s="143">
        <f>(INDEX(Production_Consumption!$AA$83:$AJ$99,MATCH('County Scaled Consumption '!$B16,Production_Consumption!$AA$83:$AA$99,0),MATCH('County Scaled Consumption '!F$2,Production_Consumption!$AA$83:$AJ$83,0)))*'CA Population'!$L16*10^6</f>
        <v>290.81498497404982</v>
      </c>
      <c r="G16" s="143">
        <f>(INDEX(Production_Consumption!$AA$83:$AJ$99,MATCH('County Scaled Consumption '!$B16,Production_Consumption!$AA$83:$AA$99,0),MATCH('County Scaled Consumption '!G$2,Production_Consumption!$AA$83:$AJ$83,0)))*'CA Population'!$L16*10^6</f>
        <v>642.87376247795157</v>
      </c>
      <c r="H16" s="143">
        <f>(INDEX(Production_Consumption!$AA$83:$AJ$99,MATCH('County Scaled Consumption '!$B16,Production_Consumption!$AA$83:$AA$99,0),MATCH('County Scaled Consumption '!H$2,Production_Consumption!$AA$83:$AJ$83,0)))*'CA Population'!$L16*10^6</f>
        <v>16.860993427772744</v>
      </c>
      <c r="I16" s="143">
        <f>(INDEX(Production_Consumption!$AA$83:$AJ$99,MATCH('County Scaled Consumption '!$B16,Production_Consumption!$AA$83:$AA$99,0),MATCH('County Scaled Consumption '!I$2,Production_Consumption!$AA$83:$AJ$83,0)))*'CA Population'!$L16*10^6</f>
        <v>354.29220028189002</v>
      </c>
      <c r="J16" s="143">
        <f>(INDEX(Production_Consumption!$AA$83:$AJ$99,MATCH('County Scaled Consumption '!$B16,Production_Consumption!$AA$83:$AA$99,0),MATCH('County Scaled Consumption '!J$2,Production_Consumption!$AA$83:$AJ$83,0)))*'CA Population'!$L16*10^6</f>
        <v>244.01028412158431</v>
      </c>
      <c r="K16" s="143">
        <f>(INDEX(Production_Consumption!$AA$83:$AJ$99,MATCH('County Scaled Consumption '!$B16,Production_Consumption!$AA$83:$AA$99,0),MATCH('County Scaled Consumption '!K$2,Production_Consumption!$AA$83:$AJ$83,0)))*'CA Population'!$L16*10^6</f>
        <v>3287.1611233533995</v>
      </c>
      <c r="L16" s="131">
        <f t="shared" si="0"/>
        <v>0</v>
      </c>
    </row>
    <row r="17" spans="1:12" x14ac:dyDescent="0.2">
      <c r="A17" s="132" t="s">
        <v>319</v>
      </c>
      <c r="B17" s="129">
        <v>2020</v>
      </c>
      <c r="C17" s="143">
        <f>(INDEX(Production_Consumption!$AA$83:$AJ$99,MATCH('County Scaled Consumption '!$B17,Production_Consumption!$AA$83:$AA$99,0),MATCH('County Scaled Consumption '!C$2,Production_Consumption!$AA$83:$AJ$83,0)))*'CA Population'!$L17*10^6</f>
        <v>11357.586322883419</v>
      </c>
      <c r="D17" s="143">
        <f>(INDEX(Production_Consumption!$AA$83:$AJ$99,MATCH('County Scaled Consumption '!$B17,Production_Consumption!$AA$83:$AA$99,0),MATCH('County Scaled Consumption '!D$2,Production_Consumption!$AA$83:$AJ$83,0)))*'CA Population'!$L17*10^6</f>
        <v>46494.774418880283</v>
      </c>
      <c r="E17" s="143">
        <f>(INDEX(Production_Consumption!$AA$83:$AJ$99,MATCH('County Scaled Consumption '!$B17,Production_Consumption!$AA$83:$AA$99,0),MATCH('County Scaled Consumption '!E$2,Production_Consumption!$AA$83:$AJ$83,0)))*'CA Population'!$L17*10^6</f>
        <v>27905.832887156866</v>
      </c>
      <c r="F17" s="143">
        <f>(INDEX(Production_Consumption!$AA$83:$AJ$99,MATCH('County Scaled Consumption '!$B17,Production_Consumption!$AA$83:$AA$99,0),MATCH('County Scaled Consumption '!F$2,Production_Consumption!$AA$83:$AJ$83,0)))*'CA Population'!$L17*10^6</f>
        <v>14347.143835761308</v>
      </c>
      <c r="G17" s="143">
        <f>(INDEX(Production_Consumption!$AA$83:$AJ$99,MATCH('County Scaled Consumption '!$B17,Production_Consumption!$AA$83:$AA$99,0),MATCH('County Scaled Consumption '!G$2,Production_Consumption!$AA$83:$AJ$83,0)))*'CA Population'!$L17*10^6</f>
        <v>31715.705225201</v>
      </c>
      <c r="H17" s="143">
        <f>(INDEX(Production_Consumption!$AA$83:$AJ$99,MATCH('County Scaled Consumption '!$B17,Production_Consumption!$AA$83:$AA$99,0),MATCH('County Scaled Consumption '!H$2,Production_Consumption!$AA$83:$AJ$83,0)))*'CA Population'!$L17*10^6</f>
        <v>831.82473538517161</v>
      </c>
      <c r="I17" s="143">
        <f>(INDEX(Production_Consumption!$AA$83:$AJ$99,MATCH('County Scaled Consumption '!$B17,Production_Consumption!$AA$83:$AA$99,0),MATCH('County Scaled Consumption '!I$2,Production_Consumption!$AA$83:$AJ$83,0)))*'CA Population'!$L17*10^6</f>
        <v>17478.745662938261</v>
      </c>
      <c r="J17" s="143">
        <f>(INDEX(Production_Consumption!$AA$83:$AJ$99,MATCH('County Scaled Consumption '!$B17,Production_Consumption!$AA$83:$AA$99,0),MATCH('County Scaled Consumption '!J$2,Production_Consumption!$AA$83:$AJ$83,0)))*'CA Population'!$L17*10^6</f>
        <v>12038.068272203178</v>
      </c>
      <c r="K17" s="143">
        <f>(INDEX(Production_Consumption!$AA$83:$AJ$99,MATCH('County Scaled Consumption '!$B17,Production_Consumption!$AA$83:$AA$99,0),MATCH('County Scaled Consumption '!K$2,Production_Consumption!$AA$83:$AJ$83,0)))*'CA Population'!$L17*10^6</f>
        <v>162169.68136040948</v>
      </c>
      <c r="L17" s="131">
        <f t="shared" si="0"/>
        <v>0</v>
      </c>
    </row>
    <row r="18" spans="1:12" x14ac:dyDescent="0.2">
      <c r="A18" s="132" t="s">
        <v>320</v>
      </c>
      <c r="B18" s="129">
        <v>2020</v>
      </c>
      <c r="C18" s="143">
        <f>(INDEX(Production_Consumption!$AA$83:$AJ$99,MATCH('County Scaled Consumption '!$B18,Production_Consumption!$AA$83:$AA$99,0),MATCH('County Scaled Consumption '!C$2,Production_Consumption!$AA$83:$AJ$83,0)))*'CA Population'!$L18*10^6</f>
        <v>1897.6921420552035</v>
      </c>
      <c r="D18" s="143">
        <f>(INDEX(Production_Consumption!$AA$83:$AJ$99,MATCH('County Scaled Consumption '!$B18,Production_Consumption!$AA$83:$AA$99,0),MATCH('County Scaled Consumption '!D$2,Production_Consumption!$AA$83:$AJ$83,0)))*'CA Population'!$L18*10^6</f>
        <v>7768.6196303492598</v>
      </c>
      <c r="E18" s="143">
        <f>(INDEX(Production_Consumption!$AA$83:$AJ$99,MATCH('County Scaled Consumption '!$B18,Production_Consumption!$AA$83:$AA$99,0),MATCH('County Scaled Consumption '!E$2,Production_Consumption!$AA$83:$AJ$83,0)))*'CA Population'!$L18*10^6</f>
        <v>4662.6702436560336</v>
      </c>
      <c r="F18" s="143">
        <f>(INDEX(Production_Consumption!$AA$83:$AJ$99,MATCH('County Scaled Consumption '!$B18,Production_Consumption!$AA$83:$AA$99,0),MATCH('County Scaled Consumption '!F$2,Production_Consumption!$AA$83:$AJ$83,0)))*'CA Population'!$L18*10^6</f>
        <v>2397.2049469000062</v>
      </c>
      <c r="G18" s="143">
        <f>(INDEX(Production_Consumption!$AA$83:$AJ$99,MATCH('County Scaled Consumption '!$B18,Production_Consumption!$AA$83:$AA$99,0),MATCH('County Scaled Consumption '!G$2,Production_Consumption!$AA$83:$AJ$83,0)))*'CA Population'!$L18*10^6</f>
        <v>5299.2460611404931</v>
      </c>
      <c r="H18" s="143">
        <f>(INDEX(Production_Consumption!$AA$83:$AJ$99,MATCH('County Scaled Consumption '!$B18,Production_Consumption!$AA$83:$AA$99,0),MATCH('County Scaled Consumption '!H$2,Production_Consumption!$AA$83:$AJ$83,0)))*'CA Population'!$L18*10^6</f>
        <v>138.98615595173692</v>
      </c>
      <c r="I18" s="143">
        <f>(INDEX(Production_Consumption!$AA$83:$AJ$99,MATCH('County Scaled Consumption '!$B18,Production_Consumption!$AA$83:$AA$99,0),MATCH('County Scaled Consumption '!I$2,Production_Consumption!$AA$83:$AJ$83,0)))*'CA Population'!$L18*10^6</f>
        <v>2920.4513489551464</v>
      </c>
      <c r="J18" s="143">
        <f>(INDEX(Production_Consumption!$AA$83:$AJ$99,MATCH('County Scaled Consumption '!$B18,Production_Consumption!$AA$83:$AA$99,0),MATCH('County Scaled Consumption '!J$2,Production_Consumption!$AA$83:$AJ$83,0)))*'CA Population'!$L18*10^6</f>
        <v>2011.3910575926268</v>
      </c>
      <c r="K18" s="143">
        <f>(INDEX(Production_Consumption!$AA$83:$AJ$99,MATCH('County Scaled Consumption '!$B18,Production_Consumption!$AA$83:$AA$99,0),MATCH('County Scaled Consumption '!K$2,Production_Consumption!$AA$83:$AJ$83,0)))*'CA Population'!$L18*10^6</f>
        <v>27096.261586600507</v>
      </c>
      <c r="L18" s="131">
        <f t="shared" si="0"/>
        <v>0</v>
      </c>
    </row>
    <row r="19" spans="1:12" x14ac:dyDescent="0.2">
      <c r="A19" s="132" t="s">
        <v>321</v>
      </c>
      <c r="B19" s="129">
        <v>2020</v>
      </c>
      <c r="C19" s="143">
        <f>(INDEX(Production_Consumption!$AA$83:$AJ$99,MATCH('County Scaled Consumption '!$B19,Production_Consumption!$AA$83:$AA$99,0),MATCH('County Scaled Consumption '!C$2,Production_Consumption!$AA$83:$AJ$83,0)))*'CA Population'!$L19*10^6</f>
        <v>792.88842901411522</v>
      </c>
      <c r="D19" s="143">
        <f>(INDEX(Production_Consumption!$AA$83:$AJ$99,MATCH('County Scaled Consumption '!$B19,Production_Consumption!$AA$83:$AA$99,0),MATCH('County Scaled Consumption '!D$2,Production_Consumption!$AA$83:$AJ$83,0)))*'CA Population'!$L19*10^6</f>
        <v>3245.862949954007</v>
      </c>
      <c r="E19" s="143">
        <f>(INDEX(Production_Consumption!$AA$83:$AJ$99,MATCH('County Scaled Consumption '!$B19,Production_Consumption!$AA$83:$AA$99,0),MATCH('County Scaled Consumption '!E$2,Production_Consumption!$AA$83:$AJ$83,0)))*'CA Population'!$L19*10^6</f>
        <v>1948.1438546188328</v>
      </c>
      <c r="F19" s="143">
        <f>(INDEX(Production_Consumption!$AA$83:$AJ$99,MATCH('County Scaled Consumption '!$B19,Production_Consumption!$AA$83:$AA$99,0),MATCH('County Scaled Consumption '!F$2,Production_Consumption!$AA$83:$AJ$83,0)))*'CA Population'!$L19*10^6</f>
        <v>1001.593473593632</v>
      </c>
      <c r="G19" s="143">
        <f>(INDEX(Production_Consumption!$AA$83:$AJ$99,MATCH('County Scaled Consumption '!$B19,Production_Consumption!$AA$83:$AA$99,0),MATCH('County Scaled Consumption '!G$2,Production_Consumption!$AA$83:$AJ$83,0)))*'CA Population'!$L19*10^6</f>
        <v>2214.1161842122951</v>
      </c>
      <c r="H19" s="143">
        <f>(INDEX(Production_Consumption!$AA$83:$AJ$99,MATCH('County Scaled Consumption '!$B19,Production_Consumption!$AA$83:$AA$99,0),MATCH('County Scaled Consumption '!H$2,Production_Consumption!$AA$83:$AJ$83,0)))*'CA Population'!$L19*10^6</f>
        <v>58.070807379713436</v>
      </c>
      <c r="I19" s="143">
        <f>(INDEX(Production_Consumption!$AA$83:$AJ$99,MATCH('County Scaled Consumption '!$B19,Production_Consumption!$AA$83:$AA$99,0),MATCH('County Scaled Consumption '!I$2,Production_Consumption!$AA$83:$AJ$83,0)))*'CA Population'!$L19*10^6</f>
        <v>1220.2148234525596</v>
      </c>
      <c r="J19" s="143">
        <f>(INDEX(Production_Consumption!$AA$83:$AJ$99,MATCH('County Scaled Consumption '!$B19,Production_Consumption!$AA$83:$AA$99,0),MATCH('County Scaled Consumption '!J$2,Production_Consumption!$AA$83:$AJ$83,0)))*'CA Population'!$L19*10^6</f>
        <v>840.39379225150674</v>
      </c>
      <c r="K19" s="143">
        <f>(INDEX(Production_Consumption!$AA$83:$AJ$99,MATCH('County Scaled Consumption '!$B19,Production_Consumption!$AA$83:$AA$99,0),MATCH('County Scaled Consumption '!K$2,Production_Consumption!$AA$83:$AJ$83,0)))*'CA Population'!$L19*10^6</f>
        <v>11321.284314476663</v>
      </c>
      <c r="L19" s="131">
        <f t="shared" si="0"/>
        <v>0</v>
      </c>
    </row>
    <row r="20" spans="1:12" x14ac:dyDescent="0.2">
      <c r="A20" s="132" t="s">
        <v>322</v>
      </c>
      <c r="B20" s="129">
        <v>2020</v>
      </c>
      <c r="C20" s="143">
        <f>(INDEX(Production_Consumption!$AA$83:$AJ$99,MATCH('County Scaled Consumption '!$B20,Production_Consumption!$AA$83:$AA$99,0),MATCH('County Scaled Consumption '!C$2,Production_Consumption!$AA$83:$AJ$83,0)))*'CA Population'!$L20*10^6</f>
        <v>355.11193978780761</v>
      </c>
      <c r="D20" s="143">
        <f>(INDEX(Production_Consumption!$AA$83:$AJ$99,MATCH('County Scaled Consumption '!$B20,Production_Consumption!$AA$83:$AA$99,0),MATCH('County Scaled Consumption '!D$2,Production_Consumption!$AA$83:$AJ$83,0)))*'CA Population'!$L20*10^6</f>
        <v>1453.7287293708548</v>
      </c>
      <c r="E20" s="143">
        <f>(INDEX(Production_Consumption!$AA$83:$AJ$99,MATCH('County Scaled Consumption '!$B20,Production_Consumption!$AA$83:$AA$99,0),MATCH('County Scaled Consumption '!E$2,Production_Consumption!$AA$83:$AJ$83,0)))*'CA Population'!$L20*10^6</f>
        <v>872.51764294201178</v>
      </c>
      <c r="F20" s="143">
        <f>(INDEX(Production_Consumption!$AA$83:$AJ$99,MATCH('County Scaled Consumption '!$B20,Production_Consumption!$AA$83:$AA$99,0),MATCH('County Scaled Consumption '!F$2,Production_Consumption!$AA$83:$AJ$83,0)))*'CA Population'!$L20*10^6</f>
        <v>448.58493108405685</v>
      </c>
      <c r="G20" s="143">
        <f>(INDEX(Production_Consumption!$AA$83:$AJ$99,MATCH('County Scaled Consumption '!$B20,Production_Consumption!$AA$83:$AA$99,0),MATCH('County Scaled Consumption '!G$2,Production_Consumption!$AA$83:$AJ$83,0)))*'CA Population'!$L20*10^6</f>
        <v>991.63900533754622</v>
      </c>
      <c r="H20" s="143">
        <f>(INDEX(Production_Consumption!$AA$83:$AJ$99,MATCH('County Scaled Consumption '!$B20,Production_Consumption!$AA$83:$AA$99,0),MATCH('County Scaled Consumption '!H$2,Production_Consumption!$AA$83:$AJ$83,0)))*'CA Population'!$L20*10^6</f>
        <v>26.008245673726513</v>
      </c>
      <c r="I20" s="143">
        <f>(INDEX(Production_Consumption!$AA$83:$AJ$99,MATCH('County Scaled Consumption '!$B20,Production_Consumption!$AA$83:$AA$99,0),MATCH('County Scaled Consumption '!I$2,Production_Consumption!$AA$83:$AJ$83,0)))*'CA Population'!$L20*10^6</f>
        <v>546.49915052091364</v>
      </c>
      <c r="J20" s="143">
        <f>(INDEX(Production_Consumption!$AA$83:$AJ$99,MATCH('County Scaled Consumption '!$B20,Production_Consumption!$AA$83:$AA$99,0),MATCH('County Scaled Consumption '!J$2,Production_Consumption!$AA$83:$AJ$83,0)))*'CA Population'!$L20*10^6</f>
        <v>376.38822668044202</v>
      </c>
      <c r="K20" s="143">
        <f>(INDEX(Production_Consumption!$AA$83:$AJ$99,MATCH('County Scaled Consumption '!$B20,Production_Consumption!$AA$83:$AA$99,0),MATCH('County Scaled Consumption '!K$2,Production_Consumption!$AA$83:$AJ$83,0)))*'CA Population'!$L20*10^6</f>
        <v>5070.4778713973601</v>
      </c>
      <c r="L20" s="131">
        <f t="shared" si="0"/>
        <v>0</v>
      </c>
    </row>
    <row r="21" spans="1:12" x14ac:dyDescent="0.2">
      <c r="A21" s="132" t="s">
        <v>323</v>
      </c>
      <c r="B21" s="129">
        <v>2020</v>
      </c>
      <c r="C21" s="143">
        <f>(INDEX(Production_Consumption!$AA$83:$AJ$99,MATCH('County Scaled Consumption '!$B21,Production_Consumption!$AA$83:$AA$99,0),MATCH('County Scaled Consumption '!C$2,Production_Consumption!$AA$83:$AJ$83,0)))*'CA Population'!$L21*10^6</f>
        <v>125559.11353102839</v>
      </c>
      <c r="D21" s="143">
        <f>(INDEX(Production_Consumption!$AA$83:$AJ$99,MATCH('County Scaled Consumption '!$B21,Production_Consumption!$AA$83:$AA$99,0),MATCH('County Scaled Consumption '!D$2,Production_Consumption!$AA$83:$AJ$83,0)))*'CA Population'!$L21*10^6</f>
        <v>514003.81154027232</v>
      </c>
      <c r="E21" s="143">
        <f>(INDEX(Production_Consumption!$AA$83:$AJ$99,MATCH('County Scaled Consumption '!$B21,Production_Consumption!$AA$83:$AA$99,0),MATCH('County Scaled Consumption '!E$2,Production_Consumption!$AA$83:$AJ$83,0)))*'CA Population'!$L21*10^6</f>
        <v>308501.43155829393</v>
      </c>
      <c r="F21" s="143">
        <f>(INDEX(Production_Consumption!$AA$83:$AJ$99,MATCH('County Scaled Consumption '!$B21,Production_Consumption!$AA$83:$AA$99,0),MATCH('County Scaled Consumption '!F$2,Production_Consumption!$AA$83:$AJ$83,0)))*'CA Population'!$L21*10^6</f>
        <v>158608.93419676973</v>
      </c>
      <c r="G21" s="143">
        <f>(INDEX(Production_Consumption!$AA$83:$AJ$99,MATCH('County Scaled Consumption '!$B21,Production_Consumption!$AA$83:$AA$99,0),MATCH('County Scaled Consumption '!G$2,Production_Consumption!$AA$83:$AJ$83,0)))*'CA Population'!$L21*10^6</f>
        <v>350619.90460633882</v>
      </c>
      <c r="H21" s="143">
        <f>(INDEX(Production_Consumption!$AA$83:$AJ$99,MATCH('County Scaled Consumption '!$B21,Production_Consumption!$AA$83:$AA$99,0),MATCH('County Scaled Consumption '!H$2,Production_Consumption!$AA$83:$AJ$83,0)))*'CA Population'!$L21*10^6</f>
        <v>9195.8954498730836</v>
      </c>
      <c r="I21" s="143">
        <f>(INDEX(Production_Consumption!$AA$83:$AJ$99,MATCH('County Scaled Consumption '!$B21,Production_Consumption!$AA$83:$AA$99,0),MATCH('County Scaled Consumption '!I$2,Production_Consumption!$AA$83:$AJ$83,0)))*'CA Population'!$L21*10^6</f>
        <v>193229.06722276838</v>
      </c>
      <c r="J21" s="143">
        <f>(INDEX(Production_Consumption!$AA$83:$AJ$99,MATCH('County Scaled Consumption '!$B21,Production_Consumption!$AA$83:$AA$99,0),MATCH('County Scaled Consumption '!J$2,Production_Consumption!$AA$83:$AJ$83,0)))*'CA Population'!$L21*10^6</f>
        <v>133081.90119924166</v>
      </c>
      <c r="K21" s="143">
        <f>(INDEX(Production_Consumption!$AA$83:$AJ$99,MATCH('County Scaled Consumption '!$B21,Production_Consumption!$AA$83:$AA$99,0),MATCH('County Scaled Consumption '!K$2,Production_Consumption!$AA$83:$AJ$83,0)))*'CA Population'!$L21*10^6</f>
        <v>1792800.0593045866</v>
      </c>
      <c r="L21" s="131">
        <f t="shared" si="0"/>
        <v>0</v>
      </c>
    </row>
    <row r="22" spans="1:12" x14ac:dyDescent="0.2">
      <c r="A22" s="132" t="s">
        <v>324</v>
      </c>
      <c r="B22" s="129">
        <v>2020</v>
      </c>
      <c r="C22" s="143">
        <f>(INDEX(Production_Consumption!$AA$83:$AJ$99,MATCH('County Scaled Consumption '!$B22,Production_Consumption!$AA$83:$AA$99,0),MATCH('County Scaled Consumption '!C$2,Production_Consumption!$AA$83:$AJ$83,0)))*'CA Population'!$L22*10^6</f>
        <v>1964.7479199827624</v>
      </c>
      <c r="D22" s="143">
        <f>(INDEX(Production_Consumption!$AA$83:$AJ$99,MATCH('County Scaled Consumption '!$B22,Production_Consumption!$AA$83:$AA$99,0),MATCH('County Scaled Consumption '!D$2,Production_Consumption!$AA$83:$AJ$83,0)))*'CA Population'!$L22*10^6</f>
        <v>8043.1271867604946</v>
      </c>
      <c r="E22" s="143">
        <f>(INDEX(Production_Consumption!$AA$83:$AJ$99,MATCH('County Scaled Consumption '!$B22,Production_Consumption!$AA$83:$AA$99,0),MATCH('County Scaled Consumption '!E$2,Production_Consumption!$AA$83:$AJ$83,0)))*'CA Population'!$L22*10^6</f>
        <v>4827.4277264316243</v>
      </c>
      <c r="F22" s="143">
        <f>(INDEX(Production_Consumption!$AA$83:$AJ$99,MATCH('County Scaled Consumption '!$B22,Production_Consumption!$AA$83:$AA$99,0),MATCH('County Scaled Consumption '!F$2,Production_Consumption!$AA$83:$AJ$83,0)))*'CA Population'!$L22*10^6</f>
        <v>2481.9112272306415</v>
      </c>
      <c r="G22" s="143">
        <f>(INDEX(Production_Consumption!$AA$83:$AJ$99,MATCH('County Scaled Consumption '!$B22,Production_Consumption!$AA$83:$AA$99,0),MATCH('County Scaled Consumption '!G$2,Production_Consumption!$AA$83:$AJ$83,0)))*'CA Population'!$L22*10^6</f>
        <v>5486.4972275359496</v>
      </c>
      <c r="H22" s="143">
        <f>(INDEX(Production_Consumption!$AA$83:$AJ$99,MATCH('County Scaled Consumption '!$B22,Production_Consumption!$AA$83:$AA$99,0),MATCH('County Scaled Consumption '!H$2,Production_Consumption!$AA$83:$AJ$83,0)))*'CA Population'!$L22*10^6</f>
        <v>143.89729227462402</v>
      </c>
      <c r="I22" s="143">
        <f>(INDEX(Production_Consumption!$AA$83:$AJ$99,MATCH('County Scaled Consumption '!$B22,Production_Consumption!$AA$83:$AA$99,0),MATCH('County Scaled Consumption '!I$2,Production_Consumption!$AA$83:$AJ$83,0)))*'CA Population'!$L22*10^6</f>
        <v>3023.6467686778046</v>
      </c>
      <c r="J22" s="143">
        <f>(INDEX(Production_Consumption!$AA$83:$AJ$99,MATCH('County Scaled Consumption '!$B22,Production_Consumption!$AA$83:$AA$99,0),MATCH('County Scaled Consumption '!J$2,Production_Consumption!$AA$83:$AJ$83,0)))*'CA Population'!$L22*10^6</f>
        <v>2082.4644361951955</v>
      </c>
      <c r="K22" s="143">
        <f>(INDEX(Production_Consumption!$AA$83:$AJ$99,MATCH('County Scaled Consumption '!$B22,Production_Consumption!$AA$83:$AA$99,0),MATCH('County Scaled Consumption '!K$2,Production_Consumption!$AA$83:$AJ$83,0)))*'CA Population'!$L22*10^6</f>
        <v>28053.719785089099</v>
      </c>
      <c r="L22" s="131">
        <f t="shared" si="0"/>
        <v>0</v>
      </c>
    </row>
    <row r="23" spans="1:12" x14ac:dyDescent="0.2">
      <c r="A23" s="132" t="s">
        <v>325</v>
      </c>
      <c r="B23" s="129">
        <v>2020</v>
      </c>
      <c r="C23" s="143">
        <f>(INDEX(Production_Consumption!$AA$83:$AJ$99,MATCH('County Scaled Consumption '!$B23,Production_Consumption!$AA$83:$AA$99,0),MATCH('County Scaled Consumption '!C$2,Production_Consumption!$AA$83:$AJ$83,0)))*'CA Population'!$L23*10^6</f>
        <v>3225.6641239610567</v>
      </c>
      <c r="D23" s="143">
        <f>(INDEX(Production_Consumption!$AA$83:$AJ$99,MATCH('County Scaled Consumption '!$B23,Production_Consumption!$AA$83:$AA$99,0),MATCH('County Scaled Consumption '!D$2,Production_Consumption!$AA$83:$AJ$83,0)))*'CA Population'!$L23*10^6</f>
        <v>13204.964640459715</v>
      </c>
      <c r="E23" s="143">
        <f>(INDEX(Production_Consumption!$AA$83:$AJ$99,MATCH('County Scaled Consumption '!$B23,Production_Consumption!$AA$83:$AA$99,0),MATCH('County Scaled Consumption '!E$2,Production_Consumption!$AA$83:$AJ$83,0)))*'CA Population'!$L23*10^6</f>
        <v>7925.5258498006197</v>
      </c>
      <c r="F23" s="143">
        <f>(INDEX(Production_Consumption!$AA$83:$AJ$99,MATCH('County Scaled Consumption '!$B23,Production_Consumption!$AA$83:$AA$99,0),MATCH('County Scaled Consumption '!F$2,Production_Consumption!$AA$83:$AJ$83,0)))*'CA Population'!$L23*10^6</f>
        <v>4074.7273088367888</v>
      </c>
      <c r="G23" s="143">
        <f>(INDEX(Production_Consumption!$AA$83:$AJ$99,MATCH('County Scaled Consumption '!$B23,Production_Consumption!$AA$83:$AA$99,0),MATCH('County Scaled Consumption '!G$2,Production_Consumption!$AA$83:$AJ$83,0)))*'CA Population'!$L23*10^6</f>
        <v>9007.5663616072361</v>
      </c>
      <c r="H23" s="143">
        <f>(INDEX(Production_Consumption!$AA$83:$AJ$99,MATCH('County Scaled Consumption '!$B23,Production_Consumption!$AA$83:$AA$99,0),MATCH('County Scaled Consumption '!H$2,Production_Consumption!$AA$83:$AJ$83,0)))*'CA Population'!$L23*10^6</f>
        <v>236.24625251134793</v>
      </c>
      <c r="I23" s="143">
        <f>(INDEX(Production_Consumption!$AA$83:$AJ$99,MATCH('County Scaled Consumption '!$B23,Production_Consumption!$AA$83:$AA$99,0),MATCH('County Scaled Consumption '!I$2,Production_Consumption!$AA$83:$AJ$83,0)))*'CA Population'!$L23*10^6</f>
        <v>4964.1324497955648</v>
      </c>
      <c r="J23" s="143">
        <f>(INDEX(Production_Consumption!$AA$83:$AJ$99,MATCH('County Scaled Consumption '!$B23,Production_Consumption!$AA$83:$AA$99,0),MATCH('County Scaled Consumption '!J$2,Production_Consumption!$AA$83:$AJ$83,0)))*'CA Population'!$L23*10^6</f>
        <v>3418.9275646712813</v>
      </c>
      <c r="K23" s="143">
        <f>(INDEX(Production_Consumption!$AA$83:$AJ$99,MATCH('County Scaled Consumption '!$B23,Production_Consumption!$AA$83:$AA$99,0),MATCH('County Scaled Consumption '!K$2,Production_Consumption!$AA$83:$AJ$83,0)))*'CA Population'!$L23*10^6</f>
        <v>46057.754551643615</v>
      </c>
      <c r="L23" s="131">
        <f t="shared" si="0"/>
        <v>0</v>
      </c>
    </row>
    <row r="24" spans="1:12" x14ac:dyDescent="0.2">
      <c r="A24" s="132" t="s">
        <v>326</v>
      </c>
      <c r="B24" s="129">
        <v>2020</v>
      </c>
      <c r="C24" s="143">
        <f>(INDEX(Production_Consumption!$AA$83:$AJ$99,MATCH('County Scaled Consumption '!$B24,Production_Consumption!$AA$83:$AA$99,0),MATCH('County Scaled Consumption '!C$2,Production_Consumption!$AA$83:$AJ$83,0)))*'CA Population'!$L24*10^6</f>
        <v>223.89915578472178</v>
      </c>
      <c r="D24" s="143">
        <f>(INDEX(Production_Consumption!$AA$83:$AJ$99,MATCH('County Scaled Consumption '!$B24,Production_Consumption!$AA$83:$AA$99,0),MATCH('County Scaled Consumption '!D$2,Production_Consumption!$AA$83:$AJ$83,0)))*'CA Population'!$L24*10^6</f>
        <v>916.58037586858404</v>
      </c>
      <c r="E24" s="143">
        <f>(INDEX(Production_Consumption!$AA$83:$AJ$99,MATCH('County Scaled Consumption '!$B24,Production_Consumption!$AA$83:$AA$99,0),MATCH('County Scaled Consumption '!E$2,Production_Consumption!$AA$83:$AJ$83,0)))*'CA Population'!$L24*10^6</f>
        <v>550.1250219261118</v>
      </c>
      <c r="F24" s="143">
        <f>(INDEX(Production_Consumption!$AA$83:$AJ$99,MATCH('County Scaled Consumption '!$B24,Production_Consumption!$AA$83:$AA$99,0),MATCH('County Scaled Consumption '!F$2,Production_Consumption!$AA$83:$AJ$83,0)))*'CA Population'!$L24*10^6</f>
        <v>282.83416048326387</v>
      </c>
      <c r="G24" s="143">
        <f>(INDEX(Production_Consumption!$AA$83:$AJ$99,MATCH('County Scaled Consumption '!$B24,Production_Consumption!$AA$83:$AA$99,0),MATCH('County Scaled Consumption '!G$2,Production_Consumption!$AA$83:$AJ$83,0)))*'CA Population'!$L24*10^6</f>
        <v>625.23140244438741</v>
      </c>
      <c r="H24" s="143">
        <f>(INDEX(Production_Consumption!$AA$83:$AJ$99,MATCH('County Scaled Consumption '!$B24,Production_Consumption!$AA$83:$AA$99,0),MATCH('County Scaled Consumption '!H$2,Production_Consumption!$AA$83:$AJ$83,0)))*'CA Population'!$L24*10^6</f>
        <v>16.398277831121643</v>
      </c>
      <c r="I24" s="143">
        <f>(INDEX(Production_Consumption!$AA$83:$AJ$99,MATCH('County Scaled Consumption '!$B24,Production_Consumption!$AA$83:$AA$99,0),MATCH('County Scaled Consumption '!I$2,Production_Consumption!$AA$83:$AJ$83,0)))*'CA Population'!$L24*10^6</f>
        <v>344.56937300338353</v>
      </c>
      <c r="J24" s="143">
        <f>(INDEX(Production_Consumption!$AA$83:$AJ$99,MATCH('County Scaled Consumption '!$B24,Production_Consumption!$AA$83:$AA$99,0),MATCH('County Scaled Consumption '!J$2,Production_Consumption!$AA$83:$AJ$83,0)))*'CA Population'!$L24*10^6</f>
        <v>237.31391924308619</v>
      </c>
      <c r="K24" s="143">
        <f>(INDEX(Production_Consumption!$AA$83:$AJ$99,MATCH('County Scaled Consumption '!$B24,Production_Consumption!$AA$83:$AA$99,0),MATCH('County Scaled Consumption '!K$2,Production_Consumption!$AA$83:$AJ$83,0)))*'CA Population'!$L24*10^6</f>
        <v>3196.9516865846608</v>
      </c>
      <c r="L24" s="131">
        <f t="shared" si="0"/>
        <v>0</v>
      </c>
    </row>
    <row r="25" spans="1:12" x14ac:dyDescent="0.2">
      <c r="A25" s="132" t="s">
        <v>327</v>
      </c>
      <c r="B25" s="129">
        <v>2020</v>
      </c>
      <c r="C25" s="143">
        <f>(INDEX(Production_Consumption!$AA$83:$AJ$99,MATCH('County Scaled Consumption '!$B25,Production_Consumption!$AA$83:$AA$99,0),MATCH('County Scaled Consumption '!C$2,Production_Consumption!$AA$83:$AJ$83,0)))*'CA Population'!$L25*10^6</f>
        <v>1086.5191521282716</v>
      </c>
      <c r="D25" s="143">
        <f>(INDEX(Production_Consumption!$AA$83:$AJ$99,MATCH('County Scaled Consumption '!$B25,Production_Consumption!$AA$83:$AA$99,0),MATCH('County Scaled Consumption '!D$2,Production_Consumption!$AA$83:$AJ$83,0)))*'CA Population'!$L25*10^6</f>
        <v>4447.9048139140077</v>
      </c>
      <c r="E25" s="143">
        <f>(INDEX(Production_Consumption!$AA$83:$AJ$99,MATCH('County Scaled Consumption '!$B25,Production_Consumption!$AA$83:$AA$99,0),MATCH('County Scaled Consumption '!E$2,Production_Consumption!$AA$83:$AJ$83,0)))*'CA Population'!$L25*10^6</f>
        <v>2669.6008311992596</v>
      </c>
      <c r="F25" s="143">
        <f>(INDEX(Production_Consumption!$AA$83:$AJ$99,MATCH('County Scaled Consumption '!$B25,Production_Consumption!$AA$83:$AA$99,0),MATCH('County Scaled Consumption '!F$2,Production_Consumption!$AA$83:$AJ$83,0)))*'CA Population'!$L25*10^6</f>
        <v>1372.5140283095113</v>
      </c>
      <c r="G25" s="143">
        <f>(INDEX(Production_Consumption!$AA$83:$AJ$99,MATCH('County Scaled Consumption '!$B25,Production_Consumption!$AA$83:$AA$99,0),MATCH('County Scaled Consumption '!G$2,Production_Consumption!$AA$83:$AJ$83,0)))*'CA Population'!$L25*10^6</f>
        <v>3034.0708114192948</v>
      </c>
      <c r="H25" s="143">
        <f>(INDEX(Production_Consumption!$AA$83:$AJ$99,MATCH('County Scaled Consumption '!$B25,Production_Consumption!$AA$83:$AA$99,0),MATCH('County Scaled Consumption '!H$2,Production_Consumption!$AA$83:$AJ$83,0)))*'CA Population'!$L25*10^6</f>
        <v>79.57619519818617</v>
      </c>
      <c r="I25" s="143">
        <f>(INDEX(Production_Consumption!$AA$83:$AJ$99,MATCH('County Scaled Consumption '!$B25,Production_Consumption!$AA$83:$AA$99,0),MATCH('County Scaled Consumption '!I$2,Production_Consumption!$AA$83:$AJ$83,0)))*'CA Population'!$L25*10^6</f>
        <v>1672.0975194965567</v>
      </c>
      <c r="J25" s="143">
        <f>(INDEX(Production_Consumption!$AA$83:$AJ$99,MATCH('County Scaled Consumption '!$B25,Production_Consumption!$AA$83:$AA$99,0),MATCH('County Scaled Consumption '!J$2,Production_Consumption!$AA$83:$AJ$83,0)))*'CA Population'!$L25*10^6</f>
        <v>1151.6171975751138</v>
      </c>
      <c r="K25" s="143">
        <f>(INDEX(Production_Consumption!$AA$83:$AJ$99,MATCH('County Scaled Consumption '!$B25,Production_Consumption!$AA$83:$AA$99,0),MATCH('County Scaled Consumption '!K$2,Production_Consumption!$AA$83:$AJ$83,0)))*'CA Population'!$L25*10^6</f>
        <v>15513.900549240203</v>
      </c>
      <c r="L25" s="131">
        <f t="shared" si="0"/>
        <v>0</v>
      </c>
    </row>
    <row r="26" spans="1:12" x14ac:dyDescent="0.2">
      <c r="A26" s="132" t="s">
        <v>328</v>
      </c>
      <c r="B26" s="129">
        <v>2020</v>
      </c>
      <c r="C26" s="143">
        <f>(INDEX(Production_Consumption!$AA$83:$AJ$99,MATCH('County Scaled Consumption '!$B26,Production_Consumption!$AA$83:$AA$99,0),MATCH('County Scaled Consumption '!C$2,Production_Consumption!$AA$83:$AJ$83,0)))*'CA Population'!$L26*10^6</f>
        <v>3510.1401787049067</v>
      </c>
      <c r="D26" s="143">
        <f>(INDEX(Production_Consumption!$AA$83:$AJ$99,MATCH('County Scaled Consumption '!$B26,Production_Consumption!$AA$83:$AA$99,0),MATCH('County Scaled Consumption '!D$2,Production_Consumption!$AA$83:$AJ$83,0)))*'CA Population'!$L26*10^6</f>
        <v>14369.529858532425</v>
      </c>
      <c r="E26" s="143">
        <f>(INDEX(Production_Consumption!$AA$83:$AJ$99,MATCH('County Scaled Consumption '!$B26,Production_Consumption!$AA$83:$AA$99,0),MATCH('County Scaled Consumption '!E$2,Production_Consumption!$AA$83:$AJ$83,0)))*'CA Population'!$L26*10^6</f>
        <v>8624.489610092267</v>
      </c>
      <c r="F26" s="143">
        <f>(INDEX(Production_Consumption!$AA$83:$AJ$99,MATCH('County Scaled Consumption '!$B26,Production_Consumption!$AA$83:$AA$99,0),MATCH('County Scaled Consumption '!F$2,Production_Consumption!$AA$83:$AJ$83,0)))*'CA Population'!$L26*10^6</f>
        <v>4434.0834923787643</v>
      </c>
      <c r="G26" s="143">
        <f>(INDEX(Production_Consumption!$AA$83:$AJ$99,MATCH('County Scaled Consumption '!$B26,Production_Consumption!$AA$83:$AA$99,0),MATCH('County Scaled Consumption '!G$2,Production_Consumption!$AA$83:$AJ$83,0)))*'CA Population'!$L26*10^6</f>
        <v>9801.9568631969723</v>
      </c>
      <c r="H26" s="143">
        <f>(INDEX(Production_Consumption!$AA$83:$AJ$99,MATCH('County Scaled Consumption '!$B26,Production_Consumption!$AA$83:$AA$99,0),MATCH('County Scaled Consumption '!H$2,Production_Consumption!$AA$83:$AJ$83,0)))*'CA Population'!$L26*10^6</f>
        <v>257.08115635741837</v>
      </c>
      <c r="I26" s="143">
        <f>(INDEX(Production_Consumption!$AA$83:$AJ$99,MATCH('County Scaled Consumption '!$B26,Production_Consumption!$AA$83:$AA$99,0),MATCH('County Scaled Consumption '!I$2,Production_Consumption!$AA$83:$AJ$83,0)))*'CA Population'!$L26*10^6</f>
        <v>5401.9265784693334</v>
      </c>
      <c r="J26" s="143">
        <f>(INDEX(Production_Consumption!$AA$83:$AJ$99,MATCH('County Scaled Consumption '!$B26,Production_Consumption!$AA$83:$AA$99,0),MATCH('County Scaled Consumption '!J$2,Production_Consumption!$AA$83:$AJ$83,0)))*'CA Population'!$L26*10^6</f>
        <v>3720.4478059846724</v>
      </c>
      <c r="K26" s="143">
        <f>(INDEX(Production_Consumption!$AA$83:$AJ$99,MATCH('County Scaled Consumption '!$B26,Production_Consumption!$AA$83:$AA$99,0),MATCH('County Scaled Consumption '!K$2,Production_Consumption!$AA$83:$AJ$83,0)))*'CA Population'!$L26*10^6</f>
        <v>50119.655543716763</v>
      </c>
      <c r="L26" s="131">
        <f t="shared" si="0"/>
        <v>0</v>
      </c>
    </row>
    <row r="27" spans="1:12" x14ac:dyDescent="0.2">
      <c r="A27" s="132" t="s">
        <v>329</v>
      </c>
      <c r="B27" s="129">
        <v>2020</v>
      </c>
      <c r="C27" s="143">
        <f>(INDEX(Production_Consumption!$AA$83:$AJ$99,MATCH('County Scaled Consumption '!$B27,Production_Consumption!$AA$83:$AA$99,0),MATCH('County Scaled Consumption '!C$2,Production_Consumption!$AA$83:$AJ$83,0)))*'CA Population'!$L27*10^6</f>
        <v>118.46562060248391</v>
      </c>
      <c r="D27" s="143">
        <f>(INDEX(Production_Consumption!$AA$83:$AJ$99,MATCH('County Scaled Consumption '!$B27,Production_Consumption!$AA$83:$AA$99,0),MATCH('County Scaled Consumption '!D$2,Production_Consumption!$AA$83:$AJ$83,0)))*'CA Population'!$L27*10^6</f>
        <v>484.96504008140249</v>
      </c>
      <c r="E27" s="143">
        <f>(INDEX(Production_Consumption!$AA$83:$AJ$99,MATCH('County Scaled Consumption '!$B27,Production_Consumption!$AA$83:$AA$99,0),MATCH('County Scaled Consumption '!E$2,Production_Consumption!$AA$83:$AJ$83,0)))*'CA Population'!$L27*10^6</f>
        <v>291.07256748253883</v>
      </c>
      <c r="F27" s="143">
        <f>(INDEX(Production_Consumption!$AA$83:$AJ$99,MATCH('County Scaled Consumption '!$B27,Production_Consumption!$AA$83:$AA$99,0),MATCH('County Scaled Consumption '!F$2,Production_Consumption!$AA$83:$AJ$83,0)))*'CA Population'!$L27*10^6</f>
        <v>149.64828353997191</v>
      </c>
      <c r="G27" s="143">
        <f>(INDEX(Production_Consumption!$AA$83:$AJ$99,MATCH('County Scaled Consumption '!$B27,Production_Consumption!$AA$83:$AA$99,0),MATCH('County Scaled Consumption '!G$2,Production_Consumption!$AA$83:$AJ$83,0)))*'CA Population'!$L27*10^6</f>
        <v>330.81154706073238</v>
      </c>
      <c r="H27" s="143">
        <f>(INDEX(Production_Consumption!$AA$83:$AJ$99,MATCH('County Scaled Consumption '!$B27,Production_Consumption!$AA$83:$AA$99,0),MATCH('County Scaled Consumption '!H$2,Production_Consumption!$AA$83:$AJ$83,0)))*'CA Population'!$L27*10^6</f>
        <v>8.6763710799499982</v>
      </c>
      <c r="I27" s="143">
        <f>(INDEX(Production_Consumption!$AA$83:$AJ$99,MATCH('County Scaled Consumption '!$B27,Production_Consumption!$AA$83:$AA$99,0),MATCH('County Scaled Consumption '!I$2,Production_Consumption!$AA$83:$AJ$83,0)))*'CA Population'!$L27*10^6</f>
        <v>182.31254365560235</v>
      </c>
      <c r="J27" s="143">
        <f>(INDEX(Production_Consumption!$AA$83:$AJ$99,MATCH('County Scaled Consumption '!$B27,Production_Consumption!$AA$83:$AA$99,0),MATCH('County Scaled Consumption '!J$2,Production_Consumption!$AA$83:$AJ$83,0)))*'CA Population'!$L27*10^6</f>
        <v>125.56340653544501</v>
      </c>
      <c r="K27" s="143">
        <f>(INDEX(Production_Consumption!$AA$83:$AJ$99,MATCH('County Scaled Consumption '!$B27,Production_Consumption!$AA$83:$AA$99,0),MATCH('County Scaled Consumption '!K$2,Production_Consumption!$AA$83:$AJ$83,0)))*'CA Population'!$L27*10^6</f>
        <v>1691.515380038127</v>
      </c>
      <c r="L27" s="131">
        <f t="shared" si="0"/>
        <v>0</v>
      </c>
    </row>
    <row r="28" spans="1:12" x14ac:dyDescent="0.2">
      <c r="A28" s="132" t="s">
        <v>330</v>
      </c>
      <c r="B28" s="129">
        <v>2020</v>
      </c>
      <c r="C28" s="143">
        <f>(INDEX(Production_Consumption!$AA$83:$AJ$99,MATCH('County Scaled Consumption '!$B28,Production_Consumption!$AA$83:$AA$99,0),MATCH('County Scaled Consumption '!C$2,Production_Consumption!$AA$83:$AJ$83,0)))*'CA Population'!$L28*10^6</f>
        <v>166.60505400844991</v>
      </c>
      <c r="D28" s="143">
        <f>(INDEX(Production_Consumption!$AA$83:$AJ$99,MATCH('County Scaled Consumption '!$B28,Production_Consumption!$AA$83:$AA$99,0),MATCH('County Scaled Consumption '!D$2,Production_Consumption!$AA$83:$AJ$83,0)))*'CA Population'!$L28*10^6</f>
        <v>682.03438503134828</v>
      </c>
      <c r="E28" s="143">
        <f>(INDEX(Production_Consumption!$AA$83:$AJ$99,MATCH('County Scaled Consumption '!$B28,Production_Consumption!$AA$83:$AA$99,0),MATCH('County Scaled Consumption '!E$2,Production_Consumption!$AA$83:$AJ$83,0)))*'CA Population'!$L28*10^6</f>
        <v>409.35218655993572</v>
      </c>
      <c r="F28" s="143">
        <f>(INDEX(Production_Consumption!$AA$83:$AJ$99,MATCH('County Scaled Consumption '!$B28,Production_Consumption!$AA$83:$AA$99,0),MATCH('County Scaled Consumption '!F$2,Production_Consumption!$AA$83:$AJ$83,0)))*'CA Population'!$L28*10^6</f>
        <v>210.45903642466618</v>
      </c>
      <c r="G28" s="143">
        <f>(INDEX(Production_Consumption!$AA$83:$AJ$99,MATCH('County Scaled Consumption '!$B28,Production_Consumption!$AA$83:$AA$99,0),MATCH('County Scaled Consumption '!G$2,Production_Consumption!$AA$83:$AJ$83,0)))*'CA Population'!$L28*10^6</f>
        <v>465.2394119439287</v>
      </c>
      <c r="H28" s="143">
        <f>(INDEX(Production_Consumption!$AA$83:$AJ$99,MATCH('County Scaled Consumption '!$B28,Production_Consumption!$AA$83:$AA$99,0),MATCH('County Scaled Consumption '!H$2,Production_Consumption!$AA$83:$AJ$83,0)))*'CA Population'!$L28*10^6</f>
        <v>12.202082469334679</v>
      </c>
      <c r="I28" s="143">
        <f>(INDEX(Production_Consumption!$AA$83:$AJ$99,MATCH('County Scaled Consumption '!$B28,Production_Consumption!$AA$83:$AA$99,0),MATCH('County Scaled Consumption '!I$2,Production_Consumption!$AA$83:$AJ$83,0)))*'CA Population'!$L28*10^6</f>
        <v>256.396674644379</v>
      </c>
      <c r="J28" s="143">
        <f>(INDEX(Production_Consumption!$AA$83:$AJ$99,MATCH('County Scaled Consumption '!$B28,Production_Consumption!$AA$83:$AA$99,0),MATCH('County Scaled Consumption '!J$2,Production_Consumption!$AA$83:$AJ$83,0)))*'CA Population'!$L28*10^6</f>
        <v>176.5870808841577</v>
      </c>
      <c r="K28" s="143">
        <f>(INDEX(Production_Consumption!$AA$83:$AJ$99,MATCH('County Scaled Consumption '!$B28,Production_Consumption!$AA$83:$AA$99,0),MATCH('County Scaled Consumption '!K$2,Production_Consumption!$AA$83:$AJ$83,0)))*'CA Population'!$L28*10^6</f>
        <v>2378.8759119662004</v>
      </c>
      <c r="L28" s="131">
        <f t="shared" si="0"/>
        <v>0</v>
      </c>
    </row>
    <row r="29" spans="1:12" x14ac:dyDescent="0.2">
      <c r="A29" s="132" t="s">
        <v>331</v>
      </c>
      <c r="B29" s="129">
        <v>2020</v>
      </c>
      <c r="C29" s="143">
        <f>(INDEX(Production_Consumption!$AA$83:$AJ$99,MATCH('County Scaled Consumption '!$B29,Production_Consumption!$AA$83:$AA$99,0),MATCH('County Scaled Consumption '!C$2,Production_Consumption!$AA$83:$AJ$83,0)))*'CA Population'!$L29*10^6</f>
        <v>5455.5505650935584</v>
      </c>
      <c r="D29" s="143">
        <f>(INDEX(Production_Consumption!$AA$83:$AJ$99,MATCH('County Scaled Consumption '!$B29,Production_Consumption!$AA$83:$AA$99,0),MATCH('County Scaled Consumption '!D$2,Production_Consumption!$AA$83:$AJ$83,0)))*'CA Population'!$L29*10^6</f>
        <v>22333.494603844934</v>
      </c>
      <c r="E29" s="143">
        <f>(INDEX(Production_Consumption!$AA$83:$AJ$99,MATCH('County Scaled Consumption '!$B29,Production_Consumption!$AA$83:$AA$99,0),MATCH('County Scaled Consumption '!E$2,Production_Consumption!$AA$83:$AJ$83,0)))*'CA Population'!$L29*10^6</f>
        <v>13404.404602252194</v>
      </c>
      <c r="F29" s="143">
        <f>(INDEX(Production_Consumption!$AA$83:$AJ$99,MATCH('County Scaled Consumption '!$B29,Production_Consumption!$AA$83:$AA$99,0),MATCH('County Scaled Consumption '!F$2,Production_Consumption!$AA$83:$AJ$83,0)))*'CA Population'!$L29*10^6</f>
        <v>6891.5671371974122</v>
      </c>
      <c r="G29" s="143">
        <f>(INDEX(Production_Consumption!$AA$83:$AJ$99,MATCH('County Scaled Consumption '!$B29,Production_Consumption!$AA$83:$AA$99,0),MATCH('County Scaled Consumption '!G$2,Production_Consumption!$AA$83:$AJ$83,0)))*'CA Population'!$L29*10^6</f>
        <v>15234.45463188509</v>
      </c>
      <c r="H29" s="143">
        <f>(INDEX(Production_Consumption!$AA$83:$AJ$99,MATCH('County Scaled Consumption '!$B29,Production_Consumption!$AA$83:$AA$99,0),MATCH('County Scaled Consumption '!H$2,Production_Consumption!$AA$83:$AJ$83,0)))*'CA Population'!$L29*10^6</f>
        <v>399.56217599209651</v>
      </c>
      <c r="I29" s="143">
        <f>(INDEX(Production_Consumption!$AA$83:$AJ$99,MATCH('County Scaled Consumption '!$B29,Production_Consumption!$AA$83:$AA$99,0),MATCH('County Scaled Consumption '!I$2,Production_Consumption!$AA$83:$AJ$83,0)))*'CA Population'!$L29*10^6</f>
        <v>8395.8138699280225</v>
      </c>
      <c r="J29" s="143">
        <f>(INDEX(Production_Consumption!$AA$83:$AJ$99,MATCH('County Scaled Consumption '!$B29,Production_Consumption!$AA$83:$AA$99,0),MATCH('County Scaled Consumption '!J$2,Production_Consumption!$AA$83:$AJ$83,0)))*'CA Population'!$L29*10^6</f>
        <v>5782.4161136007779</v>
      </c>
      <c r="K29" s="143">
        <f>(INDEX(Production_Consumption!$AA$83:$AJ$99,MATCH('County Scaled Consumption '!$B29,Production_Consumption!$AA$83:$AA$99,0),MATCH('County Scaled Consumption '!K$2,Production_Consumption!$AA$83:$AJ$83,0)))*'CA Population'!$L29*10^6</f>
        <v>77897.263699794086</v>
      </c>
      <c r="L29" s="131">
        <f t="shared" si="0"/>
        <v>0</v>
      </c>
    </row>
    <row r="30" spans="1:12" x14ac:dyDescent="0.2">
      <c r="A30" s="132" t="s">
        <v>332</v>
      </c>
      <c r="B30" s="129">
        <v>2020</v>
      </c>
      <c r="C30" s="143">
        <f>(INDEX(Production_Consumption!$AA$83:$AJ$99,MATCH('County Scaled Consumption '!$B30,Production_Consumption!$AA$83:$AA$99,0),MATCH('County Scaled Consumption '!C$2,Production_Consumption!$AA$83:$AJ$83,0)))*'CA Population'!$L30*10^6</f>
        <v>1721.9200317625498</v>
      </c>
      <c r="D30" s="143">
        <f>(INDEX(Production_Consumption!$AA$83:$AJ$99,MATCH('County Scaled Consumption '!$B30,Production_Consumption!$AA$83:$AA$99,0),MATCH('County Scaled Consumption '!D$2,Production_Consumption!$AA$83:$AJ$83,0)))*'CA Population'!$L30*10^6</f>
        <v>7049.057886783954</v>
      </c>
      <c r="E30" s="143">
        <f>(INDEX(Production_Consumption!$AA$83:$AJ$99,MATCH('County Scaled Consumption '!$B30,Production_Consumption!$AA$83:$AA$99,0),MATCH('County Scaled Consumption '!E$2,Production_Consumption!$AA$83:$AJ$83,0)))*'CA Population'!$L30*10^6</f>
        <v>4230.7944034375096</v>
      </c>
      <c r="F30" s="143">
        <f>(INDEX(Production_Consumption!$AA$83:$AJ$99,MATCH('County Scaled Consumption '!$B30,Production_Consumption!$AA$83:$AA$99,0),MATCH('County Scaled Consumption '!F$2,Production_Consumption!$AA$83:$AJ$83,0)))*'CA Population'!$L30*10^6</f>
        <v>2175.165890625964</v>
      </c>
      <c r="G30" s="143">
        <f>(INDEX(Production_Consumption!$AA$83:$AJ$99,MATCH('County Scaled Consumption '!$B30,Production_Consumption!$AA$83:$AA$99,0),MATCH('County Scaled Consumption '!G$2,Production_Consumption!$AA$83:$AJ$83,0)))*'CA Population'!$L30*10^6</f>
        <v>4808.4079307164902</v>
      </c>
      <c r="H30" s="143">
        <f>(INDEX(Production_Consumption!$AA$83:$AJ$99,MATCH('County Scaled Consumption '!$B30,Production_Consumption!$AA$83:$AA$99,0),MATCH('County Scaled Consumption '!H$2,Production_Consumption!$AA$83:$AJ$83,0)))*'CA Population'!$L30*10^6</f>
        <v>126.11268222451633</v>
      </c>
      <c r="I30" s="143">
        <f>(INDEX(Production_Consumption!$AA$83:$AJ$99,MATCH('County Scaled Consumption '!$B30,Production_Consumption!$AA$83:$AA$99,0),MATCH('County Scaled Consumption '!I$2,Production_Consumption!$AA$83:$AJ$83,0)))*'CA Population'!$L30*10^6</f>
        <v>2649.9470425733271</v>
      </c>
      <c r="J30" s="143">
        <f>(INDEX(Production_Consumption!$AA$83:$AJ$99,MATCH('County Scaled Consumption '!$B30,Production_Consumption!$AA$83:$AA$99,0),MATCH('County Scaled Consumption '!J$2,Production_Consumption!$AA$83:$AJ$83,0)))*'CA Population'!$L30*10^6</f>
        <v>1825.0876825710402</v>
      </c>
      <c r="K30" s="143">
        <f>(INDEX(Production_Consumption!$AA$83:$AJ$99,MATCH('County Scaled Consumption '!$B30,Production_Consumption!$AA$83:$AA$99,0),MATCH('County Scaled Consumption '!K$2,Production_Consumption!$AA$83:$AJ$83,0)))*'CA Population'!$L30*10^6</f>
        <v>24586.493550695355</v>
      </c>
      <c r="L30" s="131">
        <f t="shared" si="0"/>
        <v>0</v>
      </c>
    </row>
    <row r="31" spans="1:12" x14ac:dyDescent="0.2">
      <c r="A31" s="132" t="s">
        <v>333</v>
      </c>
      <c r="B31" s="129">
        <v>2020</v>
      </c>
      <c r="C31" s="143">
        <f>(INDEX(Production_Consumption!$AA$83:$AJ$99,MATCH('County Scaled Consumption '!$B31,Production_Consumption!$AA$83:$AA$99,0),MATCH('County Scaled Consumption '!C$2,Production_Consumption!$AA$83:$AJ$83,0)))*'CA Population'!$L31*10^6</f>
        <v>1211.2282813351319</v>
      </c>
      <c r="D31" s="143">
        <f>(INDEX(Production_Consumption!$AA$83:$AJ$99,MATCH('County Scaled Consumption '!$B31,Production_Consumption!$AA$83:$AA$99,0),MATCH('County Scaled Consumption '!D$2,Production_Consumption!$AA$83:$AJ$83,0)))*'CA Population'!$L31*10^6</f>
        <v>4958.4290279158349</v>
      </c>
      <c r="E31" s="143">
        <f>(INDEX(Production_Consumption!$AA$83:$AJ$99,MATCH('County Scaled Consumption '!$B31,Production_Consumption!$AA$83:$AA$99,0),MATCH('County Scaled Consumption '!E$2,Production_Consumption!$AA$83:$AJ$83,0)))*'CA Population'!$L31*10^6</f>
        <v>2976.0138330654854</v>
      </c>
      <c r="F31" s="143">
        <f>(INDEX(Production_Consumption!$AA$83:$AJ$99,MATCH('County Scaled Consumption '!$B31,Production_Consumption!$AA$83:$AA$99,0),MATCH('County Scaled Consumption '!F$2,Production_Consumption!$AA$83:$AJ$83,0)))*'CA Population'!$L31*10^6</f>
        <v>1530.0492442874365</v>
      </c>
      <c r="G31" s="143">
        <f>(INDEX(Production_Consumption!$AA$83:$AJ$99,MATCH('County Scaled Consumption '!$B31,Production_Consumption!$AA$83:$AA$99,0),MATCH('County Scaled Consumption '!G$2,Production_Consumption!$AA$83:$AJ$83,0)))*'CA Population'!$L31*10^6</f>
        <v>3382.3171613367258</v>
      </c>
      <c r="H31" s="143">
        <f>(INDEX(Production_Consumption!$AA$83:$AJ$99,MATCH('County Scaled Consumption '!$B31,Production_Consumption!$AA$83:$AA$99,0),MATCH('County Scaled Consumption '!H$2,Production_Consumption!$AA$83:$AJ$83,0)))*'CA Population'!$L31*10^6</f>
        <v>88.7098381618855</v>
      </c>
      <c r="I31" s="143">
        <f>(INDEX(Production_Consumption!$AA$83:$AJ$99,MATCH('County Scaled Consumption '!$B31,Production_Consumption!$AA$83:$AA$99,0),MATCH('County Scaled Consumption '!I$2,Production_Consumption!$AA$83:$AJ$83,0)))*'CA Population'!$L31*10^6</f>
        <v>1864.0185042273888</v>
      </c>
      <c r="J31" s="143">
        <f>(INDEX(Production_Consumption!$AA$83:$AJ$99,MATCH('County Scaled Consumption '!$B31,Production_Consumption!$AA$83:$AA$99,0),MATCH('County Scaled Consumption '!J$2,Production_Consumption!$AA$83:$AJ$83,0)))*'CA Population'!$L31*10^6</f>
        <v>1283.7981882257802</v>
      </c>
      <c r="K31" s="143">
        <f>(INDEX(Production_Consumption!$AA$83:$AJ$99,MATCH('County Scaled Consumption '!$B31,Production_Consumption!$AA$83:$AA$99,0),MATCH('County Scaled Consumption '!K$2,Production_Consumption!$AA$83:$AJ$83,0)))*'CA Population'!$L31*10^6</f>
        <v>17294.564078555672</v>
      </c>
      <c r="L31" s="131">
        <f t="shared" si="0"/>
        <v>0</v>
      </c>
    </row>
    <row r="32" spans="1:12" x14ac:dyDescent="0.2">
      <c r="A32" s="132" t="s">
        <v>334</v>
      </c>
      <c r="B32" s="129">
        <v>2020</v>
      </c>
      <c r="C32" s="143">
        <f>(INDEX(Production_Consumption!$AA$83:$AJ$99,MATCH('County Scaled Consumption '!$B32,Production_Consumption!$AA$83:$AA$99,0),MATCH('County Scaled Consumption '!C$2,Production_Consumption!$AA$83:$AJ$83,0)))*'CA Population'!$L32*10^6</f>
        <v>39399.64866000363</v>
      </c>
      <c r="D32" s="143">
        <f>(INDEX(Production_Consumption!$AA$83:$AJ$99,MATCH('County Scaled Consumption '!$B32,Production_Consumption!$AA$83:$AA$99,0),MATCH('County Scaled Consumption '!D$2,Production_Consumption!$AA$83:$AJ$83,0)))*'CA Population'!$L32*10^6</f>
        <v>161291.116312197</v>
      </c>
      <c r="E32" s="143">
        <f>(INDEX(Production_Consumption!$AA$83:$AJ$99,MATCH('County Scaled Consumption '!$B32,Production_Consumption!$AA$83:$AA$99,0),MATCH('County Scaled Consumption '!E$2,Production_Consumption!$AA$83:$AJ$83,0)))*'CA Population'!$L32*10^6</f>
        <v>96805.780740887538</v>
      </c>
      <c r="F32" s="143">
        <f>(INDEX(Production_Consumption!$AA$83:$AJ$99,MATCH('County Scaled Consumption '!$B32,Production_Consumption!$AA$83:$AA$99,0),MATCH('County Scaled Consumption '!F$2,Production_Consumption!$AA$83:$AJ$83,0)))*'CA Population'!$L32*10^6</f>
        <v>49770.471501027801</v>
      </c>
      <c r="G32" s="143">
        <f>(INDEX(Production_Consumption!$AA$83:$AJ$99,MATCH('County Scaled Consumption '!$B32,Production_Consumption!$AA$83:$AA$99,0),MATCH('County Scaled Consumption '!G$2,Production_Consumption!$AA$83:$AJ$83,0)))*'CA Population'!$L32*10^6</f>
        <v>110022.28883433397</v>
      </c>
      <c r="H32" s="143">
        <f>(INDEX(Production_Consumption!$AA$83:$AJ$99,MATCH('County Scaled Consumption '!$B32,Production_Consumption!$AA$83:$AA$99,0),MATCH('County Scaled Consumption '!H$2,Production_Consumption!$AA$83:$AJ$83,0)))*'CA Population'!$L32*10^6</f>
        <v>2885.6133151146346</v>
      </c>
      <c r="I32" s="143">
        <f>(INDEX(Production_Consumption!$AA$83:$AJ$99,MATCH('County Scaled Consumption '!$B32,Production_Consumption!$AA$83:$AA$99,0),MATCH('County Scaled Consumption '!I$2,Production_Consumption!$AA$83:$AJ$83,0)))*'CA Population'!$L32*10^6</f>
        <v>60634.048340871108</v>
      </c>
      <c r="J32" s="143">
        <f>(INDEX(Production_Consumption!$AA$83:$AJ$99,MATCH('County Scaled Consumption '!$B32,Production_Consumption!$AA$83:$AA$99,0),MATCH('County Scaled Consumption '!J$2,Production_Consumption!$AA$83:$AJ$83,0)))*'CA Population'!$L32*10^6</f>
        <v>41760.25142897878</v>
      </c>
      <c r="K32" s="143">
        <f>(INDEX(Production_Consumption!$AA$83:$AJ$99,MATCH('County Scaled Consumption '!$B32,Production_Consumption!$AA$83:$AA$99,0),MATCH('County Scaled Consumption '!K$2,Production_Consumption!$AA$83:$AJ$83,0)))*'CA Population'!$L32*10^6</f>
        <v>562569.21913341456</v>
      </c>
      <c r="L32" s="131">
        <f t="shared" si="0"/>
        <v>0</v>
      </c>
    </row>
    <row r="33" spans="1:12" x14ac:dyDescent="0.2">
      <c r="A33" s="132" t="s">
        <v>335</v>
      </c>
      <c r="B33" s="129">
        <v>2020</v>
      </c>
      <c r="C33" s="143">
        <f>(INDEX(Production_Consumption!$AA$83:$AJ$99,MATCH('County Scaled Consumption '!$B33,Production_Consumption!$AA$83:$AA$99,0),MATCH('County Scaled Consumption '!C$2,Production_Consumption!$AA$83:$AJ$83,0)))*'CA Population'!$L33*10^6</f>
        <v>4942.963463839812</v>
      </c>
      <c r="D33" s="143">
        <f>(INDEX(Production_Consumption!$AA$83:$AJ$99,MATCH('County Scaled Consumption '!$B33,Production_Consumption!$AA$83:$AA$99,0),MATCH('County Scaled Consumption '!D$2,Production_Consumption!$AA$83:$AJ$83,0)))*'CA Population'!$L33*10^6</f>
        <v>20235.106710036689</v>
      </c>
      <c r="E33" s="143">
        <f>(INDEX(Production_Consumption!$AA$83:$AJ$99,MATCH('County Scaled Consumption '!$B33,Production_Consumption!$AA$83:$AA$99,0),MATCH('County Scaled Consumption '!E$2,Production_Consumption!$AA$83:$AJ$83,0)))*'CA Population'!$L33*10^6</f>
        <v>12144.96711429941</v>
      </c>
      <c r="F33" s="143">
        <f>(INDEX(Production_Consumption!$AA$83:$AJ$99,MATCH('County Scaled Consumption '!$B33,Production_Consumption!$AA$83:$AA$99,0),MATCH('County Scaled Consumption '!F$2,Production_Consumption!$AA$83:$AJ$83,0)))*'CA Population'!$L33*10^6</f>
        <v>6244.0562435116499</v>
      </c>
      <c r="G33" s="143">
        <f>(INDEX(Production_Consumption!$AA$83:$AJ$99,MATCH('County Scaled Consumption '!$B33,Production_Consumption!$AA$83:$AA$99,0),MATCH('County Scaled Consumption '!G$2,Production_Consumption!$AA$83:$AJ$83,0)))*'CA Population'!$L33*10^6</f>
        <v>13803.071154495257</v>
      </c>
      <c r="H33" s="143">
        <f>(INDEX(Production_Consumption!$AA$83:$AJ$99,MATCH('County Scaled Consumption '!$B33,Production_Consumption!$AA$83:$AA$99,0),MATCH('County Scaled Consumption '!H$2,Production_Consumption!$AA$83:$AJ$83,0)))*'CA Population'!$L33*10^6</f>
        <v>362.02051725047039</v>
      </c>
      <c r="I33" s="143">
        <f>(INDEX(Production_Consumption!$AA$83:$AJ$99,MATCH('County Scaled Consumption '!$B33,Production_Consumption!$AA$83:$AA$99,0),MATCH('County Scaled Consumption '!I$2,Production_Consumption!$AA$83:$AJ$83,0)))*'CA Population'!$L33*10^6</f>
        <v>7606.9684833985339</v>
      </c>
      <c r="J33" s="143">
        <f>(INDEX(Production_Consumption!$AA$83:$AJ$99,MATCH('County Scaled Consumption '!$B33,Production_Consumption!$AA$83:$AA$99,0),MATCH('County Scaled Consumption '!J$2,Production_Consumption!$AA$83:$AJ$83,0)))*'CA Population'!$L33*10^6</f>
        <v>5239.117709791969</v>
      </c>
      <c r="K33" s="143">
        <f>(INDEX(Production_Consumption!$AA$83:$AJ$99,MATCH('County Scaled Consumption '!$B33,Production_Consumption!$AA$83:$AA$99,0),MATCH('County Scaled Consumption '!K$2,Production_Consumption!$AA$83:$AJ$83,0)))*'CA Population'!$L33*10^6</f>
        <v>70578.271396623808</v>
      </c>
      <c r="L33" s="131">
        <f t="shared" si="0"/>
        <v>0</v>
      </c>
    </row>
    <row r="34" spans="1:12" x14ac:dyDescent="0.2">
      <c r="A34" s="132" t="s">
        <v>336</v>
      </c>
      <c r="B34" s="129">
        <v>2020</v>
      </c>
      <c r="C34" s="143">
        <f>(INDEX(Production_Consumption!$AA$83:$AJ$99,MATCH('County Scaled Consumption '!$B34,Production_Consumption!$AA$83:$AA$99,0),MATCH('County Scaled Consumption '!C$2,Production_Consumption!$AA$83:$AJ$83,0)))*'CA Population'!$L34*10^6</f>
        <v>226.15375611407995</v>
      </c>
      <c r="D34" s="143">
        <f>(INDEX(Production_Consumption!$AA$83:$AJ$99,MATCH('County Scaled Consumption '!$B34,Production_Consumption!$AA$83:$AA$99,0),MATCH('County Scaled Consumption '!D$2,Production_Consumption!$AA$83:$AJ$83,0)))*'CA Population'!$L34*10^6</f>
        <v>925.810077562071</v>
      </c>
      <c r="E34" s="143">
        <f>(INDEX(Production_Consumption!$AA$83:$AJ$99,MATCH('County Scaled Consumption '!$B34,Production_Consumption!$AA$83:$AA$99,0),MATCH('County Scaled Consumption '!E$2,Production_Consumption!$AA$83:$AJ$83,0)))*'CA Population'!$L34*10^6</f>
        <v>555.66462323133214</v>
      </c>
      <c r="F34" s="143">
        <f>(INDEX(Production_Consumption!$AA$83:$AJ$99,MATCH('County Scaled Consumption '!$B34,Production_Consumption!$AA$83:$AA$99,0),MATCH('County Scaled Consumption '!F$2,Production_Consumption!$AA$83:$AJ$83,0)))*'CA Population'!$L34*10^6</f>
        <v>285.68221941919143</v>
      </c>
      <c r="G34" s="143">
        <f>(INDEX(Production_Consumption!$AA$83:$AJ$99,MATCH('County Scaled Consumption '!$B34,Production_Consumption!$AA$83:$AA$99,0),MATCH('County Scaled Consumption '!G$2,Production_Consumption!$AA$83:$AJ$83,0)))*'CA Population'!$L34*10^6</f>
        <v>631.5273034759731</v>
      </c>
      <c r="H34" s="143">
        <f>(INDEX(Production_Consumption!$AA$83:$AJ$99,MATCH('County Scaled Consumption '!$B34,Production_Consumption!$AA$83:$AA$99,0),MATCH('County Scaled Consumption '!H$2,Production_Consumption!$AA$83:$AJ$83,0)))*'CA Population'!$L34*10^6</f>
        <v>16.563403789142228</v>
      </c>
      <c r="I34" s="143">
        <f>(INDEX(Production_Consumption!$AA$83:$AJ$99,MATCH('County Scaled Consumption '!$B34,Production_Consumption!$AA$83:$AA$99,0),MATCH('County Scaled Consumption '!I$2,Production_Consumption!$AA$83:$AJ$83,0)))*'CA Population'!$L34*10^6</f>
        <v>348.03908783610541</v>
      </c>
      <c r="J34" s="143">
        <f>(INDEX(Production_Consumption!$AA$83:$AJ$99,MATCH('County Scaled Consumption '!$B34,Production_Consumption!$AA$83:$AA$99,0),MATCH('County Scaled Consumption '!J$2,Production_Consumption!$AA$83:$AJ$83,0)))*'CA Population'!$L34*10^6</f>
        <v>239.70360239580512</v>
      </c>
      <c r="K34" s="143">
        <f>(INDEX(Production_Consumption!$AA$83:$AJ$99,MATCH('County Scaled Consumption '!$B34,Production_Consumption!$AA$83:$AA$99,0),MATCH('County Scaled Consumption '!K$2,Production_Consumption!$AA$83:$AJ$83,0)))*'CA Population'!$L34*10^6</f>
        <v>3229.1440738237006</v>
      </c>
      <c r="L34" s="131">
        <f t="shared" si="0"/>
        <v>0</v>
      </c>
    </row>
    <row r="35" spans="1:12" x14ac:dyDescent="0.2">
      <c r="A35" s="132" t="s">
        <v>337</v>
      </c>
      <c r="B35" s="129">
        <v>2020</v>
      </c>
      <c r="C35" s="143">
        <f>(INDEX(Production_Consumption!$AA$83:$AJ$99,MATCH('County Scaled Consumption '!$B35,Production_Consumption!$AA$83:$AA$99,0),MATCH('County Scaled Consumption '!C$2,Production_Consumption!$AA$83:$AJ$83,0)))*'CA Population'!$L35*10^6</f>
        <v>30235.416820168775</v>
      </c>
      <c r="D35" s="143">
        <f>(INDEX(Production_Consumption!$AA$83:$AJ$99,MATCH('County Scaled Consumption '!$B35,Production_Consumption!$AA$83:$AA$99,0),MATCH('County Scaled Consumption '!D$2,Production_Consumption!$AA$83:$AJ$83,0)))*'CA Population'!$L35*10^6</f>
        <v>123775.32026167946</v>
      </c>
      <c r="E35" s="143">
        <f>(INDEX(Production_Consumption!$AA$83:$AJ$99,MATCH('County Scaled Consumption '!$B35,Production_Consumption!$AA$83:$AA$99,0),MATCH('County Scaled Consumption '!E$2,Production_Consumption!$AA$83:$AJ$83,0)))*'CA Population'!$L35*10^6</f>
        <v>74289.066802615795</v>
      </c>
      <c r="F35" s="143">
        <f>(INDEX(Production_Consumption!$AA$83:$AJ$99,MATCH('County Scaled Consumption '!$B35,Production_Consumption!$AA$83:$AA$99,0),MATCH('County Scaled Consumption '!F$2,Production_Consumption!$AA$83:$AJ$83,0)))*'CA Population'!$L35*10^6</f>
        <v>38194.01954965981</v>
      </c>
      <c r="G35" s="143">
        <f>(INDEX(Production_Consumption!$AA$83:$AJ$99,MATCH('County Scaled Consumption '!$B35,Production_Consumption!$AA$83:$AA$99,0),MATCH('County Scaled Consumption '!G$2,Production_Consumption!$AA$83:$AJ$83,0)))*'CA Population'!$L35*10^6</f>
        <v>84431.457526981467</v>
      </c>
      <c r="H35" s="143">
        <f>(INDEX(Production_Consumption!$AA$83:$AJ$99,MATCH('County Scaled Consumption '!$B35,Production_Consumption!$AA$83:$AA$99,0),MATCH('County Scaled Consumption '!H$2,Production_Consumption!$AA$83:$AJ$83,0)))*'CA Population'!$L35*10^6</f>
        <v>2214.4289183189876</v>
      </c>
      <c r="I35" s="143">
        <f>(INDEX(Production_Consumption!$AA$83:$AJ$99,MATCH('County Scaled Consumption '!$B35,Production_Consumption!$AA$83:$AA$99,0),MATCH('County Scaled Consumption '!I$2,Production_Consumption!$AA$83:$AJ$83,0)))*'CA Population'!$L35*10^6</f>
        <v>46530.763279154882</v>
      </c>
      <c r="J35" s="143">
        <f>(INDEX(Production_Consumption!$AA$83:$AJ$99,MATCH('County Scaled Consumption '!$B35,Production_Consumption!$AA$83:$AA$99,0),MATCH('County Scaled Consumption '!J$2,Production_Consumption!$AA$83:$AJ$83,0)))*'CA Population'!$L35*10^6</f>
        <v>32046.950960554732</v>
      </c>
      <c r="K35" s="143">
        <f>(INDEX(Production_Consumption!$AA$83:$AJ$99,MATCH('County Scaled Consumption '!$B35,Production_Consumption!$AA$83:$AA$99,0),MATCH('County Scaled Consumption '!K$2,Production_Consumption!$AA$83:$AJ$83,0)))*'CA Population'!$L35*10^6</f>
        <v>431717.42411913397</v>
      </c>
      <c r="L35" s="131">
        <f t="shared" si="0"/>
        <v>0</v>
      </c>
    </row>
    <row r="36" spans="1:12" x14ac:dyDescent="0.2">
      <c r="A36" s="132" t="s">
        <v>338</v>
      </c>
      <c r="B36" s="129">
        <v>2020</v>
      </c>
      <c r="C36" s="143">
        <f>(INDEX(Production_Consumption!$AA$83:$AJ$99,MATCH('County Scaled Consumption '!$B36,Production_Consumption!$AA$83:$AA$99,0),MATCH('County Scaled Consumption '!C$2,Production_Consumption!$AA$83:$AJ$83,0)))*'CA Population'!$L36*10^6</f>
        <v>19240.375185411704</v>
      </c>
      <c r="D36" s="143">
        <f>(INDEX(Production_Consumption!$AA$83:$AJ$99,MATCH('County Scaled Consumption '!$B36,Production_Consumption!$AA$83:$AA$99,0),MATCH('County Scaled Consumption '!D$2,Production_Consumption!$AA$83:$AJ$83,0)))*'CA Population'!$L36*10^6</f>
        <v>78764.702160170549</v>
      </c>
      <c r="E36" s="143">
        <f>(INDEX(Production_Consumption!$AA$83:$AJ$99,MATCH('County Scaled Consumption '!$B36,Production_Consumption!$AA$83:$AA$99,0),MATCH('County Scaled Consumption '!E$2,Production_Consumption!$AA$83:$AJ$83,0)))*'CA Population'!$L36*10^6</f>
        <v>47274.013980286276</v>
      </c>
      <c r="F36" s="143">
        <f>(INDEX(Production_Consumption!$AA$83:$AJ$99,MATCH('County Scaled Consumption '!$B36,Production_Consumption!$AA$83:$AA$99,0),MATCH('County Scaled Consumption '!F$2,Production_Consumption!$AA$83:$AJ$83,0)))*'CA Population'!$L36*10^6</f>
        <v>24304.849850265837</v>
      </c>
      <c r="G36" s="143">
        <f>(INDEX(Production_Consumption!$AA$83:$AJ$99,MATCH('County Scaled Consumption '!$B36,Production_Consumption!$AA$83:$AA$99,0),MATCH('County Scaled Consumption '!G$2,Production_Consumption!$AA$83:$AJ$83,0)))*'CA Population'!$L36*10^6</f>
        <v>53728.147024804552</v>
      </c>
      <c r="H36" s="143">
        <f>(INDEX(Production_Consumption!$AA$83:$AJ$99,MATCH('County Scaled Consumption '!$B36,Production_Consumption!$AA$83:$AA$99,0),MATCH('County Scaled Consumption '!H$2,Production_Consumption!$AA$83:$AJ$83,0)))*'CA Population'!$L36*10^6</f>
        <v>1409.1567998977202</v>
      </c>
      <c r="I36" s="143">
        <f>(INDEX(Production_Consumption!$AA$83:$AJ$99,MATCH('County Scaled Consumption '!$B36,Production_Consumption!$AA$83:$AA$99,0),MATCH('County Scaled Consumption '!I$2,Production_Consumption!$AA$83:$AJ$83,0)))*'CA Population'!$L36*10^6</f>
        <v>29609.955387065187</v>
      </c>
      <c r="J36" s="143">
        <f>(INDEX(Production_Consumption!$AA$83:$AJ$99,MATCH('County Scaled Consumption '!$B36,Production_Consumption!$AA$83:$AA$99,0),MATCH('County Scaled Consumption '!J$2,Production_Consumption!$AA$83:$AJ$83,0)))*'CA Population'!$L36*10^6</f>
        <v>20393.148991359638</v>
      </c>
      <c r="K36" s="143">
        <f>(INDEX(Production_Consumption!$AA$83:$AJ$99,MATCH('County Scaled Consumption '!$B36,Production_Consumption!$AA$83:$AA$99,0),MATCH('County Scaled Consumption '!K$2,Production_Consumption!$AA$83:$AJ$83,0)))*'CA Population'!$L36*10^6</f>
        <v>274724.34937926149</v>
      </c>
      <c r="L36" s="131">
        <f t="shared" si="0"/>
        <v>0</v>
      </c>
    </row>
    <row r="37" spans="1:12" x14ac:dyDescent="0.2">
      <c r="A37" s="132" t="s">
        <v>339</v>
      </c>
      <c r="B37" s="129">
        <v>2020</v>
      </c>
      <c r="C37" s="143">
        <f>(INDEX(Production_Consumption!$AA$83:$AJ$99,MATCH('County Scaled Consumption '!$B37,Production_Consumption!$AA$83:$AA$99,0),MATCH('County Scaled Consumption '!C$2,Production_Consumption!$AA$83:$AJ$83,0)))*'CA Population'!$L37*10^6</f>
        <v>774.07118780370286</v>
      </c>
      <c r="D37" s="143">
        <f>(INDEX(Production_Consumption!$AA$83:$AJ$99,MATCH('County Scaled Consumption '!$B37,Production_Consumption!$AA$83:$AA$99,0),MATCH('County Scaled Consumption '!D$2,Production_Consumption!$AA$83:$AJ$83,0)))*'CA Population'!$L37*10^6</f>
        <v>3168.8304396660583</v>
      </c>
      <c r="E37" s="143">
        <f>(INDEX(Production_Consumption!$AA$83:$AJ$99,MATCH('County Scaled Consumption '!$B37,Production_Consumption!$AA$83:$AA$99,0),MATCH('County Scaled Consumption '!E$2,Production_Consumption!$AA$83:$AJ$83,0)))*'CA Population'!$L37*10^6</f>
        <v>1901.9094898791093</v>
      </c>
      <c r="F37" s="143">
        <f>(INDEX(Production_Consumption!$AA$83:$AJ$99,MATCH('County Scaled Consumption '!$B37,Production_Consumption!$AA$83:$AA$99,0),MATCH('County Scaled Consumption '!F$2,Production_Consumption!$AA$83:$AJ$83,0)))*'CA Population'!$L37*10^6</f>
        <v>977.82313555146766</v>
      </c>
      <c r="G37" s="143">
        <f>(INDEX(Production_Consumption!$AA$83:$AJ$99,MATCH('County Scaled Consumption '!$B37,Production_Consumption!$AA$83:$AA$99,0),MATCH('County Scaled Consumption '!G$2,Production_Consumption!$AA$83:$AJ$83,0)))*'CA Population'!$L37*10^6</f>
        <v>2161.5696256025226</v>
      </c>
      <c r="H37" s="143">
        <f>(INDEX(Production_Consumption!$AA$83:$AJ$99,MATCH('County Scaled Consumption '!$B37,Production_Consumption!$AA$83:$AA$99,0),MATCH('County Scaled Consumption '!H$2,Production_Consumption!$AA$83:$AJ$83,0)))*'CA Population'!$L37*10^6</f>
        <v>56.692640730080051</v>
      </c>
      <c r="I37" s="143">
        <f>(INDEX(Production_Consumption!$AA$83:$AJ$99,MATCH('County Scaled Consumption '!$B37,Production_Consumption!$AA$83:$AA$99,0),MATCH('County Scaled Consumption '!I$2,Production_Consumption!$AA$83:$AJ$83,0)))*'CA Population'!$L37*10^6</f>
        <v>1191.2560496563808</v>
      </c>
      <c r="J37" s="143">
        <f>(INDEX(Production_Consumption!$AA$83:$AJ$99,MATCH('County Scaled Consumption '!$B37,Production_Consumption!$AA$83:$AA$99,0),MATCH('County Scaled Consumption '!J$2,Production_Consumption!$AA$83:$AJ$83,0)))*'CA Population'!$L37*10^6</f>
        <v>820.4491290153527</v>
      </c>
      <c r="K37" s="143">
        <f>(INDEX(Production_Consumption!$AA$83:$AJ$99,MATCH('County Scaled Consumption '!$B37,Production_Consumption!$AA$83:$AA$99,0),MATCH('County Scaled Consumption '!K$2,Production_Consumption!$AA$83:$AJ$83,0)))*'CA Population'!$L37*10^6</f>
        <v>11052.601697904676</v>
      </c>
      <c r="L37" s="131">
        <f t="shared" si="0"/>
        <v>0</v>
      </c>
    </row>
    <row r="38" spans="1:12" x14ac:dyDescent="0.2">
      <c r="A38" s="132" t="s">
        <v>340</v>
      </c>
      <c r="B38" s="129">
        <v>2020</v>
      </c>
      <c r="C38" s="143">
        <f>(INDEX(Production_Consumption!$AA$83:$AJ$99,MATCH('County Scaled Consumption '!$B38,Production_Consumption!$AA$83:$AA$99,0),MATCH('County Scaled Consumption '!C$2,Production_Consumption!$AA$83:$AJ$83,0)))*'CA Population'!$L38*10^6</f>
        <v>26948.965202712323</v>
      </c>
      <c r="D38" s="143">
        <f>(INDEX(Production_Consumption!$AA$83:$AJ$99,MATCH('County Scaled Consumption '!$B38,Production_Consumption!$AA$83:$AA$99,0),MATCH('County Scaled Consumption '!D$2,Production_Consumption!$AA$83:$AJ$83,0)))*'CA Population'!$L38*10^6</f>
        <v>110321.50866402227</v>
      </c>
      <c r="E38" s="143">
        <f>(INDEX(Production_Consumption!$AA$83:$AJ$99,MATCH('County Scaled Consumption '!$B38,Production_Consumption!$AA$83:$AA$99,0),MATCH('County Scaled Consumption '!E$2,Production_Consumption!$AA$83:$AJ$83,0)))*'CA Population'!$L38*10^6</f>
        <v>66214.184779162868</v>
      </c>
      <c r="F38" s="143">
        <f>(INDEX(Production_Consumption!$AA$83:$AJ$99,MATCH('County Scaled Consumption '!$B38,Production_Consumption!$AA$83:$AA$99,0),MATCH('County Scaled Consumption '!F$2,Production_Consumption!$AA$83:$AJ$83,0)))*'CA Population'!$L38*10^6</f>
        <v>34042.504190281281</v>
      </c>
      <c r="G38" s="143">
        <f>(INDEX(Production_Consumption!$AA$83:$AJ$99,MATCH('County Scaled Consumption '!$B38,Production_Consumption!$AA$83:$AA$99,0),MATCH('County Scaled Consumption '!G$2,Production_Consumption!$AA$83:$AJ$83,0)))*'CA Population'!$L38*10^6</f>
        <v>75254.143987561081</v>
      </c>
      <c r="H38" s="143">
        <f>(INDEX(Production_Consumption!$AA$83:$AJ$99,MATCH('County Scaled Consumption '!$B38,Production_Consumption!$AA$83:$AA$99,0),MATCH('County Scaled Consumption '!H$2,Production_Consumption!$AA$83:$AJ$83,0)))*'CA Population'!$L38*10^6</f>
        <v>1973.7306159394691</v>
      </c>
      <c r="I38" s="143">
        <f>(INDEX(Production_Consumption!$AA$83:$AJ$99,MATCH('County Scaled Consumption '!$B38,Production_Consumption!$AA$83:$AA$99,0),MATCH('County Scaled Consumption '!I$2,Production_Consumption!$AA$83:$AJ$83,0)))*'CA Population'!$L38*10^6</f>
        <v>41473.08197944631</v>
      </c>
      <c r="J38" s="143">
        <f>(INDEX(Production_Consumption!$AA$83:$AJ$99,MATCH('County Scaled Consumption '!$B38,Production_Consumption!$AA$83:$AA$99,0),MATCH('County Scaled Consumption '!J$2,Production_Consumption!$AA$83:$AJ$83,0)))*'CA Population'!$L38*10^6</f>
        <v>28563.593861650519</v>
      </c>
      <c r="K38" s="143">
        <f>(INDEX(Production_Consumption!$AA$83:$AJ$99,MATCH('County Scaled Consumption '!$B38,Production_Consumption!$AA$83:$AA$99,0),MATCH('County Scaled Consumption '!K$2,Production_Consumption!$AA$83:$AJ$83,0)))*'CA Population'!$L38*10^6</f>
        <v>384791.71328077617</v>
      </c>
      <c r="L38" s="131">
        <f t="shared" si="0"/>
        <v>0</v>
      </c>
    </row>
    <row r="39" spans="1:12" x14ac:dyDescent="0.2">
      <c r="A39" s="132" t="s">
        <v>341</v>
      </c>
      <c r="B39" s="129">
        <v>2020</v>
      </c>
      <c r="C39" s="143">
        <f>(INDEX(Production_Consumption!$AA$83:$AJ$99,MATCH('County Scaled Consumption '!$B39,Production_Consumption!$AA$83:$AA$99,0),MATCH('County Scaled Consumption '!C$2,Production_Consumption!$AA$83:$AJ$83,0)))*'CA Population'!$L39*10^6</f>
        <v>41267.597420790757</v>
      </c>
      <c r="D39" s="143">
        <f>(INDEX(Production_Consumption!$AA$83:$AJ$99,MATCH('County Scaled Consumption '!$B39,Production_Consumption!$AA$83:$AA$99,0),MATCH('County Scaled Consumption '!D$2,Production_Consumption!$AA$83:$AJ$83,0)))*'CA Population'!$L39*10^6</f>
        <v>168937.97487789759</v>
      </c>
      <c r="E39" s="143">
        <f>(INDEX(Production_Consumption!$AA$83:$AJ$99,MATCH('County Scaled Consumption '!$B39,Production_Consumption!$AA$83:$AA$99,0),MATCH('County Scaled Consumption '!E$2,Production_Consumption!$AA$83:$AJ$83,0)))*'CA Population'!$L39*10^6</f>
        <v>101395.37085963238</v>
      </c>
      <c r="F39" s="143">
        <f>(INDEX(Production_Consumption!$AA$83:$AJ$99,MATCH('County Scaled Consumption '!$B39,Production_Consumption!$AA$83:$AA$99,0),MATCH('County Scaled Consumption '!F$2,Production_Consumption!$AA$83:$AJ$83,0)))*'CA Population'!$L39*10^6</f>
        <v>52130.103978119223</v>
      </c>
      <c r="G39" s="143">
        <f>(INDEX(Production_Consumption!$AA$83:$AJ$99,MATCH('County Scaled Consumption '!$B39,Production_Consumption!$AA$83:$AA$99,0),MATCH('County Scaled Consumption '!G$2,Production_Consumption!$AA$83:$AJ$83,0)))*'CA Population'!$L39*10^6</f>
        <v>115238.47743186547</v>
      </c>
      <c r="H39" s="143">
        <f>(INDEX(Production_Consumption!$AA$83:$AJ$99,MATCH('County Scaled Consumption '!$B39,Production_Consumption!$AA$83:$AA$99,0),MATCH('County Scaled Consumption '!H$2,Production_Consumption!$AA$83:$AJ$83,0)))*'CA Population'!$L39*10^6</f>
        <v>3022.4210786201761</v>
      </c>
      <c r="I39" s="143">
        <f>(INDEX(Production_Consumption!$AA$83:$AJ$99,MATCH('County Scaled Consumption '!$B39,Production_Consumption!$AA$83:$AA$99,0),MATCH('County Scaled Consumption '!I$2,Production_Consumption!$AA$83:$AJ$83,0)))*'CA Population'!$L39*10^6</f>
        <v>63508.726144148415</v>
      </c>
      <c r="J39" s="143">
        <f>(INDEX(Production_Consumption!$AA$83:$AJ$99,MATCH('County Scaled Consumption '!$B39,Production_Consumption!$AA$83:$AA$99,0),MATCH('County Scaled Consumption '!J$2,Production_Consumption!$AA$83:$AJ$83,0)))*'CA Population'!$L39*10^6</f>
        <v>43740.117051133617</v>
      </c>
      <c r="K39" s="143">
        <f>(INDEX(Production_Consumption!$AA$83:$AJ$99,MATCH('County Scaled Consumption '!$B39,Production_Consumption!$AA$83:$AA$99,0),MATCH('County Scaled Consumption '!K$2,Production_Consumption!$AA$83:$AJ$83,0)))*'CA Population'!$L39*10^6</f>
        <v>589240.78884220764</v>
      </c>
      <c r="L39" s="131">
        <f t="shared" si="0"/>
        <v>0</v>
      </c>
    </row>
    <row r="40" spans="1:12" x14ac:dyDescent="0.2">
      <c r="A40" s="132" t="s">
        <v>342</v>
      </c>
      <c r="B40" s="129">
        <v>2020</v>
      </c>
      <c r="C40" s="143">
        <f>(INDEX(Production_Consumption!$AA$83:$AJ$99,MATCH('County Scaled Consumption '!$B40,Production_Consumption!$AA$83:$AA$99,0),MATCH('County Scaled Consumption '!C$2,Production_Consumption!$AA$83:$AJ$83,0)))*'CA Population'!$L40*10^6</f>
        <v>11022.555191523576</v>
      </c>
      <c r="D40" s="143">
        <f>(INDEX(Production_Consumption!$AA$83:$AJ$99,MATCH('County Scaled Consumption '!$B40,Production_Consumption!$AA$83:$AA$99,0),MATCH('County Scaled Consumption '!D$2,Production_Consumption!$AA$83:$AJ$83,0)))*'CA Population'!$L40*10^6</f>
        <v>45123.250889757459</v>
      </c>
      <c r="E40" s="143">
        <f>(INDEX(Production_Consumption!$AA$83:$AJ$99,MATCH('County Scaled Consumption '!$B40,Production_Consumption!$AA$83:$AA$99,0),MATCH('County Scaled Consumption '!E$2,Production_Consumption!$AA$83:$AJ$83,0)))*'CA Population'!$L40*10^6</f>
        <v>27082.654220675089</v>
      </c>
      <c r="F40" s="143">
        <f>(INDEX(Production_Consumption!$AA$83:$AJ$99,MATCH('County Scaled Consumption '!$B40,Production_Consumption!$AA$83:$AA$99,0),MATCH('County Scaled Consumption '!F$2,Production_Consumption!$AA$83:$AJ$83,0)))*'CA Population'!$L40*10^6</f>
        <v>13923.925407617571</v>
      </c>
      <c r="G40" s="143">
        <f>(INDEX(Production_Consumption!$AA$83:$AJ$99,MATCH('County Scaled Consumption '!$B40,Production_Consumption!$AA$83:$AA$99,0),MATCH('County Scaled Consumption '!G$2,Production_Consumption!$AA$83:$AJ$83,0)))*'CA Population'!$L40*10^6</f>
        <v>30780.141250479941</v>
      </c>
      <c r="H40" s="143">
        <f>(INDEX(Production_Consumption!$AA$83:$AJ$99,MATCH('County Scaled Consumption '!$B40,Production_Consumption!$AA$83:$AA$99,0),MATCH('County Scaled Consumption '!H$2,Production_Consumption!$AA$83:$AJ$83,0)))*'CA Population'!$L40*10^6</f>
        <v>807.28719948040873</v>
      </c>
      <c r="I40" s="143">
        <f>(INDEX(Production_Consumption!$AA$83:$AJ$99,MATCH('County Scaled Consumption '!$B40,Production_Consumption!$AA$83:$AA$99,0),MATCH('County Scaled Consumption '!I$2,Production_Consumption!$AA$83:$AJ$83,0)))*'CA Population'!$L40*10^6</f>
        <v>16963.14985166923</v>
      </c>
      <c r="J40" s="143">
        <f>(INDEX(Production_Consumption!$AA$83:$AJ$99,MATCH('County Scaled Consumption '!$B40,Production_Consumption!$AA$83:$AA$99,0),MATCH('County Scaled Consumption '!J$2,Production_Consumption!$AA$83:$AJ$83,0)))*'CA Population'!$L40*10^6</f>
        <v>11682.963981734591</v>
      </c>
      <c r="K40" s="143">
        <f>(INDEX(Production_Consumption!$AA$83:$AJ$99,MATCH('County Scaled Consumption '!$B40,Production_Consumption!$AA$83:$AA$99,0),MATCH('County Scaled Consumption '!K$2,Production_Consumption!$AA$83:$AJ$83,0)))*'CA Population'!$L40*10^6</f>
        <v>157385.92799293788</v>
      </c>
      <c r="L40" s="131">
        <f t="shared" si="0"/>
        <v>0</v>
      </c>
    </row>
    <row r="41" spans="1:12" x14ac:dyDescent="0.2">
      <c r="A41" s="132" t="s">
        <v>343</v>
      </c>
      <c r="B41" s="129">
        <v>2020</v>
      </c>
      <c r="C41" s="143">
        <f>(INDEX(Production_Consumption!$AA$83:$AJ$99,MATCH('County Scaled Consumption '!$B41,Production_Consumption!$AA$83:$AA$99,0),MATCH('County Scaled Consumption '!C$2,Production_Consumption!$AA$83:$AJ$83,0)))*'CA Population'!$L41*10^6</f>
        <v>9582.113339341664</v>
      </c>
      <c r="D41" s="143">
        <f>(INDEX(Production_Consumption!$AA$83:$AJ$99,MATCH('County Scaled Consumption '!$B41,Production_Consumption!$AA$83:$AA$99,0),MATCH('County Scaled Consumption '!D$2,Production_Consumption!$AA$83:$AJ$83,0)))*'CA Population'!$L41*10^6</f>
        <v>39226.485760552685</v>
      </c>
      <c r="E41" s="143">
        <f>(INDEX(Production_Consumption!$AA$83:$AJ$99,MATCH('County Scaled Consumption '!$B41,Production_Consumption!$AA$83:$AA$99,0),MATCH('County Scaled Consumption '!E$2,Production_Consumption!$AA$83:$AJ$83,0)))*'CA Population'!$L41*10^6</f>
        <v>23543.45773403547</v>
      </c>
      <c r="F41" s="143">
        <f>(INDEX(Production_Consumption!$AA$83:$AJ$99,MATCH('County Scaled Consumption '!$B41,Production_Consumption!$AA$83:$AA$99,0),MATCH('County Scaled Consumption '!F$2,Production_Consumption!$AA$83:$AJ$83,0)))*'CA Population'!$L41*10^6</f>
        <v>12104.328721069329</v>
      </c>
      <c r="G41" s="143">
        <f>(INDEX(Production_Consumption!$AA$83:$AJ$99,MATCH('County Scaled Consumption '!$B41,Production_Consumption!$AA$83:$AA$99,0),MATCH('County Scaled Consumption '!G$2,Production_Consumption!$AA$83:$AJ$83,0)))*'CA Population'!$L41*10^6</f>
        <v>26757.752348552945</v>
      </c>
      <c r="H41" s="143">
        <f>(INDEX(Production_Consumption!$AA$83:$AJ$99,MATCH('County Scaled Consumption '!$B41,Production_Consumption!$AA$83:$AA$99,0),MATCH('County Scaled Consumption '!H$2,Production_Consumption!$AA$83:$AJ$83,0)))*'CA Population'!$L41*10^6</f>
        <v>701.78985801492445</v>
      </c>
      <c r="I41" s="143">
        <f>(INDEX(Production_Consumption!$AA$83:$AJ$99,MATCH('County Scaled Consumption '!$B41,Production_Consumption!$AA$83:$AA$99,0),MATCH('County Scaled Consumption '!I$2,Production_Consumption!$AA$83:$AJ$83,0)))*'CA Population'!$L41*10^6</f>
        <v>14746.383360904181</v>
      </c>
      <c r="J41" s="143">
        <f>(INDEX(Production_Consumption!$AA$83:$AJ$99,MATCH('County Scaled Consumption '!$B41,Production_Consumption!$AA$83:$AA$99,0),MATCH('County Scaled Consumption '!J$2,Production_Consumption!$AA$83:$AJ$83,0)))*'CA Population'!$L41*10^6</f>
        <v>10156.219049691457</v>
      </c>
      <c r="K41" s="143">
        <f>(INDEX(Production_Consumption!$AA$83:$AJ$99,MATCH('County Scaled Consumption '!$B41,Production_Consumption!$AA$83:$AA$99,0),MATCH('County Scaled Consumption '!K$2,Production_Consumption!$AA$83:$AJ$83,0)))*'CA Population'!$L41*10^6</f>
        <v>136818.53017216266</v>
      </c>
      <c r="L41" s="131">
        <f t="shared" si="0"/>
        <v>0</v>
      </c>
    </row>
    <row r="42" spans="1:12" x14ac:dyDescent="0.2">
      <c r="A42" s="132" t="s">
        <v>344</v>
      </c>
      <c r="B42" s="129">
        <v>2020</v>
      </c>
      <c r="C42" s="143">
        <f>(INDEX(Production_Consumption!$AA$83:$AJ$99,MATCH('County Scaled Consumption '!$B42,Production_Consumption!$AA$83:$AA$99,0),MATCH('County Scaled Consumption '!C$2,Production_Consumption!$AA$83:$AJ$83,0)))*'CA Population'!$L42*10^6</f>
        <v>3429.1975492981696</v>
      </c>
      <c r="D42" s="143">
        <f>(INDEX(Production_Consumption!$AA$83:$AJ$99,MATCH('County Scaled Consumption '!$B42,Production_Consumption!$AA$83:$AA$99,0),MATCH('County Scaled Consumption '!D$2,Production_Consumption!$AA$83:$AJ$83,0)))*'CA Population'!$L42*10^6</f>
        <v>14038.173425206911</v>
      </c>
      <c r="E42" s="143">
        <f>(INDEX(Production_Consumption!$AA$83:$AJ$99,MATCH('County Scaled Consumption '!$B42,Production_Consumption!$AA$83:$AA$99,0),MATCH('County Scaled Consumption '!E$2,Production_Consumption!$AA$83:$AJ$83,0)))*'CA Population'!$L42*10^6</f>
        <v>8425.6118357608957</v>
      </c>
      <c r="F42" s="143">
        <f>(INDEX(Production_Consumption!$AA$83:$AJ$99,MATCH('County Scaled Consumption '!$B42,Production_Consumption!$AA$83:$AA$99,0),MATCH('County Scaled Consumption '!F$2,Production_Consumption!$AA$83:$AJ$83,0)))*'CA Population'!$L42*10^6</f>
        <v>4331.835046843873</v>
      </c>
      <c r="G42" s="143">
        <f>(INDEX(Production_Consumption!$AA$83:$AJ$99,MATCH('County Scaled Consumption '!$B42,Production_Consumption!$AA$83:$AA$99,0),MATCH('County Scaled Consumption '!G$2,Production_Consumption!$AA$83:$AJ$83,0)))*'CA Population'!$L42*10^6</f>
        <v>9575.9270975904856</v>
      </c>
      <c r="H42" s="143">
        <f>(INDEX(Production_Consumption!$AA$83:$AJ$99,MATCH('County Scaled Consumption '!$B42,Production_Consumption!$AA$83:$AA$99,0),MATCH('County Scaled Consumption '!H$2,Production_Consumption!$AA$83:$AJ$83,0)))*'CA Population'!$L42*10^6</f>
        <v>251.15295300738248</v>
      </c>
      <c r="I42" s="143">
        <f>(INDEX(Production_Consumption!$AA$83:$AJ$99,MATCH('County Scaled Consumption '!$B42,Production_Consumption!$AA$83:$AA$99,0),MATCH('County Scaled Consumption '!I$2,Production_Consumption!$AA$83:$AJ$83,0)))*'CA Population'!$L42*10^6</f>
        <v>5277.3600031011747</v>
      </c>
      <c r="J42" s="143">
        <f>(INDEX(Production_Consumption!$AA$83:$AJ$99,MATCH('County Scaled Consumption '!$B42,Production_Consumption!$AA$83:$AA$99,0),MATCH('County Scaled Consumption '!J$2,Production_Consumption!$AA$83:$AJ$83,0)))*'CA Population'!$L42*10^6</f>
        <v>3634.6555547766206</v>
      </c>
      <c r="K42" s="143">
        <f>(INDEX(Production_Consumption!$AA$83:$AJ$99,MATCH('County Scaled Consumption '!$B42,Production_Consumption!$AA$83:$AA$99,0),MATCH('County Scaled Consumption '!K$2,Production_Consumption!$AA$83:$AJ$83,0)))*'CA Population'!$L42*10^6</f>
        <v>48963.913465585516</v>
      </c>
      <c r="L42" s="131">
        <f t="shared" si="0"/>
        <v>0</v>
      </c>
    </row>
    <row r="43" spans="1:12" x14ac:dyDescent="0.2">
      <c r="A43" s="132" t="s">
        <v>345</v>
      </c>
      <c r="B43" s="129">
        <v>2020</v>
      </c>
      <c r="C43" s="143">
        <f>(INDEX(Production_Consumption!$AA$83:$AJ$99,MATCH('County Scaled Consumption '!$B43,Production_Consumption!$AA$83:$AA$99,0),MATCH('County Scaled Consumption '!C$2,Production_Consumption!$AA$83:$AJ$83,0)))*'CA Population'!$L43*10^6</f>
        <v>9551.8372777759978</v>
      </c>
      <c r="D43" s="143">
        <f>(INDEX(Production_Consumption!$AA$83:$AJ$99,MATCH('County Scaled Consumption '!$B43,Production_Consumption!$AA$83:$AA$99,0),MATCH('County Scaled Consumption '!D$2,Production_Consumption!$AA$83:$AJ$83,0)))*'CA Population'!$L43*10^6</f>
        <v>39102.544052097284</v>
      </c>
      <c r="E43" s="143">
        <f>(INDEX(Production_Consumption!$AA$83:$AJ$99,MATCH('County Scaled Consumption '!$B43,Production_Consumption!$AA$83:$AA$99,0),MATCH('County Scaled Consumption '!E$2,Production_Consumption!$AA$83:$AJ$83,0)))*'CA Population'!$L43*10^6</f>
        <v>23469.068802222515</v>
      </c>
      <c r="F43" s="143">
        <f>(INDEX(Production_Consumption!$AA$83:$AJ$99,MATCH('County Scaled Consumption '!$B43,Production_Consumption!$AA$83:$AA$99,0),MATCH('County Scaled Consumption '!F$2,Production_Consumption!$AA$83:$AJ$83,0)))*'CA Population'!$L43*10^6</f>
        <v>12066.083358215443</v>
      </c>
      <c r="G43" s="143">
        <f>(INDEX(Production_Consumption!$AA$83:$AJ$99,MATCH('County Scaled Consumption '!$B43,Production_Consumption!$AA$83:$AA$99,0),MATCH('County Scaled Consumption '!G$2,Production_Consumption!$AA$83:$AJ$83,0)))*'CA Population'!$L43*10^6</f>
        <v>26673.20739184308</v>
      </c>
      <c r="H43" s="143">
        <f>(INDEX(Production_Consumption!$AA$83:$AJ$99,MATCH('County Scaled Consumption '!$B43,Production_Consumption!$AA$83:$AA$99,0),MATCH('County Scaled Consumption '!H$2,Production_Consumption!$AA$83:$AJ$83,0)))*'CA Population'!$L43*10^6</f>
        <v>699.57245229293369</v>
      </c>
      <c r="I43" s="143">
        <f>(INDEX(Production_Consumption!$AA$83:$AJ$99,MATCH('County Scaled Consumption '!$B43,Production_Consumption!$AA$83:$AA$99,0),MATCH('County Scaled Consumption '!I$2,Production_Consumption!$AA$83:$AJ$83,0)))*'CA Population'!$L43*10^6</f>
        <v>14699.790047436201</v>
      </c>
      <c r="J43" s="143">
        <f>(INDEX(Production_Consumption!$AA$83:$AJ$99,MATCH('County Scaled Consumption '!$B43,Production_Consumption!$AA$83:$AA$99,0),MATCH('County Scaled Consumption '!J$2,Production_Consumption!$AA$83:$AJ$83,0)))*'CA Population'!$L43*10^6</f>
        <v>10124.129018783517</v>
      </c>
      <c r="K43" s="143">
        <f>(INDEX(Production_Consumption!$AA$83:$AJ$99,MATCH('County Scaled Consumption '!$B43,Production_Consumption!$AA$83:$AA$99,0),MATCH('County Scaled Consumption '!K$2,Production_Consumption!$AA$83:$AJ$83,0)))*'CA Population'!$L43*10^6</f>
        <v>136386.23240066701</v>
      </c>
      <c r="L43" s="131">
        <f t="shared" si="0"/>
        <v>0</v>
      </c>
    </row>
    <row r="44" spans="1:12" x14ac:dyDescent="0.2">
      <c r="A44" s="132" t="s">
        <v>346</v>
      </c>
      <c r="B44" s="129">
        <v>2020</v>
      </c>
      <c r="C44" s="143">
        <f>(INDEX(Production_Consumption!$AA$83:$AJ$99,MATCH('County Scaled Consumption '!$B44,Production_Consumption!$AA$83:$AA$99,0),MATCH('County Scaled Consumption '!C$2,Production_Consumption!$AA$83:$AJ$83,0)))*'CA Population'!$L44*10^6</f>
        <v>5580.8914779091956</v>
      </c>
      <c r="D44" s="143">
        <f>(INDEX(Production_Consumption!$AA$83:$AJ$99,MATCH('County Scaled Consumption '!$B44,Production_Consumption!$AA$83:$AA$99,0),MATCH('County Scaled Consumption '!D$2,Production_Consumption!$AA$83:$AJ$83,0)))*'CA Population'!$L44*10^6</f>
        <v>22846.605162826807</v>
      </c>
      <c r="E44" s="143">
        <f>(INDEX(Production_Consumption!$AA$83:$AJ$99,MATCH('County Scaled Consumption '!$B44,Production_Consumption!$AA$83:$AA$99,0),MATCH('County Scaled Consumption '!E$2,Production_Consumption!$AA$83:$AJ$83,0)))*'CA Population'!$L44*10^6</f>
        <v>13712.369909978674</v>
      </c>
      <c r="F44" s="143">
        <f>(INDEX(Production_Consumption!$AA$83:$AJ$99,MATCH('County Scaled Consumption '!$B44,Production_Consumption!$AA$83:$AA$99,0),MATCH('County Scaled Consumption '!F$2,Production_Consumption!$AA$83:$AJ$83,0)))*'CA Population'!$L44*10^6</f>
        <v>7049.9004356244159</v>
      </c>
      <c r="G44" s="143">
        <f>(INDEX(Production_Consumption!$AA$83:$AJ$99,MATCH('County Scaled Consumption '!$B44,Production_Consumption!$AA$83:$AA$99,0),MATCH('County Scaled Consumption '!G$2,Production_Consumption!$AA$83:$AJ$83,0)))*'CA Population'!$L44*10^6</f>
        <v>15584.465217805879</v>
      </c>
      <c r="H44" s="143">
        <f>(INDEX(Production_Consumption!$AA$83:$AJ$99,MATCH('County Scaled Consumption '!$B44,Production_Consumption!$AA$83:$AA$99,0),MATCH('County Scaled Consumption '!H$2,Production_Consumption!$AA$83:$AJ$83,0)))*'CA Population'!$L44*10^6</f>
        <v>408.74209051546097</v>
      </c>
      <c r="I44" s="143">
        <f>(INDEX(Production_Consumption!$AA$83:$AJ$99,MATCH('County Scaled Consumption '!$B44,Production_Consumption!$AA$83:$AA$99,0),MATCH('County Scaled Consumption '!I$2,Production_Consumption!$AA$83:$AJ$83,0)))*'CA Population'!$L44*10^6</f>
        <v>8588.7071373867057</v>
      </c>
      <c r="J44" s="143">
        <f>(INDEX(Production_Consumption!$AA$83:$AJ$99,MATCH('County Scaled Consumption '!$B44,Production_Consumption!$AA$83:$AA$99,0),MATCH('County Scaled Consumption '!J$2,Production_Consumption!$AA$83:$AJ$83,0)))*'CA Population'!$L44*10^6</f>
        <v>5915.2667407392955</v>
      </c>
      <c r="K44" s="143">
        <f>(INDEX(Production_Consumption!$AA$83:$AJ$99,MATCH('County Scaled Consumption '!$B44,Production_Consumption!$AA$83:$AA$99,0),MATCH('County Scaled Consumption '!K$2,Production_Consumption!$AA$83:$AJ$83,0)))*'CA Population'!$L44*10^6</f>
        <v>79686.948172786448</v>
      </c>
      <c r="L44" s="131">
        <f t="shared" si="0"/>
        <v>0</v>
      </c>
    </row>
    <row r="45" spans="1:12" x14ac:dyDescent="0.2">
      <c r="A45" s="132" t="s">
        <v>347</v>
      </c>
      <c r="B45" s="129">
        <v>2020</v>
      </c>
      <c r="C45" s="143">
        <f>(INDEX(Production_Consumption!$AA$83:$AJ$99,MATCH('County Scaled Consumption '!$B45,Production_Consumption!$AA$83:$AA$99,0),MATCH('County Scaled Consumption '!C$2,Production_Consumption!$AA$83:$AJ$83,0)))*'CA Population'!$L45*10^6</f>
        <v>24096.548924485123</v>
      </c>
      <c r="D45" s="143">
        <f>(INDEX(Production_Consumption!$AA$83:$AJ$99,MATCH('County Scaled Consumption '!$B45,Production_Consumption!$AA$83:$AA$99,0),MATCH('County Scaled Consumption '!D$2,Production_Consumption!$AA$83:$AJ$83,0)))*'CA Population'!$L45*10^6</f>
        <v>98644.516067654651</v>
      </c>
      <c r="E45" s="143">
        <f>(INDEX(Production_Consumption!$AA$83:$AJ$99,MATCH('County Scaled Consumption '!$B45,Production_Consumption!$AA$83:$AA$99,0),MATCH('County Scaled Consumption '!E$2,Production_Consumption!$AA$83:$AJ$83,0)))*'CA Population'!$L45*10^6</f>
        <v>59205.736881704506</v>
      </c>
      <c r="F45" s="143">
        <f>(INDEX(Production_Consumption!$AA$83:$AJ$99,MATCH('County Scaled Consumption '!$B45,Production_Consumption!$AA$83:$AA$99,0),MATCH('County Scaled Consumption '!F$2,Production_Consumption!$AA$83:$AJ$83,0)))*'CA Population'!$L45*10^6</f>
        <v>30439.271473419743</v>
      </c>
      <c r="G45" s="143">
        <f>(INDEX(Production_Consumption!$AA$83:$AJ$99,MATCH('County Scaled Consumption '!$B45,Production_Consumption!$AA$83:$AA$99,0),MATCH('County Scaled Consumption '!G$2,Production_Consumption!$AA$83:$AJ$83,0)))*'CA Population'!$L45*10^6</f>
        <v>67288.860582446563</v>
      </c>
      <c r="H45" s="143">
        <f>(INDEX(Production_Consumption!$AA$83:$AJ$99,MATCH('County Scaled Consumption '!$B45,Production_Consumption!$AA$83:$AA$99,0),MATCH('County Scaled Consumption '!H$2,Production_Consumption!$AA$83:$AJ$83,0)))*'CA Population'!$L45*10^6</f>
        <v>1764.8208750498816</v>
      </c>
      <c r="I45" s="143">
        <f>(INDEX(Production_Consumption!$AA$83:$AJ$99,MATCH('County Scaled Consumption '!$B45,Production_Consumption!$AA$83:$AA$99,0),MATCH('County Scaled Consumption '!I$2,Production_Consumption!$AA$83:$AJ$83,0)))*'CA Population'!$L45*10^6</f>
        <v>37083.358913771139</v>
      </c>
      <c r="J45" s="143">
        <f>(INDEX(Production_Consumption!$AA$83:$AJ$99,MATCH('County Scaled Consumption '!$B45,Production_Consumption!$AA$83:$AA$99,0),MATCH('County Scaled Consumption '!J$2,Production_Consumption!$AA$83:$AJ$83,0)))*'CA Population'!$L45*10^6</f>
        <v>25540.277029899138</v>
      </c>
      <c r="K45" s="143">
        <f>(INDEX(Production_Consumption!$AA$83:$AJ$99,MATCH('County Scaled Consumption '!$B45,Production_Consumption!$AA$83:$AA$99,0),MATCH('County Scaled Consumption '!K$2,Production_Consumption!$AA$83:$AJ$83,0)))*'CA Population'!$L45*10^6</f>
        <v>344063.3907484308</v>
      </c>
      <c r="L45" s="131">
        <f t="shared" si="0"/>
        <v>0</v>
      </c>
    </row>
    <row r="46" spans="1:12" x14ac:dyDescent="0.2">
      <c r="A46" s="132" t="s">
        <v>348</v>
      </c>
      <c r="B46" s="129">
        <v>2020</v>
      </c>
      <c r="C46" s="143">
        <f>(INDEX(Production_Consumption!$AA$83:$AJ$99,MATCH('County Scaled Consumption '!$B46,Production_Consumption!$AA$83:$AA$99,0),MATCH('County Scaled Consumption '!C$2,Production_Consumption!$AA$83:$AJ$83,0)))*'CA Population'!$L46*10^6</f>
        <v>3349.3574442283157</v>
      </c>
      <c r="D46" s="143">
        <f>(INDEX(Production_Consumption!$AA$83:$AJ$99,MATCH('County Scaled Consumption '!$B46,Production_Consumption!$AA$83:$AA$99,0),MATCH('County Scaled Consumption '!D$2,Production_Consumption!$AA$83:$AJ$83,0)))*'CA Population'!$L46*10^6</f>
        <v>13711.330417434807</v>
      </c>
      <c r="E46" s="143">
        <f>(INDEX(Production_Consumption!$AA$83:$AJ$99,MATCH('County Scaled Consumption '!$B46,Production_Consumption!$AA$83:$AA$99,0),MATCH('County Scaled Consumption '!E$2,Production_Consumption!$AA$83:$AJ$83,0)))*'CA Population'!$L46*10^6</f>
        <v>8229.4429873425142</v>
      </c>
      <c r="F46" s="143">
        <f>(INDEX(Production_Consumption!$AA$83:$AJ$99,MATCH('County Scaled Consumption '!$B46,Production_Consumption!$AA$83:$AA$99,0),MATCH('County Scaled Consumption '!F$2,Production_Consumption!$AA$83:$AJ$83,0)))*'CA Population'!$L46*10^6</f>
        <v>4230.9793334259984</v>
      </c>
      <c r="G46" s="143">
        <f>(INDEX(Production_Consumption!$AA$83:$AJ$99,MATCH('County Scaled Consumption '!$B46,Production_Consumption!$AA$83:$AA$99,0),MATCH('County Scaled Consumption '!G$2,Production_Consumption!$AA$83:$AJ$83,0)))*'CA Population'!$L46*10^6</f>
        <v>9352.9760967741713</v>
      </c>
      <c r="H46" s="143">
        <f>(INDEX(Production_Consumption!$AA$83:$AJ$99,MATCH('County Scaled Consumption '!$B46,Production_Consumption!$AA$83:$AA$99,0),MATCH('County Scaled Consumption '!H$2,Production_Consumption!$AA$83:$AJ$83,0)))*'CA Population'!$L46*10^6</f>
        <v>245.30549806538957</v>
      </c>
      <c r="I46" s="143">
        <f>(INDEX(Production_Consumption!$AA$83:$AJ$99,MATCH('County Scaled Consumption '!$B46,Production_Consumption!$AA$83:$AA$99,0),MATCH('County Scaled Consumption '!I$2,Production_Consumption!$AA$83:$AJ$83,0)))*'CA Population'!$L46*10^6</f>
        <v>5154.4901564149504</v>
      </c>
      <c r="J46" s="143">
        <f>(INDEX(Production_Consumption!$AA$83:$AJ$99,MATCH('County Scaled Consumption '!$B46,Production_Consumption!$AA$83:$AA$99,0),MATCH('County Scaled Consumption '!J$2,Production_Consumption!$AA$83:$AJ$83,0)))*'CA Population'!$L46*10^6</f>
        <v>3550.0318848905026</v>
      </c>
      <c r="K46" s="143">
        <f>(INDEX(Production_Consumption!$AA$83:$AJ$99,MATCH('County Scaled Consumption '!$B46,Production_Consumption!$AA$83:$AA$99,0),MATCH('County Scaled Consumption '!K$2,Production_Consumption!$AA$83:$AJ$83,0)))*'CA Population'!$L46*10^6</f>
        <v>47823.913818576657</v>
      </c>
      <c r="L46" s="131">
        <f t="shared" si="0"/>
        <v>0</v>
      </c>
    </row>
    <row r="47" spans="1:12" x14ac:dyDescent="0.2">
      <c r="A47" s="132" t="s">
        <v>349</v>
      </c>
      <c r="B47" s="129">
        <v>2020</v>
      </c>
      <c r="C47" s="143">
        <f>(INDEX(Production_Consumption!$AA$83:$AJ$99,MATCH('County Scaled Consumption '!$B47,Production_Consumption!$AA$83:$AA$99,0),MATCH('County Scaled Consumption '!C$2,Production_Consumption!$AA$83:$AJ$83,0)))*'CA Population'!$L47*10^6</f>
        <v>2199.3006817193964</v>
      </c>
      <c r="D47" s="143">
        <f>(INDEX(Production_Consumption!$AA$83:$AJ$99,MATCH('County Scaled Consumption '!$B47,Production_Consumption!$AA$83:$AA$99,0),MATCH('County Scaled Consumption '!D$2,Production_Consumption!$AA$83:$AJ$83,0)))*'CA Population'!$L47*10^6</f>
        <v>9003.3204387631376</v>
      </c>
      <c r="E47" s="143">
        <f>(INDEX(Production_Consumption!$AA$83:$AJ$99,MATCH('County Scaled Consumption '!$B47,Production_Consumption!$AA$83:$AA$99,0),MATCH('County Scaled Consumption '!E$2,Production_Consumption!$AA$83:$AJ$83,0)))*'CA Population'!$L47*10^6</f>
        <v>5403.7288863933927</v>
      </c>
      <c r="F47" s="143">
        <f>(INDEX(Production_Consumption!$AA$83:$AJ$99,MATCH('County Scaled Consumption '!$B47,Production_Consumption!$AA$83:$AA$99,0),MATCH('County Scaled Consumption '!F$2,Production_Consumption!$AA$83:$AJ$83,0)))*'CA Population'!$L47*10^6</f>
        <v>2778.2032486199364</v>
      </c>
      <c r="G47" s="143">
        <f>(INDEX(Production_Consumption!$AA$83:$AJ$99,MATCH('County Scaled Consumption '!$B47,Production_Consumption!$AA$83:$AA$99,0),MATCH('County Scaled Consumption '!G$2,Production_Consumption!$AA$83:$AJ$83,0)))*'CA Population'!$L47*10^6</f>
        <v>6141.4784919977183</v>
      </c>
      <c r="H47" s="143">
        <f>(INDEX(Production_Consumption!$AA$83:$AJ$99,MATCH('County Scaled Consumption '!$B47,Production_Consumption!$AA$83:$AA$99,0),MATCH('County Scaled Consumption '!H$2,Production_Consumption!$AA$83:$AJ$83,0)))*'CA Population'!$L47*10^6</f>
        <v>161.07583562166712</v>
      </c>
      <c r="I47" s="143">
        <f>(INDEX(Production_Consumption!$AA$83:$AJ$99,MATCH('County Scaled Consumption '!$B47,Production_Consumption!$AA$83:$AA$99,0),MATCH('County Scaled Consumption '!I$2,Production_Consumption!$AA$83:$AJ$83,0)))*'CA Population'!$L47*10^6</f>
        <v>3384.6114974841594</v>
      </c>
      <c r="J47" s="143">
        <f>(INDEX(Production_Consumption!$AA$83:$AJ$99,MATCH('County Scaled Consumption '!$B47,Production_Consumption!$AA$83:$AA$99,0),MATCH('County Scaled Consumption '!J$2,Production_Consumption!$AA$83:$AJ$83,0)))*'CA Population'!$L47*10^6</f>
        <v>2331.0702648412389</v>
      </c>
      <c r="K47" s="143">
        <f>(INDEX(Production_Consumption!$AA$83:$AJ$99,MATCH('County Scaled Consumption '!$B47,Production_Consumption!$AA$83:$AA$99,0),MATCH('County Scaled Consumption '!K$2,Production_Consumption!$AA$83:$AJ$83,0)))*'CA Population'!$L47*10^6</f>
        <v>31402.789345440648</v>
      </c>
      <c r="L47" s="131">
        <f t="shared" si="0"/>
        <v>0</v>
      </c>
    </row>
    <row r="48" spans="1:12" x14ac:dyDescent="0.2">
      <c r="A48" s="132" t="s">
        <v>350</v>
      </c>
      <c r="B48" s="129">
        <v>2020</v>
      </c>
      <c r="C48" s="143">
        <f>(INDEX(Production_Consumption!$AA$83:$AJ$99,MATCH('County Scaled Consumption '!$B48,Production_Consumption!$AA$83:$AA$99,0),MATCH('County Scaled Consumption '!C$2,Production_Consumption!$AA$83:$AJ$83,0)))*'CA Population'!$L48*10^6</f>
        <v>39.641324472231368</v>
      </c>
      <c r="D48" s="143">
        <f>(INDEX(Production_Consumption!$AA$83:$AJ$99,MATCH('County Scaled Consumption '!$B48,Production_Consumption!$AA$83:$AA$99,0),MATCH('County Scaled Consumption '!D$2,Production_Consumption!$AA$83:$AJ$83,0)))*'CA Population'!$L48*10^6</f>
        <v>162.28046933603346</v>
      </c>
      <c r="E48" s="143">
        <f>(INDEX(Production_Consumption!$AA$83:$AJ$99,MATCH('County Scaled Consumption '!$B48,Production_Consumption!$AA$83:$AA$99,0),MATCH('County Scaled Consumption '!E$2,Production_Consumption!$AA$83:$AJ$83,0)))*'CA Population'!$L48*10^6</f>
        <v>97.399583388489418</v>
      </c>
      <c r="F48" s="143">
        <f>(INDEX(Production_Consumption!$AA$83:$AJ$99,MATCH('County Scaled Consumption '!$B48,Production_Consumption!$AA$83:$AA$99,0),MATCH('County Scaled Consumption '!F$2,Production_Consumption!$AA$83:$AJ$83,0)))*'CA Population'!$L48*10^6</f>
        <v>50.075761510813571</v>
      </c>
      <c r="G48" s="143">
        <f>(INDEX(Production_Consumption!$AA$83:$AJ$99,MATCH('County Scaled Consumption '!$B48,Production_Consumption!$AA$83:$AA$99,0),MATCH('County Scaled Consumption '!G$2,Production_Consumption!$AA$83:$AJ$83,0)))*'CA Population'!$L48*10^6</f>
        <v>110.69716099491202</v>
      </c>
      <c r="H48" s="143">
        <f>(INDEX(Production_Consumption!$AA$83:$AJ$99,MATCH('County Scaled Consumption '!$B48,Production_Consumption!$AA$83:$AA$99,0),MATCH('County Scaled Consumption '!H$2,Production_Consumption!$AA$83:$AJ$83,0)))*'CA Population'!$L48*10^6</f>
        <v>2.9033135476147645</v>
      </c>
      <c r="I48" s="143">
        <f>(INDEX(Production_Consumption!$AA$83:$AJ$99,MATCH('County Scaled Consumption '!$B48,Production_Consumption!$AA$83:$AA$99,0),MATCH('County Scaled Consumption '!I$2,Production_Consumption!$AA$83:$AJ$83,0)))*'CA Population'!$L48*10^6</f>
        <v>61.005975080824797</v>
      </c>
      <c r="J48" s="143">
        <f>(INDEX(Production_Consumption!$AA$83:$AJ$99,MATCH('County Scaled Consumption '!$B48,Production_Consumption!$AA$83:$AA$99,0),MATCH('County Scaled Consumption '!J$2,Production_Consumption!$AA$83:$AJ$83,0)))*'CA Population'!$L48*10^6</f>
        <v>42.016407080772154</v>
      </c>
      <c r="K48" s="143">
        <f>(INDEX(Production_Consumption!$AA$83:$AJ$99,MATCH('County Scaled Consumption '!$B48,Production_Consumption!$AA$83:$AA$99,0),MATCH('County Scaled Consumption '!K$2,Production_Consumption!$AA$83:$AJ$83,0)))*'CA Population'!$L48*10^6</f>
        <v>566.01999541169164</v>
      </c>
      <c r="L48" s="131">
        <f t="shared" si="0"/>
        <v>0</v>
      </c>
    </row>
    <row r="49" spans="1:12" x14ac:dyDescent="0.2">
      <c r="A49" s="132" t="s">
        <v>351</v>
      </c>
      <c r="B49" s="129">
        <v>2020</v>
      </c>
      <c r="C49" s="143">
        <f>(INDEX(Production_Consumption!$AA$83:$AJ$99,MATCH('County Scaled Consumption '!$B49,Production_Consumption!$AA$83:$AA$99,0),MATCH('County Scaled Consumption '!C$2,Production_Consumption!$AA$83:$AJ$83,0)))*'CA Population'!$L49*10^6</f>
        <v>550.80381562775722</v>
      </c>
      <c r="D49" s="143">
        <f>(INDEX(Production_Consumption!$AA$83:$AJ$99,MATCH('County Scaled Consumption '!$B49,Production_Consumption!$AA$83:$AA$99,0),MATCH('County Scaled Consumption '!D$2,Production_Consumption!$AA$83:$AJ$83,0)))*'CA Population'!$L49*10^6</f>
        <v>2254.8364087775176</v>
      </c>
      <c r="E49" s="143">
        <f>(INDEX(Production_Consumption!$AA$83:$AJ$99,MATCH('County Scaled Consumption '!$B49,Production_Consumption!$AA$83:$AA$99,0),MATCH('County Scaled Consumption '!E$2,Production_Consumption!$AA$83:$AJ$83,0)))*'CA Population'!$L49*10^6</f>
        <v>1353.3367738132515</v>
      </c>
      <c r="F49" s="143">
        <f>(INDEX(Production_Consumption!$AA$83:$AJ$99,MATCH('County Scaled Consumption '!$B49,Production_Consumption!$AA$83:$AA$99,0),MATCH('County Scaled Consumption '!F$2,Production_Consumption!$AA$83:$AJ$83,0)))*'CA Population'!$L49*10^6</f>
        <v>695.78705751728239</v>
      </c>
      <c r="G49" s="143">
        <f>(INDEX(Production_Consumption!$AA$83:$AJ$99,MATCH('County Scaled Consumption '!$B49,Production_Consumption!$AA$83:$AA$99,0),MATCH('County Scaled Consumption '!G$2,Production_Consumption!$AA$83:$AJ$83,0)))*'CA Population'!$L49*10^6</f>
        <v>1538.1024591614917</v>
      </c>
      <c r="H49" s="143">
        <f>(INDEX(Production_Consumption!$AA$83:$AJ$99,MATCH('County Scaled Consumption '!$B49,Production_Consumption!$AA$83:$AA$99,0),MATCH('County Scaled Consumption '!H$2,Production_Consumption!$AA$83:$AJ$83,0)))*'CA Population'!$L49*10^6</f>
        <v>40.340634458623519</v>
      </c>
      <c r="I49" s="143">
        <f>(INDEX(Production_Consumption!$AA$83:$AJ$99,MATCH('County Scaled Consumption '!$B49,Production_Consumption!$AA$83:$AA$99,0),MATCH('County Scaled Consumption '!I$2,Production_Consumption!$AA$83:$AJ$83,0)))*'CA Population'!$L49*10^6</f>
        <v>847.6589593808477</v>
      </c>
      <c r="J49" s="143">
        <f>(INDEX(Production_Consumption!$AA$83:$AJ$99,MATCH('County Scaled Consumption '!$B49,Production_Consumption!$AA$83:$AA$99,0),MATCH('County Scaled Consumption '!J$2,Production_Consumption!$AA$83:$AJ$83,0)))*'CA Population'!$L49*10^6</f>
        <v>583.80484626011628</v>
      </c>
      <c r="K49" s="143">
        <f>(INDEX(Production_Consumption!$AA$83:$AJ$99,MATCH('County Scaled Consumption '!$B49,Production_Consumption!$AA$83:$AA$99,0),MATCH('County Scaled Consumption '!K$2,Production_Consumption!$AA$83:$AJ$83,0)))*'CA Population'!$L49*10^6</f>
        <v>7864.6709549968882</v>
      </c>
      <c r="L49" s="131">
        <f t="shared" si="0"/>
        <v>0</v>
      </c>
    </row>
    <row r="50" spans="1:12" x14ac:dyDescent="0.2">
      <c r="A50" s="132" t="s">
        <v>352</v>
      </c>
      <c r="B50" s="129">
        <v>2020</v>
      </c>
      <c r="C50" s="143">
        <f>(INDEX(Production_Consumption!$AA$83:$AJ$99,MATCH('County Scaled Consumption '!$B50,Production_Consumption!$AA$83:$AA$99,0),MATCH('County Scaled Consumption '!C$2,Production_Consumption!$AA$83:$AJ$83,0)))*'CA Population'!$L50*10^6</f>
        <v>5440.9080508666284</v>
      </c>
      <c r="D50" s="143">
        <f>(INDEX(Production_Consumption!$AA$83:$AJ$99,MATCH('County Scaled Consumption '!$B50,Production_Consumption!$AA$83:$AA$99,0),MATCH('County Scaled Consumption '!D$2,Production_Consumption!$AA$83:$AJ$83,0)))*'CA Population'!$L50*10^6</f>
        <v>22273.552255483937</v>
      </c>
      <c r="E50" s="143">
        <f>(INDEX(Production_Consumption!$AA$83:$AJ$99,MATCH('County Scaled Consumption '!$B50,Production_Consumption!$AA$83:$AA$99,0),MATCH('County Scaled Consumption '!E$2,Production_Consumption!$AA$83:$AJ$83,0)))*'CA Population'!$L50*10^6</f>
        <v>13368.427631138071</v>
      </c>
      <c r="F50" s="143">
        <f>(INDEX(Production_Consumption!$AA$83:$AJ$99,MATCH('County Scaled Consumption '!$B50,Production_Consumption!$AA$83:$AA$99,0),MATCH('County Scaled Consumption '!F$2,Production_Consumption!$AA$83:$AJ$83,0)))*'CA Population'!$L50*10^6</f>
        <v>6873.0704027893562</v>
      </c>
      <c r="G50" s="143">
        <f>(INDEX(Production_Consumption!$AA$83:$AJ$99,MATCH('County Scaled Consumption '!$B50,Production_Consumption!$AA$83:$AA$99,0),MATCH('County Scaled Consumption '!G$2,Production_Consumption!$AA$83:$AJ$83,0)))*'CA Population'!$L50*10^6</f>
        <v>15193.565868042593</v>
      </c>
      <c r="H50" s="143">
        <f>(INDEX(Production_Consumption!$AA$83:$AJ$99,MATCH('County Scaled Consumption '!$B50,Production_Consumption!$AA$83:$AA$99,0),MATCH('County Scaled Consumption '!H$2,Production_Consumption!$AA$83:$AJ$83,0)))*'CA Population'!$L50*10^6</f>
        <v>398.4897645504463</v>
      </c>
      <c r="I50" s="143">
        <f>(INDEX(Production_Consumption!$AA$83:$AJ$99,MATCH('County Scaled Consumption '!$B50,Production_Consumption!$AA$83:$AA$99,0),MATCH('County Scaled Consumption '!I$2,Production_Consumption!$AA$83:$AJ$83,0)))*'CA Population'!$L50*10^6</f>
        <v>8373.2797878825422</v>
      </c>
      <c r="J50" s="143">
        <f>(INDEX(Production_Consumption!$AA$83:$AJ$99,MATCH('County Scaled Consumption '!$B50,Production_Consumption!$AA$83:$AA$99,0),MATCH('County Scaled Consumption '!J$2,Production_Consumption!$AA$83:$AJ$83,0)))*'CA Population'!$L50*10^6</f>
        <v>5766.8963032353176</v>
      </c>
      <c r="K50" s="143">
        <f>(INDEX(Production_Consumption!$AA$83:$AJ$99,MATCH('County Scaled Consumption '!$B50,Production_Consumption!$AA$83:$AA$99,0),MATCH('County Scaled Consumption '!K$2,Production_Consumption!$AA$83:$AJ$83,0)))*'CA Population'!$L50*10^6</f>
        <v>77688.190063988906</v>
      </c>
      <c r="L50" s="131">
        <f t="shared" si="0"/>
        <v>0</v>
      </c>
    </row>
    <row r="51" spans="1:12" x14ac:dyDescent="0.2">
      <c r="A51" s="132" t="s">
        <v>353</v>
      </c>
      <c r="B51" s="129">
        <v>2020</v>
      </c>
      <c r="C51" s="143">
        <f>(INDEX(Production_Consumption!$AA$83:$AJ$99,MATCH('County Scaled Consumption '!$B51,Production_Consumption!$AA$83:$AA$99,0),MATCH('County Scaled Consumption '!C$2,Production_Consumption!$AA$83:$AJ$83,0)))*'CA Population'!$L51*10^6</f>
        <v>6086.8510452277415</v>
      </c>
      <c r="D51" s="143">
        <f>(INDEX(Production_Consumption!$AA$83:$AJ$99,MATCH('County Scaled Consumption '!$B51,Production_Consumption!$AA$83:$AA$99,0),MATCH('County Scaled Consumption '!D$2,Production_Consumption!$AA$83:$AJ$83,0)))*'CA Population'!$L51*10^6</f>
        <v>24917.861790667936</v>
      </c>
      <c r="E51" s="143">
        <f>(INDEX(Production_Consumption!$AA$83:$AJ$99,MATCH('County Scaled Consumption '!$B51,Production_Consumption!$AA$83:$AA$99,0),MATCH('County Scaled Consumption '!E$2,Production_Consumption!$AA$83:$AJ$83,0)))*'CA Population'!$L51*10^6</f>
        <v>14955.523405083697</v>
      </c>
      <c r="F51" s="143">
        <f>(INDEX(Production_Consumption!$AA$83:$AJ$99,MATCH('County Scaled Consumption '!$B51,Production_Consumption!$AA$83:$AA$99,0),MATCH('County Scaled Consumption '!F$2,Production_Consumption!$AA$83:$AJ$83,0)))*'CA Population'!$L51*10^6</f>
        <v>7689.0392879325918</v>
      </c>
      <c r="G51" s="143">
        <f>(INDEX(Production_Consumption!$AA$83:$AJ$99,MATCH('County Scaled Consumption '!$B51,Production_Consumption!$AA$83:$AA$99,0),MATCH('County Scaled Consumption '!G$2,Production_Consumption!$AA$83:$AJ$83,0)))*'CA Population'!$L51*10^6</f>
        <v>16997.341513591877</v>
      </c>
      <c r="H51" s="143">
        <f>(INDEX(Production_Consumption!$AA$83:$AJ$99,MATCH('County Scaled Consumption '!$B51,Production_Consumption!$AA$83:$AA$99,0),MATCH('County Scaled Consumption '!H$2,Production_Consumption!$AA$83:$AJ$83,0)))*'CA Population'!$L51*10^6</f>
        <v>445.79835152334533</v>
      </c>
      <c r="I51" s="143">
        <f>(INDEX(Production_Consumption!$AA$83:$AJ$99,MATCH('County Scaled Consumption '!$B51,Production_Consumption!$AA$83:$AA$99,0),MATCH('County Scaled Consumption '!I$2,Production_Consumption!$AA$83:$AJ$83,0)))*'CA Population'!$L51*10^6</f>
        <v>9367.3530874573717</v>
      </c>
      <c r="J51" s="143">
        <f>(INDEX(Production_Consumption!$AA$83:$AJ$99,MATCH('County Scaled Consumption '!$B51,Production_Consumption!$AA$83:$AA$99,0),MATCH('County Scaled Consumption '!J$2,Production_Consumption!$AA$83:$AJ$83,0)))*'CA Population'!$L51*10^6</f>
        <v>6451.5405264892879</v>
      </c>
      <c r="K51" s="143">
        <f>(INDEX(Production_Consumption!$AA$83:$AJ$99,MATCH('County Scaled Consumption '!$B51,Production_Consumption!$AA$83:$AA$99,0),MATCH('County Scaled Consumption '!K$2,Production_Consumption!$AA$83:$AJ$83,0)))*'CA Population'!$L51*10^6</f>
        <v>86911.309007973861</v>
      </c>
      <c r="L51" s="131">
        <f t="shared" si="0"/>
        <v>0</v>
      </c>
    </row>
    <row r="52" spans="1:12" x14ac:dyDescent="0.2">
      <c r="A52" s="132" t="s">
        <v>354</v>
      </c>
      <c r="B52" s="129">
        <v>2020</v>
      </c>
      <c r="C52" s="143">
        <f>(INDEX(Production_Consumption!$AA$83:$AJ$99,MATCH('County Scaled Consumption '!$B52,Production_Consumption!$AA$83:$AA$99,0),MATCH('County Scaled Consumption '!C$2,Production_Consumption!$AA$83:$AJ$83,0)))*'CA Population'!$L52*10^6</f>
        <v>6874.4374470936964</v>
      </c>
      <c r="D52" s="143">
        <f>(INDEX(Production_Consumption!$AA$83:$AJ$99,MATCH('County Scaled Consumption '!$B52,Production_Consumption!$AA$83:$AA$99,0),MATCH('County Scaled Consumption '!D$2,Production_Consumption!$AA$83:$AJ$83,0)))*'CA Population'!$L52*10^6</f>
        <v>28142.019727848252</v>
      </c>
      <c r="E52" s="143">
        <f>(INDEX(Production_Consumption!$AA$83:$AJ$99,MATCH('County Scaled Consumption '!$B52,Production_Consumption!$AA$83:$AA$99,0),MATCH('County Scaled Consumption '!E$2,Production_Consumption!$AA$83:$AJ$83,0)))*'CA Population'!$L52*10^6</f>
        <v>16890.640065424319</v>
      </c>
      <c r="F52" s="143">
        <f>(INDEX(Production_Consumption!$AA$83:$AJ$99,MATCH('County Scaled Consumption '!$B52,Production_Consumption!$AA$83:$AA$99,0),MATCH('County Scaled Consumption '!F$2,Production_Consumption!$AA$83:$AJ$83,0)))*'CA Population'!$L52*10^6</f>
        <v>8683.9351284241511</v>
      </c>
      <c r="G52" s="143">
        <f>(INDEX(Production_Consumption!$AA$83:$AJ$99,MATCH('County Scaled Consumption '!$B52,Production_Consumption!$AA$83:$AA$99,0),MATCH('County Scaled Consumption '!G$2,Production_Consumption!$AA$83:$AJ$83,0)))*'CA Population'!$L52*10^6</f>
        <v>19196.651952521101</v>
      </c>
      <c r="H52" s="143">
        <f>(INDEX(Production_Consumption!$AA$83:$AJ$99,MATCH('County Scaled Consumption '!$B52,Production_Consumption!$AA$83:$AA$99,0),MATCH('County Scaled Consumption '!H$2,Production_Consumption!$AA$83:$AJ$83,0)))*'CA Population'!$L52*10^6</f>
        <v>503.4808407160653</v>
      </c>
      <c r="I52" s="143">
        <f>(INDEX(Production_Consumption!$AA$83:$AJ$99,MATCH('County Scaled Consumption '!$B52,Production_Consumption!$AA$83:$AA$99,0),MATCH('County Scaled Consumption '!I$2,Production_Consumption!$AA$83:$AJ$83,0)))*'CA Population'!$L52*10^6</f>
        <v>10579.40836174287</v>
      </c>
      <c r="J52" s="143">
        <f>(INDEX(Production_Consumption!$AA$83:$AJ$99,MATCH('County Scaled Consumption '!$B52,Production_Consumption!$AA$83:$AA$99,0),MATCH('County Scaled Consumption '!J$2,Production_Consumption!$AA$83:$AJ$83,0)))*'CA Population'!$L52*10^6</f>
        <v>7286.314624293741</v>
      </c>
      <c r="K52" s="143">
        <f>(INDEX(Production_Consumption!$AA$83:$AJ$99,MATCH('County Scaled Consumption '!$B52,Production_Consumption!$AA$83:$AA$99,0),MATCH('County Scaled Consumption '!K$2,Production_Consumption!$AA$83:$AJ$83,0)))*'CA Population'!$L52*10^6</f>
        <v>98156.888148064216</v>
      </c>
      <c r="L52" s="131">
        <f t="shared" si="0"/>
        <v>0</v>
      </c>
    </row>
    <row r="53" spans="1:12" x14ac:dyDescent="0.2">
      <c r="A53" s="132" t="s">
        <v>355</v>
      </c>
      <c r="B53" s="129">
        <v>2020</v>
      </c>
      <c r="C53" s="143">
        <f>(INDEX(Production_Consumption!$AA$83:$AJ$99,MATCH('County Scaled Consumption '!$B53,Production_Consumption!$AA$83:$AA$99,0),MATCH('County Scaled Consumption '!C$2,Production_Consumption!$AA$83:$AJ$83,0)))*'CA Population'!$L53*10^6</f>
        <v>1255.3788064660794</v>
      </c>
      <c r="D53" s="143">
        <f>(INDEX(Production_Consumption!$AA$83:$AJ$99,MATCH('County Scaled Consumption '!$B53,Production_Consumption!$AA$83:$AA$99,0),MATCH('County Scaled Consumption '!D$2,Production_Consumption!$AA$83:$AJ$83,0)))*'CA Population'!$L53*10^6</f>
        <v>5139.1689006388424</v>
      </c>
      <c r="E53" s="143">
        <f>(INDEX(Production_Consumption!$AA$83:$AJ$99,MATCH('County Scaled Consumption '!$B53,Production_Consumption!$AA$83:$AA$99,0),MATCH('County Scaled Consumption '!E$2,Production_Consumption!$AA$83:$AJ$83,0)))*'CA Population'!$L53*10^6</f>
        <v>3084.4926190644155</v>
      </c>
      <c r="F53" s="143">
        <f>(INDEX(Production_Consumption!$AA$83:$AJ$99,MATCH('County Scaled Consumption '!$B53,Production_Consumption!$AA$83:$AA$99,0),MATCH('County Scaled Consumption '!F$2,Production_Consumption!$AA$83:$AJ$83,0)))*'CA Population'!$L53*10^6</f>
        <v>1585.821123670105</v>
      </c>
      <c r="G53" s="143">
        <f>(INDEX(Production_Consumption!$AA$83:$AJ$99,MATCH('County Scaled Consumption '!$B53,Production_Consumption!$AA$83:$AA$99,0),MATCH('County Scaled Consumption '!G$2,Production_Consumption!$AA$83:$AJ$83,0)))*'CA Population'!$L53*10^6</f>
        <v>3505.6061243948093</v>
      </c>
      <c r="H53" s="143">
        <f>(INDEX(Production_Consumption!$AA$83:$AJ$99,MATCH('County Scaled Consumption '!$B53,Production_Consumption!$AA$83:$AA$99,0),MATCH('County Scaled Consumption '!H$2,Production_Consumption!$AA$83:$AJ$83,0)))*'CA Population'!$L53*10^6</f>
        <v>91.943403625541436</v>
      </c>
      <c r="I53" s="143">
        <f>(INDEX(Production_Consumption!$AA$83:$AJ$99,MATCH('County Scaled Consumption '!$B53,Production_Consumption!$AA$83:$AA$99,0),MATCH('County Scaled Consumption '!I$2,Production_Consumption!$AA$83:$AJ$83,0)))*'CA Population'!$L53*10^6</f>
        <v>1931.9639089736575</v>
      </c>
      <c r="J53" s="143">
        <f>(INDEX(Production_Consumption!$AA$83:$AJ$99,MATCH('County Scaled Consumption '!$B53,Production_Consumption!$AA$83:$AA$99,0),MATCH('County Scaled Consumption '!J$2,Production_Consumption!$AA$83:$AJ$83,0)))*'CA Population'!$L53*10^6</f>
        <v>1330.5939616119902</v>
      </c>
      <c r="K53" s="143">
        <f>(INDEX(Production_Consumption!$AA$83:$AJ$99,MATCH('County Scaled Consumption '!$B53,Production_Consumption!$AA$83:$AA$99,0),MATCH('County Scaled Consumption '!K$2,Production_Consumption!$AA$83:$AJ$83,0)))*'CA Population'!$L53*10^6</f>
        <v>17924.968848445442</v>
      </c>
      <c r="L53" s="131">
        <f t="shared" si="0"/>
        <v>0</v>
      </c>
    </row>
    <row r="54" spans="1:12" x14ac:dyDescent="0.2">
      <c r="A54" s="132" t="s">
        <v>356</v>
      </c>
      <c r="B54" s="129">
        <v>2020</v>
      </c>
      <c r="C54" s="143">
        <f>(INDEX(Production_Consumption!$AA$83:$AJ$99,MATCH('County Scaled Consumption '!$B54,Production_Consumption!$AA$83:$AA$99,0),MATCH('County Scaled Consumption '!C$2,Production_Consumption!$AA$83:$AJ$83,0)))*'CA Population'!$L54*10^6</f>
        <v>806.77528049329374</v>
      </c>
      <c r="D54" s="143">
        <f>(INDEX(Production_Consumption!$AA$83:$AJ$99,MATCH('County Scaled Consumption '!$B54,Production_Consumption!$AA$83:$AA$99,0),MATCH('County Scaled Consumption '!D$2,Production_Consumption!$AA$83:$AJ$83,0)))*'CA Population'!$L54*10^6</f>
        <v>3302.7118268682862</v>
      </c>
      <c r="E54" s="143">
        <f>(INDEX(Production_Consumption!$AA$83:$AJ$99,MATCH('County Scaled Consumption '!$B54,Production_Consumption!$AA$83:$AA$99,0),MATCH('County Scaled Consumption '!E$2,Production_Consumption!$AA$83:$AJ$83,0)))*'CA Population'!$L54*10^6</f>
        <v>1982.2641461746132</v>
      </c>
      <c r="F54" s="143">
        <f>(INDEX(Production_Consumption!$AA$83:$AJ$99,MATCH('County Scaled Consumption '!$B54,Production_Consumption!$AA$83:$AA$99,0),MATCH('County Scaled Consumption '!F$2,Production_Consumption!$AA$83:$AJ$83,0)))*'CA Population'!$L54*10^6</f>
        <v>1019.135638797889</v>
      </c>
      <c r="G54" s="143">
        <f>(INDEX(Production_Consumption!$AA$83:$AJ$99,MATCH('County Scaled Consumption '!$B54,Production_Consumption!$AA$83:$AA$99,0),MATCH('County Scaled Consumption '!G$2,Production_Consumption!$AA$83:$AJ$83,0)))*'CA Population'!$L54*10^6</f>
        <v>2252.894783423325</v>
      </c>
      <c r="H54" s="143">
        <f>(INDEX(Production_Consumption!$AA$83:$AJ$99,MATCH('County Scaled Consumption '!$B54,Production_Consumption!$AA$83:$AA$99,0),MATCH('County Scaled Consumption '!H$2,Production_Consumption!$AA$83:$AJ$83,0)))*'CA Population'!$L54*10^6</f>
        <v>59.087874406862227</v>
      </c>
      <c r="I54" s="143">
        <f>(INDEX(Production_Consumption!$AA$83:$AJ$99,MATCH('County Scaled Consumption '!$B54,Production_Consumption!$AA$83:$AA$99,0),MATCH('County Scaled Consumption '!I$2,Production_Consumption!$AA$83:$AJ$83,0)))*'CA Population'!$L54*10^6</f>
        <v>1241.585979098061</v>
      </c>
      <c r="J54" s="143">
        <f>(INDEX(Production_Consumption!$AA$83:$AJ$99,MATCH('County Scaled Consumption '!$B54,Production_Consumption!$AA$83:$AA$99,0),MATCH('County Scaled Consumption '!J$2,Production_Consumption!$AA$83:$AJ$83,0)))*'CA Population'!$L54*10^6</f>
        <v>855.11266485698968</v>
      </c>
      <c r="K54" s="143">
        <f>(INDEX(Production_Consumption!$AA$83:$AJ$99,MATCH('County Scaled Consumption '!$B54,Production_Consumption!$AA$83:$AA$99,0),MATCH('County Scaled Consumption '!K$2,Production_Consumption!$AA$83:$AJ$83,0)))*'CA Population'!$L54*10^6</f>
        <v>11519.56819411932</v>
      </c>
      <c r="L54" s="131">
        <f t="shared" si="0"/>
        <v>0</v>
      </c>
    </row>
    <row r="55" spans="1:12" x14ac:dyDescent="0.2">
      <c r="A55" s="132" t="s">
        <v>357</v>
      </c>
      <c r="B55" s="129">
        <v>2020</v>
      </c>
      <c r="C55" s="143">
        <f>(INDEX(Production_Consumption!$AA$83:$AJ$99,MATCH('County Scaled Consumption '!$B55,Production_Consumption!$AA$83:$AA$99,0),MATCH('County Scaled Consumption '!C$2,Production_Consumption!$AA$83:$AJ$83,0)))*'CA Population'!$L55*10^6</f>
        <v>167.86862122600226</v>
      </c>
      <c r="D55" s="143">
        <f>(INDEX(Production_Consumption!$AA$83:$AJ$99,MATCH('County Scaled Consumption '!$B55,Production_Consumption!$AA$83:$AA$99,0),MATCH('County Scaled Consumption '!D$2,Production_Consumption!$AA$83:$AJ$83,0)))*'CA Population'!$L55*10^6</f>
        <v>687.20707499143418</v>
      </c>
      <c r="E55" s="143">
        <f>(INDEX(Production_Consumption!$AA$83:$AJ$99,MATCH('County Scaled Consumption '!$B55,Production_Consumption!$AA$83:$AA$99,0),MATCH('County Scaled Consumption '!E$2,Production_Consumption!$AA$83:$AJ$83,0)))*'CA Population'!$L55*10^6</f>
        <v>412.45679828044376</v>
      </c>
      <c r="F55" s="143">
        <f>(INDEX(Production_Consumption!$AA$83:$AJ$99,MATCH('County Scaled Consumption '!$B55,Production_Consumption!$AA$83:$AA$99,0),MATCH('County Scaled Consumption '!F$2,Production_Consumption!$AA$83:$AJ$83,0)))*'CA Population'!$L55*10^6</f>
        <v>212.05520132282334</v>
      </c>
      <c r="G55" s="143">
        <f>(INDEX(Production_Consumption!$AA$83:$AJ$99,MATCH('County Scaled Consumption '!$B55,Production_Consumption!$AA$83:$AA$99,0),MATCH('County Scaled Consumption '!G$2,Production_Consumption!$AA$83:$AJ$83,0)))*'CA Population'!$L55*10^6</f>
        <v>468.76788395064148</v>
      </c>
      <c r="H55" s="143">
        <f>(INDEX(Production_Consumption!$AA$83:$AJ$99,MATCH('County Scaled Consumption '!$B55,Production_Consumption!$AA$83:$AA$99,0),MATCH('County Scaled Consumption '!H$2,Production_Consumption!$AA$83:$AJ$83,0)))*'CA Population'!$L55*10^6</f>
        <v>12.294625588664898</v>
      </c>
      <c r="I55" s="143">
        <f>(INDEX(Production_Consumption!$AA$83:$AJ$99,MATCH('County Scaled Consumption '!$B55,Production_Consumption!$AA$83:$AA$99,0),MATCH('County Scaled Consumption '!I$2,Production_Consumption!$AA$83:$AJ$83,0)))*'CA Population'!$L55*10^6</f>
        <v>258.3412401000802</v>
      </c>
      <c r="J55" s="143">
        <f>(INDEX(Production_Consumption!$AA$83:$AJ$99,MATCH('County Scaled Consumption '!$B55,Production_Consumption!$AA$83:$AA$99,0),MATCH('County Scaled Consumption '!J$2,Production_Consumption!$AA$83:$AJ$83,0)))*'CA Population'!$L55*10^6</f>
        <v>177.9263538598573</v>
      </c>
      <c r="K55" s="143">
        <f>(INDEX(Production_Consumption!$AA$83:$AJ$99,MATCH('County Scaled Consumption '!$B55,Production_Consumption!$AA$83:$AA$99,0),MATCH('County Scaled Consumption '!K$2,Production_Consumption!$AA$83:$AJ$83,0)))*'CA Population'!$L55*10^6</f>
        <v>2396.9177993199478</v>
      </c>
      <c r="L55" s="131">
        <f t="shared" si="0"/>
        <v>0</v>
      </c>
    </row>
    <row r="56" spans="1:12" x14ac:dyDescent="0.2">
      <c r="A56" s="132" t="s">
        <v>358</v>
      </c>
      <c r="B56" s="129">
        <v>2020</v>
      </c>
      <c r="C56" s="143">
        <f>(INDEX(Production_Consumption!$AA$83:$AJ$99,MATCH('County Scaled Consumption '!$B56,Production_Consumption!$AA$83:$AA$99,0),MATCH('County Scaled Consumption '!C$2,Production_Consumption!$AA$83:$AJ$83,0)))*'CA Population'!$L56*10^6</f>
        <v>5938.8030862378537</v>
      </c>
      <c r="D56" s="143">
        <f>(INDEX(Production_Consumption!$AA$83:$AJ$99,MATCH('County Scaled Consumption '!$B56,Production_Consumption!$AA$83:$AA$99,0),MATCH('County Scaled Consumption '!D$2,Production_Consumption!$AA$83:$AJ$83,0)))*'CA Population'!$L56*10^6</f>
        <v>24311.794950344516</v>
      </c>
      <c r="E56" s="143">
        <f>(INDEX(Production_Consumption!$AA$83:$AJ$99,MATCH('County Scaled Consumption '!$B56,Production_Consumption!$AA$83:$AA$99,0),MATCH('County Scaled Consumption '!E$2,Production_Consumption!$AA$83:$AJ$83,0)))*'CA Population'!$L56*10^6</f>
        <v>14591.766398497499</v>
      </c>
      <c r="F56" s="143">
        <f>(INDEX(Production_Consumption!$AA$83:$AJ$99,MATCH('County Scaled Consumption '!$B56,Production_Consumption!$AA$83:$AA$99,0),MATCH('County Scaled Consumption '!F$2,Production_Consumption!$AA$83:$AJ$83,0)))*'CA Population'!$L56*10^6</f>
        <v>7502.0219673651736</v>
      </c>
      <c r="G56" s="143">
        <f>(INDEX(Production_Consumption!$AA$83:$AJ$99,MATCH('County Scaled Consumption '!$B56,Production_Consumption!$AA$83:$AA$99,0),MATCH('County Scaled Consumption '!G$2,Production_Consumption!$AA$83:$AJ$83,0)))*'CA Population'!$L56*10^6</f>
        <v>16583.922210138688</v>
      </c>
      <c r="H56" s="143">
        <f>(INDEX(Production_Consumption!$AA$83:$AJ$99,MATCH('County Scaled Consumption '!$B56,Production_Consumption!$AA$83:$AA$99,0),MATCH('County Scaled Consumption '!H$2,Production_Consumption!$AA$83:$AJ$83,0)))*'CA Population'!$L56*10^6</f>
        <v>434.95538270848778</v>
      </c>
      <c r="I56" s="143">
        <f>(INDEX(Production_Consumption!$AA$83:$AJ$99,MATCH('County Scaled Consumption '!$B56,Production_Consumption!$AA$83:$AA$99,0),MATCH('County Scaled Consumption '!I$2,Production_Consumption!$AA$83:$AJ$83,0)))*'CA Population'!$L56*10^6</f>
        <v>9139.5148348977018</v>
      </c>
      <c r="J56" s="143">
        <f>(INDEX(Production_Consumption!$AA$83:$AJ$99,MATCH('County Scaled Consumption '!$B56,Production_Consumption!$AA$83:$AA$99,0),MATCH('County Scaled Consumption '!J$2,Production_Consumption!$AA$83:$AJ$83,0)))*'CA Population'!$L56*10^6</f>
        <v>6294.6223761698157</v>
      </c>
      <c r="K56" s="143">
        <f>(INDEX(Production_Consumption!$AA$83:$AJ$99,MATCH('County Scaled Consumption '!$B56,Production_Consumption!$AA$83:$AA$99,0),MATCH('County Scaled Consumption '!K$2,Production_Consumption!$AA$83:$AJ$83,0)))*'CA Population'!$L56*10^6</f>
        <v>84797.401206359747</v>
      </c>
      <c r="L56" s="131">
        <f t="shared" si="0"/>
        <v>0</v>
      </c>
    </row>
    <row r="57" spans="1:12" x14ac:dyDescent="0.2">
      <c r="A57" s="132" t="s">
        <v>359</v>
      </c>
      <c r="B57" s="129">
        <v>2020</v>
      </c>
      <c r="C57" s="143">
        <f>(INDEX(Production_Consumption!$AA$83:$AJ$99,MATCH('County Scaled Consumption '!$B57,Production_Consumption!$AA$83:$AA$99,0),MATCH('County Scaled Consumption '!C$2,Production_Consumption!$AA$83:$AJ$83,0)))*'CA Population'!$L57*10^6</f>
        <v>680.40617082415872</v>
      </c>
      <c r="D57" s="143">
        <f>(INDEX(Production_Consumption!$AA$83:$AJ$99,MATCH('County Scaled Consumption '!$B57,Production_Consumption!$AA$83:$AA$99,0),MATCH('County Scaled Consumption '!D$2,Production_Consumption!$AA$83:$AJ$83,0)))*'CA Population'!$L57*10^6</f>
        <v>2785.3921182130121</v>
      </c>
      <c r="E57" s="143">
        <f>(INDEX(Production_Consumption!$AA$83:$AJ$99,MATCH('County Scaled Consumption '!$B57,Production_Consumption!$AA$83:$AA$99,0),MATCH('County Scaled Consumption '!E$2,Production_Consumption!$AA$83:$AJ$83,0)))*'CA Population'!$L57*10^6</f>
        <v>1671.772536753994</v>
      </c>
      <c r="F57" s="143">
        <f>(INDEX(Production_Consumption!$AA$83:$AJ$99,MATCH('County Scaled Consumption '!$B57,Production_Consumption!$AA$83:$AA$99,0),MATCH('County Scaled Consumption '!F$2,Production_Consumption!$AA$83:$AJ$83,0)))*'CA Population'!$L57*10^6</f>
        <v>859.50350030669847</v>
      </c>
      <c r="G57" s="143">
        <f>(INDEX(Production_Consumption!$AA$83:$AJ$99,MATCH('County Scaled Consumption '!$B57,Production_Consumption!$AA$83:$AA$99,0),MATCH('County Scaled Consumption '!G$2,Production_Consumption!$AA$83:$AJ$83,0)))*'CA Population'!$L57*10^6</f>
        <v>1900.0129898892319</v>
      </c>
      <c r="H57" s="143">
        <f>(INDEX(Production_Consumption!$AA$83:$AJ$99,MATCH('County Scaled Consumption '!$B57,Production_Consumption!$AA$83:$AA$99,0),MATCH('County Scaled Consumption '!H$2,Production_Consumption!$AA$83:$AJ$83,0)))*'CA Population'!$L57*10^6</f>
        <v>49.832655188356547</v>
      </c>
      <c r="I57" s="143">
        <f>(INDEX(Production_Consumption!$AA$83:$AJ$99,MATCH('County Scaled Consumption '!$B57,Production_Consumption!$AA$83:$AA$99,0),MATCH('County Scaled Consumption '!I$2,Production_Consumption!$AA$83:$AJ$83,0)))*'CA Population'!$L57*10^6</f>
        <v>1047.1103691607193</v>
      </c>
      <c r="J57" s="143">
        <f>(INDEX(Production_Consumption!$AA$83:$AJ$99,MATCH('County Scaled Consumption '!$B57,Production_Consumption!$AA$83:$AA$99,0),MATCH('County Scaled Consumption '!J$2,Production_Consumption!$AA$83:$AJ$83,0)))*'CA Population'!$L57*10^6</f>
        <v>721.17223715981572</v>
      </c>
      <c r="K57" s="143">
        <f>(INDEX(Production_Consumption!$AA$83:$AJ$99,MATCH('County Scaled Consumption '!$B57,Production_Consumption!$AA$83:$AA$99,0),MATCH('County Scaled Consumption '!K$2,Production_Consumption!$AA$83:$AJ$83,0)))*'CA Population'!$L57*10^6</f>
        <v>9715.2025774959875</v>
      </c>
      <c r="L57" s="131">
        <f t="shared" si="0"/>
        <v>0</v>
      </c>
    </row>
    <row r="58" spans="1:12" x14ac:dyDescent="0.2">
      <c r="A58" s="132" t="s">
        <v>360</v>
      </c>
      <c r="B58" s="129">
        <v>2020</v>
      </c>
      <c r="C58" s="143">
        <f>(INDEX(Production_Consumption!$AA$83:$AJ$99,MATCH('County Scaled Consumption '!$B58,Production_Consumption!$AA$83:$AA$99,0),MATCH('County Scaled Consumption '!C$2,Production_Consumption!$AA$83:$AJ$83,0)))*'CA Population'!$L58*10^6</f>
        <v>10420.948541001873</v>
      </c>
      <c r="D58" s="143">
        <f>(INDEX(Production_Consumption!$AA$83:$AJ$99,MATCH('County Scaled Consumption '!$B58,Production_Consumption!$AA$83:$AA$99,0),MATCH('County Scaled Consumption '!D$2,Production_Consumption!$AA$83:$AJ$83,0)))*'CA Population'!$L58*10^6</f>
        <v>42660.441916996482</v>
      </c>
      <c r="E58" s="143">
        <f>(INDEX(Production_Consumption!$AA$83:$AJ$99,MATCH('County Scaled Consumption '!$B58,Production_Consumption!$AA$83:$AA$99,0),MATCH('County Scaled Consumption '!E$2,Production_Consumption!$AA$83:$AJ$83,0)))*'CA Population'!$L58*10^6</f>
        <v>25604.493793275524</v>
      </c>
      <c r="F58" s="143">
        <f>(INDEX(Production_Consumption!$AA$83:$AJ$99,MATCH('County Scaled Consumption '!$B58,Production_Consumption!$AA$83:$AA$99,0),MATCH('County Scaled Consumption '!F$2,Production_Consumption!$AA$83:$AJ$83,0)))*'CA Population'!$L58*10^6</f>
        <v>13163.963131989087</v>
      </c>
      <c r="G58" s="143">
        <f>(INDEX(Production_Consumption!$AA$83:$AJ$99,MATCH('County Scaled Consumption '!$B58,Production_Consumption!$AA$83:$AA$99,0),MATCH('County Scaled Consumption '!G$2,Production_Consumption!$AA$83:$AJ$83,0)))*'CA Population'!$L58*10^6</f>
        <v>29100.173460930902</v>
      </c>
      <c r="H58" s="143">
        <f>(INDEX(Production_Consumption!$AA$83:$AJ$99,MATCH('County Scaled Consumption '!$B58,Production_Consumption!$AA$83:$AA$99,0),MATCH('County Scaled Consumption '!H$2,Production_Consumption!$AA$83:$AJ$83,0)))*'CA Population'!$L58*10^6</f>
        <v>763.22578725342009</v>
      </c>
      <c r="I58" s="143">
        <f>(INDEX(Production_Consumption!$AA$83:$AJ$99,MATCH('County Scaled Consumption '!$B58,Production_Consumption!$AA$83:$AA$99,0),MATCH('County Scaled Consumption '!I$2,Production_Consumption!$AA$83:$AJ$83,0)))*'CA Population'!$L58*10^6</f>
        <v>16037.307922348858</v>
      </c>
      <c r="J58" s="143">
        <f>(INDEX(Production_Consumption!$AA$83:$AJ$99,MATCH('County Scaled Consumption '!$B58,Production_Consumption!$AA$83:$AA$99,0),MATCH('County Scaled Consumption '!J$2,Production_Consumption!$AA$83:$AJ$83,0)))*'CA Population'!$L58*10^6</f>
        <v>11045.31248377502</v>
      </c>
      <c r="K58" s="143">
        <f>(INDEX(Production_Consumption!$AA$83:$AJ$99,MATCH('County Scaled Consumption '!$B58,Production_Consumption!$AA$83:$AA$99,0),MATCH('County Scaled Consumption '!K$2,Production_Consumption!$AA$83:$AJ$83,0)))*'CA Population'!$L58*10^6</f>
        <v>148795.86703757118</v>
      </c>
      <c r="L58" s="131">
        <f t="shared" si="0"/>
        <v>0</v>
      </c>
    </row>
    <row r="59" spans="1:12" x14ac:dyDescent="0.2">
      <c r="A59" s="132" t="s">
        <v>361</v>
      </c>
      <c r="B59" s="129">
        <v>2020</v>
      </c>
      <c r="C59" s="143">
        <f>(INDEX(Production_Consumption!$AA$83:$AJ$99,MATCH('County Scaled Consumption '!$B59,Production_Consumption!$AA$83:$AA$99,0),MATCH('County Scaled Consumption '!C$2,Production_Consumption!$AA$83:$AJ$83,0)))*'CA Population'!$L59*10^6</f>
        <v>2741.1480355992085</v>
      </c>
      <c r="D59" s="143">
        <f>(INDEX(Production_Consumption!$AA$83:$AJ$99,MATCH('County Scaled Consumption '!$B59,Production_Consumption!$AA$83:$AA$99,0),MATCH('County Scaled Consumption '!D$2,Production_Consumption!$AA$83:$AJ$83,0)))*'CA Population'!$L59*10^6</f>
        <v>11221.491604000044</v>
      </c>
      <c r="E59" s="143">
        <f>(INDEX(Production_Consumption!$AA$83:$AJ$99,MATCH('County Scaled Consumption '!$B59,Production_Consumption!$AA$83:$AA$99,0),MATCH('County Scaled Consumption '!E$2,Production_Consumption!$AA$83:$AJ$83,0)))*'CA Population'!$L59*10^6</f>
        <v>6735.0594418348073</v>
      </c>
      <c r="F59" s="143">
        <f>(INDEX(Production_Consumption!$AA$83:$AJ$99,MATCH('County Scaled Consumption '!$B59,Production_Consumption!$AA$83:$AA$99,0),MATCH('County Scaled Consumption '!F$2,Production_Consumption!$AA$83:$AJ$83,0)))*'CA Population'!$L59*10^6</f>
        <v>3462.6763137708695</v>
      </c>
      <c r="G59" s="143">
        <f>(INDEX(Production_Consumption!$AA$83:$AJ$99,MATCH('County Scaled Consumption '!$B59,Production_Consumption!$AA$83:$AA$99,0),MATCH('County Scaled Consumption '!G$2,Production_Consumption!$AA$83:$AJ$83,0)))*'CA Population'!$L59*10^6</f>
        <v>7654.5703113469226</v>
      </c>
      <c r="H59" s="143">
        <f>(INDEX(Production_Consumption!$AA$83:$AJ$99,MATCH('County Scaled Consumption '!$B59,Production_Consumption!$AA$83:$AA$99,0),MATCH('County Scaled Consumption '!H$2,Production_Consumption!$AA$83:$AJ$83,0)))*'CA Population'!$L59*10^6</f>
        <v>200.76050267562644</v>
      </c>
      <c r="I59" s="143">
        <f>(INDEX(Production_Consumption!$AA$83:$AJ$99,MATCH('County Scaled Consumption '!$B59,Production_Consumption!$AA$83:$AA$99,0),MATCH('County Scaled Consumption '!I$2,Production_Consumption!$AA$83:$AJ$83,0)))*'CA Population'!$L59*10^6</f>
        <v>4218.4869193701834</v>
      </c>
      <c r="J59" s="143">
        <f>(INDEX(Production_Consumption!$AA$83:$AJ$99,MATCH('County Scaled Consumption '!$B59,Production_Consumption!$AA$83:$AA$99,0),MATCH('County Scaled Consumption '!J$2,Production_Consumption!$AA$83:$AJ$83,0)))*'CA Population'!$L59*10^6</f>
        <v>2905.3820291265433</v>
      </c>
      <c r="K59" s="143">
        <f>(INDEX(Production_Consumption!$AA$83:$AJ$99,MATCH('County Scaled Consumption '!$B59,Production_Consumption!$AA$83:$AA$99,0),MATCH('County Scaled Consumption '!K$2,Production_Consumption!$AA$83:$AJ$83,0)))*'CA Population'!$L59*10^6</f>
        <v>39139.575157724212</v>
      </c>
      <c r="L59" s="131">
        <f t="shared" si="0"/>
        <v>0</v>
      </c>
    </row>
    <row r="60" spans="1:12" x14ac:dyDescent="0.2">
      <c r="A60" s="132" t="s">
        <v>362</v>
      </c>
      <c r="B60" s="129">
        <v>2020</v>
      </c>
      <c r="C60" s="143">
        <f>(INDEX(Production_Consumption!$AA$83:$AJ$99,MATCH('County Scaled Consumption '!$B60,Production_Consumption!$AA$83:$AA$99,0),MATCH('County Scaled Consumption '!C$2,Production_Consumption!$AA$83:$AJ$83,0)))*'CA Population'!$L60*10^6</f>
        <v>972.57512009840138</v>
      </c>
      <c r="D60" s="143">
        <f>(INDEX(Production_Consumption!$AA$83:$AJ$99,MATCH('County Scaled Consumption '!$B60,Production_Consumption!$AA$83:$AA$99,0),MATCH('County Scaled Consumption '!D$2,Production_Consumption!$AA$83:$AJ$83,0)))*'CA Population'!$L60*10^6</f>
        <v>3981.4498898662464</v>
      </c>
      <c r="E60" s="143">
        <f>(INDEX(Production_Consumption!$AA$83:$AJ$99,MATCH('County Scaled Consumption '!$B60,Production_Consumption!$AA$83:$AA$99,0),MATCH('County Scaled Consumption '!E$2,Production_Consumption!$AA$83:$AJ$83,0)))*'CA Population'!$L60*10^6</f>
        <v>2389.6379036969702</v>
      </c>
      <c r="F60" s="143">
        <f>(INDEX(Production_Consumption!$AA$83:$AJ$99,MATCH('County Scaled Consumption '!$B60,Production_Consumption!$AA$83:$AA$99,0),MATCH('County Scaled Consumption '!F$2,Production_Consumption!$AA$83:$AJ$83,0)))*'CA Population'!$L60*10^6</f>
        <v>1228.5775113168668</v>
      </c>
      <c r="G60" s="143">
        <f>(INDEX(Production_Consumption!$AA$83:$AJ$99,MATCH('County Scaled Consumption '!$B60,Production_Consumption!$AA$83:$AA$99,0),MATCH('County Scaled Consumption '!G$2,Production_Consumption!$AA$83:$AJ$83,0)))*'CA Population'!$L60*10^6</f>
        <v>2715.885659284545</v>
      </c>
      <c r="H60" s="143">
        <f>(INDEX(Production_Consumption!$AA$83:$AJ$99,MATCH('County Scaled Consumption '!$B60,Production_Consumption!$AA$83:$AA$99,0),MATCH('County Scaled Consumption '!H$2,Production_Consumption!$AA$83:$AJ$83,0)))*'CA Population'!$L60*10^6</f>
        <v>71.230983319760995</v>
      </c>
      <c r="I60" s="143">
        <f>(INDEX(Production_Consumption!$AA$83:$AJ$99,MATCH('County Scaled Consumption '!$B60,Production_Consumption!$AA$83:$AA$99,0),MATCH('County Scaled Consumption '!I$2,Production_Consumption!$AA$83:$AJ$83,0)))*'CA Population'!$L60*10^6</f>
        <v>1496.743469873611</v>
      </c>
      <c r="J60" s="143">
        <f>(INDEX(Production_Consumption!$AA$83:$AJ$99,MATCH('County Scaled Consumption '!$B60,Production_Consumption!$AA$83:$AA$99,0),MATCH('County Scaled Consumption '!J$2,Production_Consumption!$AA$83:$AJ$83,0)))*'CA Population'!$L60*10^6</f>
        <v>1030.8462874723193</v>
      </c>
      <c r="K60" s="143">
        <f>(INDEX(Production_Consumption!$AA$83:$AJ$99,MATCH('County Scaled Consumption '!$B60,Production_Consumption!$AA$83:$AA$99,0),MATCH('County Scaled Consumption '!K$2,Production_Consumption!$AA$83:$AJ$83,0)))*'CA Population'!$L60*10^6</f>
        <v>13886.946824928722</v>
      </c>
      <c r="L60" s="131">
        <f t="shared" si="0"/>
        <v>0</v>
      </c>
    </row>
    <row r="61" spans="1:12" x14ac:dyDescent="0.2">
      <c r="A61" s="132" t="s">
        <v>363</v>
      </c>
      <c r="B61" s="129">
        <v>2020</v>
      </c>
      <c r="C61" s="143">
        <f>(INDEX(Production_Consumption!$AA$83:$AJ$99,MATCH('County Scaled Consumption '!$B61,Production_Consumption!$AA$83:$AA$99,0),MATCH('County Scaled Consumption '!C$2,Production_Consumption!$AA$83:$AJ$83,0)))*'CA Population'!$L61*10^6</f>
        <v>491167.63007418258</v>
      </c>
      <c r="D61" s="143">
        <f>(INDEX(Production_Consumption!$AA$83:$AJ$99,MATCH('County Scaled Consumption '!$B61,Production_Consumption!$AA$83:$AA$99,0),MATCH('County Scaled Consumption '!D$2,Production_Consumption!$AA$83:$AJ$83,0)))*'CA Population'!$L61*10^6</f>
        <v>2010702.5835360291</v>
      </c>
      <c r="E61" s="143">
        <f>(INDEX(Production_Consumption!$AA$83:$AJ$99,MATCH('County Scaled Consumption '!$B61,Production_Consumption!$AA$83:$AA$99,0),MATCH('County Scaled Consumption '!E$2,Production_Consumption!$AA$83:$AJ$83,0)))*'CA Population'!$L61*10^6</f>
        <v>1206809.3884362648</v>
      </c>
      <c r="F61" s="143">
        <f>(INDEX(Production_Consumption!$AA$83:$AJ$99,MATCH('County Scaled Consumption '!$B61,Production_Consumption!$AA$83:$AA$99,0),MATCH('County Scaled Consumption '!F$2,Production_Consumption!$AA$83:$AJ$83,0)))*'CA Population'!$L61*10^6</f>
        <v>620453.36357657297</v>
      </c>
      <c r="G61" s="143">
        <f>(INDEX(Production_Consumption!$AA$83:$AJ$99,MATCH('County Scaled Consumption '!$B61,Production_Consumption!$AA$83:$AA$99,0),MATCH('County Scaled Consumption '!G$2,Production_Consumption!$AA$83:$AJ$83,0)))*'CA Population'!$L61*10^6</f>
        <v>1371570.2728322768</v>
      </c>
      <c r="H61" s="143">
        <f>(INDEX(Production_Consumption!$AA$83:$AJ$99,MATCH('County Scaled Consumption '!$B61,Production_Consumption!$AA$83:$AA$99,0),MATCH('County Scaled Consumption '!H$2,Production_Consumption!$AA$83:$AJ$83,0)))*'CA Population'!$L61*10^6</f>
        <v>35972.905888730573</v>
      </c>
      <c r="I61" s="143">
        <f>(INDEX(Production_Consumption!$AA$83:$AJ$99,MATCH('County Scaled Consumption '!$B61,Production_Consumption!$AA$83:$AA$99,0),MATCH('County Scaled Consumption '!I$2,Production_Consumption!$AA$83:$AJ$83,0)))*'CA Population'!$L61*10^6</f>
        <v>755881.91362786479</v>
      </c>
      <c r="J61" s="143">
        <f>(INDEX(Production_Consumption!$AA$83:$AJ$99,MATCH('County Scaled Consumption '!$B61,Production_Consumption!$AA$83:$AA$99,0),MATCH('County Scaled Consumption '!J$2,Production_Consumption!$AA$83:$AJ$83,0)))*'CA Population'!$L61*10^6</f>
        <v>520595.5997900925</v>
      </c>
      <c r="K61" s="143">
        <f>(INDEX(Production_Consumption!$AA$83:$AJ$99,MATCH('County Scaled Consumption '!$B61,Production_Consumption!$AA$83:$AA$99,0),MATCH('County Scaled Consumption '!K$2,Production_Consumption!$AA$83:$AJ$83,0)))*'CA Population'!$L61*10^6</f>
        <v>7013153.6577620143</v>
      </c>
      <c r="L61" s="131">
        <f t="shared" si="0"/>
        <v>0</v>
      </c>
    </row>
    <row r="62" spans="1:12" x14ac:dyDescent="0.2">
      <c r="A62" s="132" t="s">
        <v>305</v>
      </c>
      <c r="B62" s="129">
        <v>2019</v>
      </c>
      <c r="C62" s="143">
        <f>(INDEX(Production_Consumption!$AA$83:$AJ$99,MATCH('County Scaled Consumption '!$B62,Production_Consumption!$AA$83:$AA$99,0),MATCH('County Scaled Consumption '!C$2,Production_Consumption!$AA$83:$AJ$83,0)))*'CA Population'!$L62*10^6</f>
        <v>21769.056434287701</v>
      </c>
      <c r="D62" s="143">
        <f>(INDEX(Production_Consumption!$AA$83:$AJ$99,MATCH('County Scaled Consumption '!$B62,Production_Consumption!$AA$83:$AA$99,0),MATCH('County Scaled Consumption '!D$2,Production_Consumption!$AA$83:$AJ$83,0)))*'CA Population'!$L62*10^6</f>
        <v>85044.739947766866</v>
      </c>
      <c r="E62" s="143">
        <f>(INDEX(Production_Consumption!$AA$83:$AJ$99,MATCH('County Scaled Consumption '!$B62,Production_Consumption!$AA$83:$AA$99,0),MATCH('County Scaled Consumption '!E$2,Production_Consumption!$AA$83:$AJ$83,0)))*'CA Population'!$L62*10^6</f>
        <v>51729.326933324934</v>
      </c>
      <c r="F62" s="143">
        <f>(INDEX(Production_Consumption!$AA$83:$AJ$99,MATCH('County Scaled Consumption '!$B62,Production_Consumption!$AA$83:$AA$99,0),MATCH('County Scaled Consumption '!F$2,Production_Consumption!$AA$83:$AJ$83,0)))*'CA Population'!$L62*10^6</f>
        <v>14892.245860202047</v>
      </c>
      <c r="G62" s="143">
        <f>(INDEX(Production_Consumption!$AA$83:$AJ$99,MATCH('County Scaled Consumption '!$B62,Production_Consumption!$AA$83:$AA$99,0),MATCH('County Scaled Consumption '!G$2,Production_Consumption!$AA$83:$AJ$83,0)))*'CA Population'!$L62*10^6</f>
        <v>57513.480937459848</v>
      </c>
      <c r="H62" s="143">
        <f>(INDEX(Production_Consumption!$AA$83:$AJ$99,MATCH('County Scaled Consumption '!$B62,Production_Consumption!$AA$83:$AA$99,0),MATCH('County Scaled Consumption '!H$2,Production_Consumption!$AA$83:$AJ$83,0)))*'CA Population'!$L62*10^6</f>
        <v>1552.9080237660573</v>
      </c>
      <c r="I62" s="143">
        <f>(INDEX(Production_Consumption!$AA$83:$AJ$99,MATCH('County Scaled Consumption '!$B62,Production_Consumption!$AA$83:$AA$99,0),MATCH('County Scaled Consumption '!I$2,Production_Consumption!$AA$83:$AJ$83,0)))*'CA Population'!$L62*10^6</f>
        <v>25442.244761781571</v>
      </c>
      <c r="J62" s="143">
        <f>(INDEX(Production_Consumption!$AA$83:$AJ$99,MATCH('County Scaled Consumption '!$B62,Production_Consumption!$AA$83:$AA$99,0),MATCH('County Scaled Consumption '!J$2,Production_Consumption!$AA$83:$AJ$83,0)))*'CA Population'!$L62*10^6</f>
        <v>20199.419671410069</v>
      </c>
      <c r="K62" s="143">
        <f>(INDEX(Production_Consumption!$AA$83:$AJ$99,MATCH('County Scaled Consumption '!$B62,Production_Consumption!$AA$83:$AA$99,0),MATCH('County Scaled Consumption '!K$2,Production_Consumption!$AA$83:$AJ$83,0)))*'CA Population'!$L62*10^6</f>
        <v>278143.42256999906</v>
      </c>
      <c r="L62" s="131">
        <f t="shared" si="0"/>
        <v>0</v>
      </c>
    </row>
    <row r="63" spans="1:12" x14ac:dyDescent="0.2">
      <c r="A63" s="132" t="s">
        <v>306</v>
      </c>
      <c r="B63" s="129">
        <v>2019</v>
      </c>
      <c r="C63" s="143">
        <f>(INDEX(Production_Consumption!$AA$83:$AJ$99,MATCH('County Scaled Consumption '!$B63,Production_Consumption!$AA$83:$AA$99,0),MATCH('County Scaled Consumption '!C$2,Production_Consumption!$AA$83:$AJ$83,0)))*'CA Population'!$L63*10^6</f>
        <v>15.071417975206536</v>
      </c>
      <c r="D63" s="143">
        <f>(INDEX(Production_Consumption!$AA$83:$AJ$99,MATCH('County Scaled Consumption '!$B63,Production_Consumption!$AA$83:$AA$99,0),MATCH('County Scaled Consumption '!D$2,Production_Consumption!$AA$83:$AJ$83,0)))*'CA Population'!$L63*10^6</f>
        <v>58.879208945717387</v>
      </c>
      <c r="E63" s="143">
        <f>(INDEX(Production_Consumption!$AA$83:$AJ$99,MATCH('County Scaled Consumption '!$B63,Production_Consumption!$AA$83:$AA$99,0),MATCH('County Scaled Consumption '!E$2,Production_Consumption!$AA$83:$AJ$83,0)))*'CA Population'!$L63*10^6</f>
        <v>35.813876919363089</v>
      </c>
      <c r="F63" s="143">
        <f>(INDEX(Production_Consumption!$AA$83:$AJ$99,MATCH('County Scaled Consumption '!$B63,Production_Consumption!$AA$83:$AA$99,0),MATCH('County Scaled Consumption '!F$2,Production_Consumption!$AA$83:$AJ$83,0)))*'CA Population'!$L63*10^6</f>
        <v>10.310380820875864</v>
      </c>
      <c r="G63" s="143">
        <f>(INDEX(Production_Consumption!$AA$83:$AJ$99,MATCH('County Scaled Consumption '!$B63,Production_Consumption!$AA$83:$AA$99,0),MATCH('County Scaled Consumption '!G$2,Production_Consumption!$AA$83:$AJ$83,0)))*'CA Population'!$L63*10^6</f>
        <v>39.818432784815073</v>
      </c>
      <c r="H63" s="143">
        <f>(INDEX(Production_Consumption!$AA$83:$AJ$99,MATCH('County Scaled Consumption '!$B63,Production_Consumption!$AA$83:$AA$99,0),MATCH('County Scaled Consumption '!H$2,Production_Consumption!$AA$83:$AJ$83,0)))*'CA Population'!$L63*10^6</f>
        <v>1.07512817442866</v>
      </c>
      <c r="I63" s="143">
        <f>(INDEX(Production_Consumption!$AA$83:$AJ$99,MATCH('County Scaled Consumption '!$B63,Production_Consumption!$AA$83:$AA$99,0),MATCH('County Scaled Consumption '!I$2,Production_Consumption!$AA$83:$AJ$83,0)))*'CA Population'!$L63*10^6</f>
        <v>17.614484403116293</v>
      </c>
      <c r="J63" s="143">
        <f>(INDEX(Production_Consumption!$AA$83:$AJ$99,MATCH('County Scaled Consumption '!$B63,Production_Consumption!$AA$83:$AA$99,0),MATCH('County Scaled Consumption '!J$2,Production_Consumption!$AA$83:$AJ$83,0)))*'CA Population'!$L63*10^6</f>
        <v>13.984707956607927</v>
      </c>
      <c r="K63" s="143">
        <f>(INDEX(Production_Consumption!$AA$83:$AJ$99,MATCH('County Scaled Consumption '!$B63,Production_Consumption!$AA$83:$AA$99,0),MATCH('County Scaled Consumption '!K$2,Production_Consumption!$AA$83:$AJ$83,0)))*'CA Population'!$L63*10^6</f>
        <v>192.56763798013083</v>
      </c>
      <c r="L63" s="131">
        <f t="shared" si="0"/>
        <v>0</v>
      </c>
    </row>
    <row r="64" spans="1:12" x14ac:dyDescent="0.2">
      <c r="A64" s="132" t="s">
        <v>307</v>
      </c>
      <c r="B64" s="129">
        <v>2019</v>
      </c>
      <c r="C64" s="143">
        <f>(INDEX(Production_Consumption!$AA$83:$AJ$99,MATCH('County Scaled Consumption '!$B64,Production_Consumption!$AA$83:$AA$99,0),MATCH('County Scaled Consumption '!C$2,Production_Consumption!$AA$83:$AJ$83,0)))*'CA Population'!$L64*10^6</f>
        <v>495.24495828711747</v>
      </c>
      <c r="D64" s="143">
        <f>(INDEX(Production_Consumption!$AA$83:$AJ$99,MATCH('County Scaled Consumption '!$B64,Production_Consumption!$AA$83:$AA$99,0),MATCH('County Scaled Consumption '!D$2,Production_Consumption!$AA$83:$AJ$83,0)))*'CA Population'!$L64*10^6</f>
        <v>1934.7636318141913</v>
      </c>
      <c r="E64" s="143">
        <f>(INDEX(Production_Consumption!$AA$83:$AJ$99,MATCH('County Scaled Consumption '!$B64,Production_Consumption!$AA$83:$AA$99,0),MATCH('County Scaled Consumption '!E$2,Production_Consumption!$AA$83:$AJ$83,0)))*'CA Population'!$L64*10^6</f>
        <v>1176.839631825477</v>
      </c>
      <c r="F64" s="143">
        <f>(INDEX(Production_Consumption!$AA$83:$AJ$99,MATCH('County Scaled Consumption '!$B64,Production_Consumption!$AA$83:$AA$99,0),MATCH('County Scaled Consumption '!F$2,Production_Consumption!$AA$83:$AJ$83,0)))*'CA Population'!$L64*10^6</f>
        <v>338.79785750477731</v>
      </c>
      <c r="G64" s="143">
        <f>(INDEX(Production_Consumption!$AA$83:$AJ$99,MATCH('County Scaled Consumption '!$B64,Production_Consumption!$AA$83:$AA$99,0),MATCH('County Scaled Consumption '!G$2,Production_Consumption!$AA$83:$AJ$83,0)))*'CA Population'!$L64*10^6</f>
        <v>1308.4288496287882</v>
      </c>
      <c r="H64" s="143">
        <f>(INDEX(Production_Consumption!$AA$83:$AJ$99,MATCH('County Scaled Consumption '!$B64,Production_Consumption!$AA$83:$AA$99,0),MATCH('County Scaled Consumption '!H$2,Production_Consumption!$AA$83:$AJ$83,0)))*'CA Population'!$L64*10^6</f>
        <v>35.328580812644468</v>
      </c>
      <c r="I64" s="143">
        <f>(INDEX(Production_Consumption!$AA$83:$AJ$99,MATCH('County Scaled Consumption '!$B64,Production_Consumption!$AA$83:$AA$99,0),MATCH('County Scaled Consumption '!I$2,Production_Consumption!$AA$83:$AJ$83,0)))*'CA Population'!$L64*10^6</f>
        <v>578.80981124809296</v>
      </c>
      <c r="J64" s="143">
        <f>(INDEX(Production_Consumption!$AA$83:$AJ$99,MATCH('County Scaled Consumption '!$B64,Production_Consumption!$AA$83:$AA$99,0),MATCH('County Scaled Consumption '!J$2,Production_Consumption!$AA$83:$AJ$83,0)))*'CA Population'!$L64*10^6</f>
        <v>459.53579948623928</v>
      </c>
      <c r="K64" s="143">
        <f>(INDEX(Production_Consumption!$AA$83:$AJ$99,MATCH('County Scaled Consumption '!$B64,Production_Consumption!$AA$83:$AA$99,0),MATCH('County Scaled Consumption '!K$2,Production_Consumption!$AA$83:$AJ$83,0)))*'CA Population'!$L64*10^6</f>
        <v>6327.7491206073273</v>
      </c>
      <c r="L64" s="131">
        <f t="shared" si="0"/>
        <v>0</v>
      </c>
    </row>
    <row r="65" spans="1:12" x14ac:dyDescent="0.2">
      <c r="A65" s="132" t="s">
        <v>308</v>
      </c>
      <c r="B65" s="129">
        <v>2019</v>
      </c>
      <c r="C65" s="143">
        <f>(INDEX(Production_Consumption!$AA$83:$AJ$99,MATCH('County Scaled Consumption '!$B65,Production_Consumption!$AA$83:$AA$99,0),MATCH('County Scaled Consumption '!C$2,Production_Consumption!$AA$83:$AJ$83,0)))*'CA Population'!$L65*10^6</f>
        <v>2896.9521470097825</v>
      </c>
      <c r="D65" s="143">
        <f>(INDEX(Production_Consumption!$AA$83:$AJ$99,MATCH('County Scaled Consumption '!$B65,Production_Consumption!$AA$83:$AA$99,0),MATCH('County Scaled Consumption '!D$2,Production_Consumption!$AA$83:$AJ$83,0)))*'CA Population'!$L65*10^6</f>
        <v>11317.465353965546</v>
      </c>
      <c r="E65" s="143">
        <f>(INDEX(Production_Consumption!$AA$83:$AJ$99,MATCH('County Scaled Consumption '!$B65,Production_Consumption!$AA$83:$AA$99,0),MATCH('County Scaled Consumption '!E$2,Production_Consumption!$AA$83:$AJ$83,0)))*'CA Population'!$L65*10^6</f>
        <v>6883.9632611191782</v>
      </c>
      <c r="F65" s="143">
        <f>(INDEX(Production_Consumption!$AA$83:$AJ$99,MATCH('County Scaled Consumption '!$B65,Production_Consumption!$AA$83:$AA$99,0),MATCH('County Scaled Consumption '!F$2,Production_Consumption!$AA$83:$AJ$83,0)))*'CA Population'!$L65*10^6</f>
        <v>1981.8095354173533</v>
      </c>
      <c r="G65" s="143">
        <f>(INDEX(Production_Consumption!$AA$83:$AJ$99,MATCH('County Scaled Consumption '!$B65,Production_Consumption!$AA$83:$AA$99,0),MATCH('County Scaled Consumption '!G$2,Production_Consumption!$AA$83:$AJ$83,0)))*'CA Population'!$L65*10^6</f>
        <v>7653.6988448131697</v>
      </c>
      <c r="H65" s="143">
        <f>(INDEX(Production_Consumption!$AA$83:$AJ$99,MATCH('County Scaled Consumption '!$B65,Production_Consumption!$AA$83:$AA$99,0),MATCH('County Scaled Consumption '!H$2,Production_Consumption!$AA$83:$AJ$83,0)))*'CA Population'!$L65*10^6</f>
        <v>206.6557292980346</v>
      </c>
      <c r="I65" s="143">
        <f>(INDEX(Production_Consumption!$AA$83:$AJ$99,MATCH('County Scaled Consumption '!$B65,Production_Consumption!$AA$83:$AA$99,0),MATCH('County Scaled Consumption '!I$2,Production_Consumption!$AA$83:$AJ$83,0)))*'CA Population'!$L65*10^6</f>
        <v>3385.7675829854211</v>
      </c>
      <c r="J65" s="143">
        <f>(INDEX(Production_Consumption!$AA$83:$AJ$99,MATCH('County Scaled Consumption '!$B65,Production_Consumption!$AA$83:$AA$99,0),MATCH('County Scaled Consumption '!J$2,Production_Consumption!$AA$83:$AJ$83,0)))*'CA Population'!$L65*10^6</f>
        <v>2688.0702138874185</v>
      </c>
      <c r="K65" s="143">
        <f>(INDEX(Production_Consumption!$AA$83:$AJ$99,MATCH('County Scaled Consumption '!$B65,Production_Consumption!$AA$83:$AA$99,0),MATCH('County Scaled Consumption '!K$2,Production_Consumption!$AA$83:$AJ$83,0)))*'CA Population'!$L65*10^6</f>
        <v>37014.382668495906</v>
      </c>
      <c r="L65" s="131">
        <f t="shared" si="0"/>
        <v>0</v>
      </c>
    </row>
    <row r="66" spans="1:12" x14ac:dyDescent="0.2">
      <c r="A66" s="132" t="s">
        <v>309</v>
      </c>
      <c r="B66" s="129">
        <v>2019</v>
      </c>
      <c r="C66" s="143">
        <f>(INDEX(Production_Consumption!$AA$83:$AJ$99,MATCH('County Scaled Consumption '!$B66,Production_Consumption!$AA$83:$AA$99,0),MATCH('County Scaled Consumption '!C$2,Production_Consumption!$AA$83:$AJ$83,0)))*'CA Population'!$L66*10^6</f>
        <v>591.36623846319549</v>
      </c>
      <c r="D66" s="143">
        <f>(INDEX(Production_Consumption!$AA$83:$AJ$99,MATCH('County Scaled Consumption '!$B66,Production_Consumption!$AA$83:$AA$99,0),MATCH('County Scaled Consumption '!D$2,Production_Consumption!$AA$83:$AJ$83,0)))*'CA Population'!$L66*10^6</f>
        <v>2310.278725943188</v>
      </c>
      <c r="E66" s="143">
        <f>(INDEX(Production_Consumption!$AA$83:$AJ$99,MATCH('County Scaled Consumption '!$B66,Production_Consumption!$AA$83:$AA$99,0),MATCH('County Scaled Consumption '!E$2,Production_Consumption!$AA$83:$AJ$83,0)))*'CA Population'!$L66*10^6</f>
        <v>1405.2505022041476</v>
      </c>
      <c r="F66" s="143">
        <f>(INDEX(Production_Consumption!$AA$83:$AJ$99,MATCH('County Scaled Consumption '!$B66,Production_Consumption!$AA$83:$AA$99,0),MATCH('County Scaled Consumption '!F$2,Production_Consumption!$AA$83:$AJ$83,0)))*'CA Population'!$L66*10^6</f>
        <v>404.55457696115536</v>
      </c>
      <c r="G66" s="143">
        <f>(INDEX(Production_Consumption!$AA$83:$AJ$99,MATCH('County Scaled Consumption '!$B66,Production_Consumption!$AA$83:$AA$99,0),MATCH('County Scaled Consumption '!G$2,Production_Consumption!$AA$83:$AJ$83,0)))*'CA Population'!$L66*10^6</f>
        <v>1562.3796550657987</v>
      </c>
      <c r="H66" s="143">
        <f>(INDEX(Production_Consumption!$AA$83:$AJ$99,MATCH('County Scaled Consumption '!$B66,Production_Consumption!$AA$83:$AA$99,0),MATCH('County Scaled Consumption '!H$2,Production_Consumption!$AA$83:$AJ$83,0)))*'CA Population'!$L66*10^6</f>
        <v>42.185447011263463</v>
      </c>
      <c r="I66" s="143">
        <f>(INDEX(Production_Consumption!$AA$83:$AJ$99,MATCH('County Scaled Consumption '!$B66,Production_Consumption!$AA$83:$AA$99,0),MATCH('County Scaled Consumption '!I$2,Production_Consumption!$AA$83:$AJ$83,0)))*'CA Population'!$L66*10^6</f>
        <v>691.15005642305925</v>
      </c>
      <c r="J66" s="143">
        <f>(INDEX(Production_Consumption!$AA$83:$AJ$99,MATCH('County Scaled Consumption '!$B66,Production_Consumption!$AA$83:$AA$99,0),MATCH('County Scaled Consumption '!J$2,Production_Consumption!$AA$83:$AJ$83,0)))*'CA Population'!$L66*10^6</f>
        <v>548.726347707321</v>
      </c>
      <c r="K66" s="143">
        <f>(INDEX(Production_Consumption!$AA$83:$AJ$99,MATCH('County Scaled Consumption '!$B66,Production_Consumption!$AA$83:$AA$99,0),MATCH('County Scaled Consumption '!K$2,Production_Consumption!$AA$83:$AJ$83,0)))*'CA Population'!$L66*10^6</f>
        <v>7555.8915497791277</v>
      </c>
      <c r="L66" s="131">
        <f t="shared" si="0"/>
        <v>0</v>
      </c>
    </row>
    <row r="67" spans="1:12" x14ac:dyDescent="0.2">
      <c r="A67" s="132" t="s">
        <v>310</v>
      </c>
      <c r="B67" s="129">
        <v>2019</v>
      </c>
      <c r="C67" s="143">
        <f>(INDEX(Production_Consumption!$AA$83:$AJ$99,MATCH('County Scaled Consumption '!$B67,Production_Consumption!$AA$83:$AA$99,0),MATCH('County Scaled Consumption '!C$2,Production_Consumption!$AA$83:$AJ$83,0)))*'CA Population'!$L67*10^6</f>
        <v>287.81292707744285</v>
      </c>
      <c r="D67" s="143">
        <f>(INDEX(Production_Consumption!$AA$83:$AJ$99,MATCH('County Scaled Consumption '!$B67,Production_Consumption!$AA$83:$AA$99,0),MATCH('County Scaled Consumption '!D$2,Production_Consumption!$AA$83:$AJ$83,0)))*'CA Population'!$L67*10^6</f>
        <v>1124.3930397623419</v>
      </c>
      <c r="E67" s="143">
        <f>(INDEX(Production_Consumption!$AA$83:$AJ$99,MATCH('County Scaled Consumption '!$B67,Production_Consumption!$AA$83:$AA$99,0),MATCH('County Scaled Consumption '!E$2,Production_Consumption!$AA$83:$AJ$83,0)))*'CA Population'!$L67*10^6</f>
        <v>683.92348769770672</v>
      </c>
      <c r="F67" s="143">
        <f>(INDEX(Production_Consumption!$AA$83:$AJ$99,MATCH('County Scaled Consumption '!$B67,Production_Consumption!$AA$83:$AA$99,0),MATCH('County Scaled Consumption '!F$2,Production_Consumption!$AA$83:$AJ$83,0)))*'CA Population'!$L67*10^6</f>
        <v>196.89327760805762</v>
      </c>
      <c r="G67" s="143">
        <f>(INDEX(Production_Consumption!$AA$83:$AJ$99,MATCH('County Scaled Consumption '!$B67,Production_Consumption!$AA$83:$AA$99,0),MATCH('County Scaled Consumption '!G$2,Production_Consumption!$AA$83:$AJ$83,0)))*'CA Population'!$L67*10^6</f>
        <v>760.39691224056764</v>
      </c>
      <c r="H67" s="143">
        <f>(INDEX(Production_Consumption!$AA$83:$AJ$99,MATCH('County Scaled Consumption '!$B67,Production_Consumption!$AA$83:$AA$99,0),MATCH('County Scaled Consumption '!H$2,Production_Consumption!$AA$83:$AJ$83,0)))*'CA Population'!$L67*10^6</f>
        <v>20.531298871465328</v>
      </c>
      <c r="I67" s="143">
        <f>(INDEX(Production_Consumption!$AA$83:$AJ$99,MATCH('County Scaled Consumption '!$B67,Production_Consumption!$AA$83:$AA$99,0),MATCH('County Scaled Consumption '!I$2,Production_Consumption!$AA$83:$AJ$83,0)))*'CA Population'!$L67*10^6</f>
        <v>336.37686403235659</v>
      </c>
      <c r="J67" s="143">
        <f>(INDEX(Production_Consumption!$AA$83:$AJ$99,MATCH('County Scaled Consumption '!$B67,Production_Consumption!$AA$83:$AA$99,0),MATCH('County Scaled Consumption '!J$2,Production_Consumption!$AA$83:$AJ$83,0)))*'CA Population'!$L67*10^6</f>
        <v>267.06045429407408</v>
      </c>
      <c r="K67" s="143">
        <f>(INDEX(Production_Consumption!$AA$83:$AJ$99,MATCH('County Scaled Consumption '!$B67,Production_Consumption!$AA$83:$AA$99,0),MATCH('County Scaled Consumption '!K$2,Production_Consumption!$AA$83:$AJ$83,0)))*'CA Population'!$L67*10^6</f>
        <v>3677.388261584013</v>
      </c>
      <c r="L67" s="131">
        <f t="shared" si="0"/>
        <v>0</v>
      </c>
    </row>
    <row r="68" spans="1:12" x14ac:dyDescent="0.2">
      <c r="A68" s="132" t="s">
        <v>311</v>
      </c>
      <c r="B68" s="129">
        <v>2019</v>
      </c>
      <c r="C68" s="143">
        <f>(INDEX(Production_Consumption!$AA$83:$AJ$99,MATCH('County Scaled Consumption '!$B68,Production_Consumption!$AA$83:$AA$99,0),MATCH('County Scaled Consumption '!C$2,Production_Consumption!$AA$83:$AJ$83,0)))*'CA Population'!$L68*10^6</f>
        <v>15053.355884212751</v>
      </c>
      <c r="D68" s="143">
        <f>(INDEX(Production_Consumption!$AA$83:$AJ$99,MATCH('County Scaled Consumption '!$B68,Production_Consumption!$AA$83:$AA$99,0),MATCH('County Scaled Consumption '!D$2,Production_Consumption!$AA$83:$AJ$83,0)))*'CA Population'!$L68*10^6</f>
        <v>58808.646133952156</v>
      </c>
      <c r="E68" s="143">
        <f>(INDEX(Production_Consumption!$AA$83:$AJ$99,MATCH('County Scaled Consumption '!$B68,Production_Consumption!$AA$83:$AA$99,0),MATCH('County Scaled Consumption '!E$2,Production_Consumption!$AA$83:$AJ$83,0)))*'CA Population'!$L68*10^6</f>
        <v>35770.956372350076</v>
      </c>
      <c r="F68" s="143">
        <f>(INDEX(Production_Consumption!$AA$83:$AJ$99,MATCH('County Scaled Consumption '!$B68,Production_Consumption!$AA$83:$AA$99,0),MATCH('County Scaled Consumption '!F$2,Production_Consumption!$AA$83:$AJ$83,0)))*'CA Population'!$L68*10^6</f>
        <v>10298.024515923431</v>
      </c>
      <c r="G68" s="143">
        <f>(INDEX(Production_Consumption!$AA$83:$AJ$99,MATCH('County Scaled Consumption '!$B68,Production_Consumption!$AA$83:$AA$99,0),MATCH('County Scaled Consumption '!G$2,Production_Consumption!$AA$83:$AJ$83,0)))*'CA Population'!$L68*10^6</f>
        <v>39770.71304421917</v>
      </c>
      <c r="H68" s="143">
        <f>(INDEX(Production_Consumption!$AA$83:$AJ$99,MATCH('County Scaled Consumption '!$B68,Production_Consumption!$AA$83:$AA$99,0),MATCH('County Scaled Consumption '!H$2,Production_Consumption!$AA$83:$AJ$83,0)))*'CA Population'!$L68*10^6</f>
        <v>1073.8397048932482</v>
      </c>
      <c r="I68" s="143">
        <f>(INDEX(Production_Consumption!$AA$83:$AJ$99,MATCH('County Scaled Consumption '!$B68,Production_Consumption!$AA$83:$AA$99,0),MATCH('County Scaled Consumption '!I$2,Production_Consumption!$AA$83:$AJ$83,0)))*'CA Population'!$L68*10^6</f>
        <v>17593.374616325094</v>
      </c>
      <c r="J68" s="143">
        <f>(INDEX(Production_Consumption!$AA$83:$AJ$99,MATCH('County Scaled Consumption '!$B68,Production_Consumption!$AA$83:$AA$99,0),MATCH('County Scaled Consumption '!J$2,Production_Consumption!$AA$83:$AJ$83,0)))*'CA Population'!$L68*10^6</f>
        <v>13967.948215218677</v>
      </c>
      <c r="K68" s="143">
        <f>(INDEX(Production_Consumption!$AA$83:$AJ$99,MATCH('County Scaled Consumption '!$B68,Production_Consumption!$AA$83:$AA$99,0),MATCH('County Scaled Consumption '!K$2,Production_Consumption!$AA$83:$AJ$83,0)))*'CA Population'!$L68*10^6</f>
        <v>192336.85848709458</v>
      </c>
      <c r="L68" s="131">
        <f t="shared" ref="L68:L131" si="1">K68-SUM(C68:J68)</f>
        <v>0</v>
      </c>
    </row>
    <row r="69" spans="1:12" x14ac:dyDescent="0.2">
      <c r="A69" s="132" t="s">
        <v>312</v>
      </c>
      <c r="B69" s="129">
        <v>2019</v>
      </c>
      <c r="C69" s="143">
        <f>(INDEX(Production_Consumption!$AA$83:$AJ$99,MATCH('County Scaled Consumption '!$B69,Production_Consumption!$AA$83:$AA$99,0),MATCH('County Scaled Consumption '!C$2,Production_Consumption!$AA$83:$AJ$83,0)))*'CA Population'!$L69*10^6</f>
        <v>356.06061004088895</v>
      </c>
      <c r="D69" s="143">
        <f>(INDEX(Production_Consumption!$AA$83:$AJ$99,MATCH('County Scaled Consumption '!$B69,Production_Consumption!$AA$83:$AA$99,0),MATCH('County Scaled Consumption '!D$2,Production_Consumption!$AA$83:$AJ$83,0)))*'CA Population'!$L69*10^6</f>
        <v>1391.0149058585712</v>
      </c>
      <c r="E69" s="143">
        <f>(INDEX(Production_Consumption!$AA$83:$AJ$99,MATCH('County Scaled Consumption '!$B69,Production_Consumption!$AA$83:$AA$99,0),MATCH('County Scaled Consumption '!E$2,Production_Consumption!$AA$83:$AJ$83,0)))*'CA Population'!$L69*10^6</f>
        <v>846.09894601924384</v>
      </c>
      <c r="F69" s="143">
        <f>(INDEX(Production_Consumption!$AA$83:$AJ$99,MATCH('County Scaled Consumption '!$B69,Production_Consumption!$AA$83:$AA$99,0),MATCH('County Scaled Consumption '!F$2,Production_Consumption!$AA$83:$AJ$83,0)))*'CA Population'!$L69*10^6</f>
        <v>243.58162522426051</v>
      </c>
      <c r="G69" s="143">
        <f>(INDEX(Production_Consumption!$AA$83:$AJ$99,MATCH('County Scaled Consumption '!$B69,Production_Consumption!$AA$83:$AA$99,0),MATCH('County Scaled Consumption '!G$2,Production_Consumption!$AA$83:$AJ$83,0)))*'CA Population'!$L69*10^6</f>
        <v>940.70614268390329</v>
      </c>
      <c r="H69" s="143">
        <f>(INDEX(Production_Consumption!$AA$83:$AJ$99,MATCH('County Scaled Consumption '!$B69,Production_Consumption!$AA$83:$AA$99,0),MATCH('County Scaled Consumption '!H$2,Production_Consumption!$AA$83:$AJ$83,0)))*'CA Population'!$L69*10^6</f>
        <v>25.399786157411643</v>
      </c>
      <c r="I69" s="143">
        <f>(INDEX(Production_Consumption!$AA$83:$AJ$99,MATCH('County Scaled Consumption '!$B69,Production_Consumption!$AA$83:$AA$99,0),MATCH('County Scaled Consumption '!I$2,Production_Consumption!$AA$83:$AJ$83,0)))*'CA Population'!$L69*10^6</f>
        <v>416.14027773941842</v>
      </c>
      <c r="J69" s="143">
        <f>(INDEX(Production_Consumption!$AA$83:$AJ$99,MATCH('County Scaled Consumption '!$B69,Production_Consumption!$AA$83:$AA$99,0),MATCH('County Scaled Consumption '!J$2,Production_Consumption!$AA$83:$AJ$83,0)))*'CA Population'!$L69*10^6</f>
        <v>330.38720407495407</v>
      </c>
      <c r="K69" s="143">
        <f>(INDEX(Production_Consumption!$AA$83:$AJ$99,MATCH('County Scaled Consumption '!$B69,Production_Consumption!$AA$83:$AA$99,0),MATCH('County Scaled Consumption '!K$2,Production_Consumption!$AA$83:$AJ$83,0)))*'CA Population'!$L69*10^6</f>
        <v>4549.389497798652</v>
      </c>
      <c r="L69" s="131">
        <f t="shared" si="1"/>
        <v>0</v>
      </c>
    </row>
    <row r="70" spans="1:12" x14ac:dyDescent="0.2">
      <c r="A70" s="132" t="s">
        <v>313</v>
      </c>
      <c r="B70" s="129">
        <v>2019</v>
      </c>
      <c r="C70" s="143">
        <f>(INDEX(Production_Consumption!$AA$83:$AJ$99,MATCH('County Scaled Consumption '!$B70,Production_Consumption!$AA$83:$AA$99,0),MATCH('County Scaled Consumption '!C$2,Production_Consumption!$AA$83:$AJ$83,0)))*'CA Population'!$L70*10^6</f>
        <v>2488.1743665229792</v>
      </c>
      <c r="D70" s="143">
        <f>(INDEX(Production_Consumption!$AA$83:$AJ$99,MATCH('County Scaled Consumption '!$B70,Production_Consumption!$AA$83:$AA$99,0),MATCH('County Scaled Consumption '!D$2,Production_Consumption!$AA$83:$AJ$83,0)))*'CA Population'!$L70*10^6</f>
        <v>9720.5013264770023</v>
      </c>
      <c r="E70" s="143">
        <f>(INDEX(Production_Consumption!$AA$83:$AJ$99,MATCH('County Scaled Consumption '!$B70,Production_Consumption!$AA$83:$AA$99,0),MATCH('County Scaled Consumption '!E$2,Production_Consumption!$AA$83:$AJ$83,0)))*'CA Population'!$L70*10^6</f>
        <v>5912.5936698963487</v>
      </c>
      <c r="F70" s="143">
        <f>(INDEX(Production_Consumption!$AA$83:$AJ$99,MATCH('County Scaled Consumption '!$B70,Production_Consumption!$AA$83:$AA$99,0),MATCH('County Scaled Consumption '!F$2,Production_Consumption!$AA$83:$AJ$83,0)))*'CA Population'!$L70*10^6</f>
        <v>1702.1640106986629</v>
      </c>
      <c r="G70" s="143">
        <f>(INDEX(Production_Consumption!$AA$83:$AJ$99,MATCH('County Scaled Consumption '!$B70,Production_Consumption!$AA$83:$AA$99,0),MATCH('County Scaled Consumption '!G$2,Production_Consumption!$AA$83:$AJ$83,0)))*'CA Population'!$L70*10^6</f>
        <v>6573.7148245294647</v>
      </c>
      <c r="H70" s="143">
        <f>(INDEX(Production_Consumption!$AA$83:$AJ$99,MATCH('County Scaled Consumption '!$B70,Production_Consumption!$AA$83:$AA$99,0),MATCH('County Scaled Consumption '!H$2,Production_Consumption!$AA$83:$AJ$83,0)))*'CA Population'!$L70*10^6</f>
        <v>177.49533379943165</v>
      </c>
      <c r="I70" s="143">
        <f>(INDEX(Production_Consumption!$AA$83:$AJ$99,MATCH('County Scaled Consumption '!$B70,Production_Consumption!$AA$83:$AA$99,0),MATCH('County Scaled Consumption '!I$2,Production_Consumption!$AA$83:$AJ$83,0)))*'CA Population'!$L70*10^6</f>
        <v>2908.0149355191757</v>
      </c>
      <c r="J70" s="143">
        <f>(INDEX(Production_Consumption!$AA$83:$AJ$99,MATCH('County Scaled Consumption '!$B70,Production_Consumption!$AA$83:$AA$99,0),MATCH('County Scaled Consumption '!J$2,Production_Consumption!$AA$83:$AJ$83,0)))*'CA Population'!$L70*10^6</f>
        <v>2308.7669599625019</v>
      </c>
      <c r="K70" s="143">
        <f>(INDEX(Production_Consumption!$AA$83:$AJ$99,MATCH('County Scaled Consumption '!$B70,Production_Consumption!$AA$83:$AA$99,0),MATCH('County Scaled Consumption '!K$2,Production_Consumption!$AA$83:$AJ$83,0)))*'CA Population'!$L70*10^6</f>
        <v>31791.425427405567</v>
      </c>
      <c r="L70" s="131">
        <f t="shared" si="1"/>
        <v>0</v>
      </c>
    </row>
    <row r="71" spans="1:12" x14ac:dyDescent="0.2">
      <c r="A71" s="132" t="s">
        <v>314</v>
      </c>
      <c r="B71" s="129">
        <v>2019</v>
      </c>
      <c r="C71" s="143">
        <f>(INDEX(Production_Consumption!$AA$83:$AJ$99,MATCH('County Scaled Consumption '!$B71,Production_Consumption!$AA$83:$AA$99,0),MATCH('County Scaled Consumption '!C$2,Production_Consumption!$AA$83:$AJ$83,0)))*'CA Population'!$L71*10^6</f>
        <v>13287.59957250657</v>
      </c>
      <c r="D71" s="143">
        <f>(INDEX(Production_Consumption!$AA$83:$AJ$99,MATCH('County Scaled Consumption '!$B71,Production_Consumption!$AA$83:$AA$99,0),MATCH('County Scaled Consumption '!D$2,Production_Consumption!$AA$83:$AJ$83,0)))*'CA Population'!$L71*10^6</f>
        <v>51910.401058724397</v>
      </c>
      <c r="E71" s="143">
        <f>(INDEX(Production_Consumption!$AA$83:$AJ$99,MATCH('County Scaled Consumption '!$B71,Production_Consumption!$AA$83:$AA$99,0),MATCH('County Scaled Consumption '!E$2,Production_Consumption!$AA$83:$AJ$83,0)))*'CA Population'!$L71*10^6</f>
        <v>31575.028734946256</v>
      </c>
      <c r="F71" s="143">
        <f>(INDEX(Production_Consumption!$AA$83:$AJ$99,MATCH('County Scaled Consumption '!$B71,Production_Consumption!$AA$83:$AA$99,0),MATCH('County Scaled Consumption '!F$2,Production_Consumption!$AA$83:$AJ$83,0)))*'CA Population'!$L71*10^6</f>
        <v>9090.0678365648346</v>
      </c>
      <c r="G71" s="143">
        <f>(INDEX(Production_Consumption!$AA$83:$AJ$99,MATCH('County Scaled Consumption '!$B71,Production_Consumption!$AA$83:$AA$99,0),MATCH('County Scaled Consumption '!G$2,Production_Consumption!$AA$83:$AJ$83,0)))*'CA Population'!$L71*10^6</f>
        <v>35105.614569231642</v>
      </c>
      <c r="H71" s="143">
        <f>(INDEX(Production_Consumption!$AA$83:$AJ$99,MATCH('County Scaled Consumption '!$B71,Production_Consumption!$AA$83:$AA$99,0),MATCH('County Scaled Consumption '!H$2,Production_Consumption!$AA$83:$AJ$83,0)))*'CA Population'!$L71*10^6</f>
        <v>947.87847397167423</v>
      </c>
      <c r="I71" s="143">
        <f>(INDEX(Production_Consumption!$AA$83:$AJ$99,MATCH('County Scaled Consumption '!$B71,Production_Consumption!$AA$83:$AA$99,0),MATCH('County Scaled Consumption '!I$2,Production_Consumption!$AA$83:$AJ$83,0)))*'CA Population'!$L71*10^6</f>
        <v>15529.674501085836</v>
      </c>
      <c r="J71" s="143">
        <f>(INDEX(Production_Consumption!$AA$83:$AJ$99,MATCH('County Scaled Consumption '!$B71,Production_Consumption!$AA$83:$AA$99,0),MATCH('County Scaled Consumption '!J$2,Production_Consumption!$AA$83:$AJ$83,0)))*'CA Population'!$L71*10^6</f>
        <v>12329.510054829876</v>
      </c>
      <c r="K71" s="143">
        <f>(INDEX(Production_Consumption!$AA$83:$AJ$99,MATCH('County Scaled Consumption '!$B71,Production_Consumption!$AA$83:$AA$99,0),MATCH('County Scaled Consumption '!K$2,Production_Consumption!$AA$83:$AJ$83,0)))*'CA Population'!$L71*10^6</f>
        <v>169775.77480186106</v>
      </c>
      <c r="L71" s="131">
        <f t="shared" si="1"/>
        <v>0</v>
      </c>
    </row>
    <row r="72" spans="1:12" x14ac:dyDescent="0.2">
      <c r="A72" s="132" t="s">
        <v>315</v>
      </c>
      <c r="B72" s="129">
        <v>2019</v>
      </c>
      <c r="C72" s="143">
        <f>(INDEX(Production_Consumption!$AA$83:$AJ$99,MATCH('County Scaled Consumption '!$B72,Production_Consumption!$AA$83:$AA$99,0),MATCH('County Scaled Consumption '!C$2,Production_Consumption!$AA$83:$AJ$83,0)))*'CA Population'!$L72*10^6</f>
        <v>375.94596221705359</v>
      </c>
      <c r="D72" s="143">
        <f>(INDEX(Production_Consumption!$AA$83:$AJ$99,MATCH('County Scaled Consumption '!$B72,Production_Consumption!$AA$83:$AA$99,0),MATCH('County Scaled Consumption '!D$2,Production_Consumption!$AA$83:$AJ$83,0)))*'CA Population'!$L72*10^6</f>
        <v>1468.7006158339477</v>
      </c>
      <c r="E72" s="143">
        <f>(INDEX(Production_Consumption!$AA$83:$AJ$99,MATCH('County Scaled Consumption '!$B72,Production_Consumption!$AA$83:$AA$99,0),MATCH('County Scaled Consumption '!E$2,Production_Consumption!$AA$83:$AJ$83,0)))*'CA Population'!$L72*10^6</f>
        <v>893.35206822094472</v>
      </c>
      <c r="F72" s="143">
        <f>(INDEX(Production_Consumption!$AA$83:$AJ$99,MATCH('County Scaled Consumption '!$B72,Production_Consumption!$AA$83:$AA$99,0),MATCH('County Scaled Consumption '!F$2,Production_Consumption!$AA$83:$AJ$83,0)))*'CA Population'!$L72*10^6</f>
        <v>257.1852260288278</v>
      </c>
      <c r="G72" s="143">
        <f>(INDEX(Production_Consumption!$AA$83:$AJ$99,MATCH('County Scaled Consumption '!$B72,Production_Consumption!$AA$83:$AA$99,0),MATCH('County Scaled Consumption '!G$2,Production_Consumption!$AA$83:$AJ$83,0)))*'CA Population'!$L72*10^6</f>
        <v>993.24290865586136</v>
      </c>
      <c r="H72" s="143">
        <f>(INDEX(Production_Consumption!$AA$83:$AJ$99,MATCH('County Scaled Consumption '!$B72,Production_Consumption!$AA$83:$AA$99,0),MATCH('County Scaled Consumption '!H$2,Production_Consumption!$AA$83:$AJ$83,0)))*'CA Population'!$L72*10^6</f>
        <v>26.818319066405419</v>
      </c>
      <c r="I72" s="143">
        <f>(INDEX(Production_Consumption!$AA$83:$AJ$99,MATCH('County Scaled Consumption '!$B72,Production_Consumption!$AA$83:$AA$99,0),MATCH('County Scaled Consumption '!I$2,Production_Consumption!$AA$83:$AJ$83,0)))*'CA Population'!$L72*10^6</f>
        <v>439.38097256546223</v>
      </c>
      <c r="J72" s="143">
        <f>(INDEX(Production_Consumption!$AA$83:$AJ$99,MATCH('County Scaled Consumption '!$B72,Production_Consumption!$AA$83:$AA$99,0),MATCH('County Scaled Consumption '!J$2,Production_Consumption!$AA$83:$AJ$83,0)))*'CA Population'!$L72*10^6</f>
        <v>348.83874216217566</v>
      </c>
      <c r="K72" s="143">
        <f>(INDEX(Production_Consumption!$AA$83:$AJ$99,MATCH('County Scaled Consumption '!$B72,Production_Consumption!$AA$83:$AA$99,0),MATCH('County Scaled Consumption '!K$2,Production_Consumption!$AA$83:$AJ$83,0)))*'CA Population'!$L72*10^6</f>
        <v>4803.4648147506778</v>
      </c>
      <c r="L72" s="131">
        <f t="shared" si="1"/>
        <v>0</v>
      </c>
    </row>
    <row r="73" spans="1:12" x14ac:dyDescent="0.2">
      <c r="A73" s="132" t="s">
        <v>316</v>
      </c>
      <c r="B73" s="129">
        <v>2019</v>
      </c>
      <c r="C73" s="143">
        <f>(INDEX(Production_Consumption!$AA$83:$AJ$99,MATCH('County Scaled Consumption '!$B73,Production_Consumption!$AA$83:$AA$99,0),MATCH('County Scaled Consumption '!C$2,Production_Consumption!$AA$83:$AJ$83,0)))*'CA Population'!$L73*10^6</f>
        <v>1753.9641404618735</v>
      </c>
      <c r="D73" s="143">
        <f>(INDEX(Production_Consumption!$AA$83:$AJ$99,MATCH('County Scaled Consumption '!$B73,Production_Consumption!$AA$83:$AA$99,0),MATCH('County Scaled Consumption '!D$2,Production_Consumption!$AA$83:$AJ$83,0)))*'CA Population'!$L73*10^6</f>
        <v>6852.1768342858932</v>
      </c>
      <c r="E73" s="143">
        <f>(INDEX(Production_Consumption!$AA$83:$AJ$99,MATCH('County Scaled Consumption '!$B73,Production_Consumption!$AA$83:$AA$99,0),MATCH('County Scaled Consumption '!E$2,Production_Consumption!$AA$83:$AJ$83,0)))*'CA Population'!$L73*10^6</f>
        <v>4167.9061619029371</v>
      </c>
      <c r="F73" s="143">
        <f>(INDEX(Production_Consumption!$AA$83:$AJ$99,MATCH('County Scaled Consumption '!$B73,Production_Consumption!$AA$83:$AA$99,0),MATCH('County Scaled Consumption '!F$2,Production_Consumption!$AA$83:$AJ$83,0)))*'CA Population'!$L73*10^6</f>
        <v>1199.8896364012689</v>
      </c>
      <c r="G73" s="143">
        <f>(INDEX(Production_Consumption!$AA$83:$AJ$99,MATCH('County Scaled Consumption '!$B73,Production_Consumption!$AA$83:$AA$99,0),MATCH('County Scaled Consumption '!G$2,Production_Consumption!$AA$83:$AJ$83,0)))*'CA Population'!$L73*10^6</f>
        <v>4633.9437569078482</v>
      </c>
      <c r="H73" s="143">
        <f>(INDEX(Production_Consumption!$AA$83:$AJ$99,MATCH('County Scaled Consumption '!$B73,Production_Consumption!$AA$83:$AA$99,0),MATCH('County Scaled Consumption '!H$2,Production_Consumption!$AA$83:$AJ$83,0)))*'CA Population'!$L73*10^6</f>
        <v>125.12002967804798</v>
      </c>
      <c r="I73" s="143">
        <f>(INDEX(Production_Consumption!$AA$83:$AJ$99,MATCH('County Scaled Consumption '!$B73,Production_Consumption!$AA$83:$AA$99,0),MATCH('County Scaled Consumption '!I$2,Production_Consumption!$AA$83:$AJ$83,0)))*'CA Population'!$L73*10^6</f>
        <v>2049.9181992441268</v>
      </c>
      <c r="J73" s="143">
        <f>(INDEX(Production_Consumption!$AA$83:$AJ$99,MATCH('County Scaled Consumption '!$B73,Production_Consumption!$AA$83:$AA$99,0),MATCH('County Scaled Consumption '!J$2,Production_Consumption!$AA$83:$AJ$83,0)))*'CA Population'!$L73*10^6</f>
        <v>1627.4962522486878</v>
      </c>
      <c r="K73" s="143">
        <f>(INDEX(Production_Consumption!$AA$83:$AJ$99,MATCH('County Scaled Consumption '!$B73,Production_Consumption!$AA$83:$AA$99,0),MATCH('County Scaled Consumption '!K$2,Production_Consumption!$AA$83:$AJ$83,0)))*'CA Population'!$L73*10^6</f>
        <v>22410.415011130684</v>
      </c>
      <c r="L73" s="131">
        <f t="shared" si="1"/>
        <v>0</v>
      </c>
    </row>
    <row r="74" spans="1:12" x14ac:dyDescent="0.2">
      <c r="A74" s="132" t="s">
        <v>317</v>
      </c>
      <c r="B74" s="129">
        <v>2019</v>
      </c>
      <c r="C74" s="143">
        <f>(INDEX(Production_Consumption!$AA$83:$AJ$99,MATCH('County Scaled Consumption '!$B74,Production_Consumption!$AA$83:$AA$99,0),MATCH('County Scaled Consumption '!C$2,Production_Consumption!$AA$83:$AJ$83,0)))*'CA Population'!$L74*10^6</f>
        <v>2473.2341184170086</v>
      </c>
      <c r="D74" s="143">
        <f>(INDEX(Production_Consumption!$AA$83:$AJ$99,MATCH('County Scaled Consumption '!$B74,Production_Consumption!$AA$83:$AA$99,0),MATCH('County Scaled Consumption '!D$2,Production_Consumption!$AA$83:$AJ$83,0)))*'CA Population'!$L74*10^6</f>
        <v>9662.1345562514398</v>
      </c>
      <c r="E74" s="143">
        <f>(INDEX(Production_Consumption!$AA$83:$AJ$99,MATCH('County Scaled Consumption '!$B74,Production_Consumption!$AA$83:$AA$99,0),MATCH('County Scaled Consumption '!E$2,Production_Consumption!$AA$83:$AJ$83,0)))*'CA Population'!$L74*10^6</f>
        <v>5877.0914890337253</v>
      </c>
      <c r="F74" s="143">
        <f>(INDEX(Production_Consumption!$AA$83:$AJ$99,MATCH('County Scaled Consumption '!$B74,Production_Consumption!$AA$83:$AA$99,0),MATCH('County Scaled Consumption '!F$2,Production_Consumption!$AA$83:$AJ$83,0)))*'CA Population'!$L74*10^6</f>
        <v>1691.943363392329</v>
      </c>
      <c r="G74" s="143">
        <f>(INDEX(Production_Consumption!$AA$83:$AJ$99,MATCH('County Scaled Consumption '!$B74,Production_Consumption!$AA$83:$AA$99,0),MATCH('County Scaled Consumption '!G$2,Production_Consumption!$AA$83:$AJ$83,0)))*'CA Population'!$L74*10^6</f>
        <v>6534.2429403328561</v>
      </c>
      <c r="H74" s="143">
        <f>(INDEX(Production_Consumption!$AA$83:$AJ$99,MATCH('County Scaled Consumption '!$B74,Production_Consumption!$AA$83:$AA$99,0),MATCH('County Scaled Consumption '!H$2,Production_Consumption!$AA$83:$AJ$83,0)))*'CA Population'!$L74*10^6</f>
        <v>176.42956270223911</v>
      </c>
      <c r="I74" s="143">
        <f>(INDEX(Production_Consumption!$AA$83:$AJ$99,MATCH('County Scaled Consumption '!$B74,Production_Consumption!$AA$83:$AA$99,0),MATCH('County Scaled Consumption '!I$2,Production_Consumption!$AA$83:$AJ$83,0)))*'CA Population'!$L74*10^6</f>
        <v>2890.553753852379</v>
      </c>
      <c r="J74" s="143">
        <f>(INDEX(Production_Consumption!$AA$83:$AJ$99,MATCH('County Scaled Consumption '!$B74,Production_Consumption!$AA$83:$AA$99,0),MATCH('County Scaled Consumption '!J$2,Production_Consumption!$AA$83:$AJ$83,0)))*'CA Population'!$L74*10^6</f>
        <v>2294.903963998554</v>
      </c>
      <c r="K74" s="143">
        <f>(INDEX(Production_Consumption!$AA$83:$AJ$99,MATCH('County Scaled Consumption '!$B74,Production_Consumption!$AA$83:$AA$99,0),MATCH('County Scaled Consumption '!K$2,Production_Consumption!$AA$83:$AJ$83,0)))*'CA Population'!$L74*10^6</f>
        <v>31600.533747980531</v>
      </c>
      <c r="L74" s="131">
        <f t="shared" si="1"/>
        <v>0</v>
      </c>
    </row>
    <row r="75" spans="1:12" x14ac:dyDescent="0.2">
      <c r="A75" s="132" t="s">
        <v>318</v>
      </c>
      <c r="B75" s="129">
        <v>2019</v>
      </c>
      <c r="C75" s="143">
        <f>(INDEX(Production_Consumption!$AA$83:$AJ$99,MATCH('County Scaled Consumption '!$B75,Production_Consumption!$AA$83:$AA$99,0),MATCH('County Scaled Consumption '!C$2,Production_Consumption!$AA$83:$AJ$83,0)))*'CA Population'!$L75*10^6</f>
        <v>243.56933018416899</v>
      </c>
      <c r="D75" s="143">
        <f>(INDEX(Production_Consumption!$AA$83:$AJ$99,MATCH('County Scaled Consumption '!$B75,Production_Consumption!$AA$83:$AA$99,0),MATCH('County Scaled Consumption '!D$2,Production_Consumption!$AA$83:$AJ$83,0)))*'CA Population'!$L75*10^6</f>
        <v>951.54745945433092</v>
      </c>
      <c r="E75" s="143">
        <f>(INDEX(Production_Consumption!$AA$83:$AJ$99,MATCH('County Scaled Consumption '!$B75,Production_Consumption!$AA$83:$AA$99,0),MATCH('County Scaled Consumption '!E$2,Production_Consumption!$AA$83:$AJ$83,0)))*'CA Population'!$L75*10^6</f>
        <v>578.78840775948936</v>
      </c>
      <c r="F75" s="143">
        <f>(INDEX(Production_Consumption!$AA$83:$AJ$99,MATCH('County Scaled Consumption '!$B75,Production_Consumption!$AA$83:$AA$99,0),MATCH('County Scaled Consumption '!F$2,Production_Consumption!$AA$83:$AJ$83,0)))*'CA Population'!$L75*10^6</f>
        <v>166.62616315304084</v>
      </c>
      <c r="G75" s="143">
        <f>(INDEX(Production_Consumption!$AA$83:$AJ$99,MATCH('County Scaled Consumption '!$B75,Production_Consumption!$AA$83:$AA$99,0),MATCH('County Scaled Consumption '!G$2,Production_Consumption!$AA$83:$AJ$83,0)))*'CA Population'!$L75*10^6</f>
        <v>643.50607343884337</v>
      </c>
      <c r="H75" s="143">
        <f>(INDEX(Production_Consumption!$AA$83:$AJ$99,MATCH('County Scaled Consumption '!$B75,Production_Consumption!$AA$83:$AA$99,0),MATCH('County Scaled Consumption '!H$2,Production_Consumption!$AA$83:$AJ$83,0)))*'CA Population'!$L75*10^6</f>
        <v>17.375156719726537</v>
      </c>
      <c r="I75" s="143">
        <f>(INDEX(Production_Consumption!$AA$83:$AJ$99,MATCH('County Scaled Consumption '!$B75,Production_Consumption!$AA$83:$AA$99,0),MATCH('County Scaled Consumption '!I$2,Production_Consumption!$AA$83:$AJ$83,0)))*'CA Population'!$L75*10^6</f>
        <v>284.66785107177236</v>
      </c>
      <c r="J75" s="143">
        <f>(INDEX(Production_Consumption!$AA$83:$AJ$99,MATCH('County Scaled Consumption '!$B75,Production_Consumption!$AA$83:$AA$99,0),MATCH('County Scaled Consumption '!J$2,Production_Consumption!$AA$83:$AJ$83,0)))*'CA Population'!$L75*10^6</f>
        <v>226.00699916993264</v>
      </c>
      <c r="K75" s="143">
        <f>(INDEX(Production_Consumption!$AA$83:$AJ$99,MATCH('County Scaled Consumption '!$B75,Production_Consumption!$AA$83:$AA$99,0),MATCH('County Scaled Consumption '!K$2,Production_Consumption!$AA$83:$AJ$83,0)))*'CA Population'!$L75*10^6</f>
        <v>3112.0874409513049</v>
      </c>
      <c r="L75" s="131">
        <f t="shared" si="1"/>
        <v>0</v>
      </c>
    </row>
    <row r="76" spans="1:12" x14ac:dyDescent="0.2">
      <c r="A76" s="132" t="s">
        <v>319</v>
      </c>
      <c r="B76" s="129">
        <v>2019</v>
      </c>
      <c r="C76" s="143">
        <f>(INDEX(Production_Consumption!$AA$83:$AJ$99,MATCH('County Scaled Consumption '!$B76,Production_Consumption!$AA$83:$AA$99,0),MATCH('County Scaled Consumption '!C$2,Production_Consumption!$AA$83:$AJ$83,0)))*'CA Population'!$L76*10^6</f>
        <v>11897.959743847447</v>
      </c>
      <c r="D76" s="143">
        <f>(INDEX(Production_Consumption!$AA$83:$AJ$99,MATCH('County Scaled Consumption '!$B76,Production_Consumption!$AA$83:$AA$99,0),MATCH('County Scaled Consumption '!D$2,Production_Consumption!$AA$83:$AJ$83,0)))*'CA Population'!$L76*10^6</f>
        <v>46481.522769666786</v>
      </c>
      <c r="E76" s="143">
        <f>(INDEX(Production_Consumption!$AA$83:$AJ$99,MATCH('County Scaled Consumption '!$B76,Production_Consumption!$AA$83:$AA$99,0),MATCH('County Scaled Consumption '!E$2,Production_Consumption!$AA$83:$AJ$83,0)))*'CA Population'!$L76*10^6</f>
        <v>28272.858370637146</v>
      </c>
      <c r="F76" s="143">
        <f>(INDEX(Production_Consumption!$AA$83:$AJ$99,MATCH('County Scaled Consumption '!$B76,Production_Consumption!$AA$83:$AA$99,0),MATCH('County Scaled Consumption '!F$2,Production_Consumption!$AA$83:$AJ$83,0)))*'CA Population'!$L76*10^6</f>
        <v>8139.4130368039732</v>
      </c>
      <c r="G76" s="143">
        <f>(INDEX(Production_Consumption!$AA$83:$AJ$99,MATCH('County Scaled Consumption '!$B76,Production_Consumption!$AA$83:$AA$99,0),MATCH('County Scaled Consumption '!G$2,Production_Consumption!$AA$83:$AJ$83,0)))*'CA Population'!$L76*10^6</f>
        <v>31434.209516064646</v>
      </c>
      <c r="H76" s="143">
        <f>(INDEX(Production_Consumption!$AA$83:$AJ$99,MATCH('County Scaled Consumption '!$B76,Production_Consumption!$AA$83:$AA$99,0),MATCH('County Scaled Consumption '!H$2,Production_Consumption!$AA$83:$AJ$83,0)))*'CA Population'!$L76*10^6</f>
        <v>848.74772631691258</v>
      </c>
      <c r="I76" s="143">
        <f>(INDEX(Production_Consumption!$AA$83:$AJ$99,MATCH('County Scaled Consumption '!$B76,Production_Consumption!$AA$83:$AA$99,0),MATCH('County Scaled Consumption '!I$2,Production_Consumption!$AA$83:$AJ$83,0)))*'CA Population'!$L76*10^6</f>
        <v>13905.55465196926</v>
      </c>
      <c r="J76" s="143">
        <f>(INDEX(Production_Consumption!$AA$83:$AJ$99,MATCH('County Scaled Consumption '!$B76,Production_Consumption!$AA$83:$AA$99,0),MATCH('County Scaled Consumption '!J$2,Production_Consumption!$AA$83:$AJ$83,0)))*'CA Population'!$L76*10^6</f>
        <v>11040.068862193708</v>
      </c>
      <c r="K76" s="143">
        <f>(INDEX(Production_Consumption!$AA$83:$AJ$99,MATCH('County Scaled Consumption '!$B76,Production_Consumption!$AA$83:$AA$99,0),MATCH('County Scaled Consumption '!K$2,Production_Consumption!$AA$83:$AJ$83,0)))*'CA Population'!$L76*10^6</f>
        <v>152020.33467749986</v>
      </c>
      <c r="L76" s="131">
        <f t="shared" si="1"/>
        <v>0</v>
      </c>
    </row>
    <row r="77" spans="1:12" x14ac:dyDescent="0.2">
      <c r="A77" s="132" t="s">
        <v>320</v>
      </c>
      <c r="B77" s="129">
        <v>2019</v>
      </c>
      <c r="C77" s="143">
        <f>(INDEX(Production_Consumption!$AA$83:$AJ$99,MATCH('County Scaled Consumption '!$B77,Production_Consumption!$AA$83:$AA$99,0),MATCH('County Scaled Consumption '!C$2,Production_Consumption!$AA$83:$AJ$83,0)))*'CA Population'!$L77*10^6</f>
        <v>2003.7771564216721</v>
      </c>
      <c r="D77" s="143">
        <f>(INDEX(Production_Consumption!$AA$83:$AJ$99,MATCH('County Scaled Consumption '!$B77,Production_Consumption!$AA$83:$AA$99,0),MATCH('County Scaled Consumption '!D$2,Production_Consumption!$AA$83:$AJ$83,0)))*'CA Population'!$L77*10^6</f>
        <v>7828.1163768195647</v>
      </c>
      <c r="E77" s="143">
        <f>(INDEX(Production_Consumption!$AA$83:$AJ$99,MATCH('County Scaled Consumption '!$B77,Production_Consumption!$AA$83:$AA$99,0),MATCH('County Scaled Consumption '!E$2,Production_Consumption!$AA$83:$AJ$83,0)))*'CA Population'!$L77*10^6</f>
        <v>4761.5313019632249</v>
      </c>
      <c r="F77" s="143">
        <f>(INDEX(Production_Consumption!$AA$83:$AJ$99,MATCH('County Scaled Consumption '!$B77,Production_Consumption!$AA$83:$AA$99,0),MATCH('County Scaled Consumption '!F$2,Production_Consumption!$AA$83:$AJ$83,0)))*'CA Population'!$L77*10^6</f>
        <v>1370.787114846509</v>
      </c>
      <c r="G77" s="143">
        <f>(INDEX(Production_Consumption!$AA$83:$AJ$99,MATCH('County Scaled Consumption '!$B77,Production_Consumption!$AA$83:$AA$99,0),MATCH('County Scaled Consumption '!G$2,Production_Consumption!$AA$83:$AJ$83,0)))*'CA Population'!$L77*10^6</f>
        <v>5293.9455431452743</v>
      </c>
      <c r="H77" s="143">
        <f>(INDEX(Production_Consumption!$AA$83:$AJ$99,MATCH('County Scaled Consumption '!$B77,Production_Consumption!$AA$83:$AA$99,0),MATCH('County Scaled Consumption '!H$2,Production_Consumption!$AA$83:$AJ$83,0)))*'CA Population'!$L77*10^6</f>
        <v>142.94058327421322</v>
      </c>
      <c r="I77" s="143">
        <f>(INDEX(Production_Consumption!$AA$83:$AJ$99,MATCH('County Scaled Consumption '!$B77,Production_Consumption!$AA$83:$AA$99,0),MATCH('County Scaled Consumption '!I$2,Production_Consumption!$AA$83:$AJ$83,0)))*'CA Population'!$L77*10^6</f>
        <v>2341.8832605647099</v>
      </c>
      <c r="J77" s="143">
        <f>(INDEX(Production_Consumption!$AA$83:$AJ$99,MATCH('County Scaled Consumption '!$B77,Production_Consumption!$AA$83:$AA$99,0),MATCH('County Scaled Consumption '!J$2,Production_Consumption!$AA$83:$AJ$83,0)))*'CA Population'!$L77*10^6</f>
        <v>1859.2967422692257</v>
      </c>
      <c r="K77" s="143">
        <f>(INDEX(Production_Consumption!$AA$83:$AJ$99,MATCH('County Scaled Consumption '!$B77,Production_Consumption!$AA$83:$AA$99,0),MATCH('County Scaled Consumption '!K$2,Production_Consumption!$AA$83:$AJ$83,0)))*'CA Population'!$L77*10^6</f>
        <v>25602.278079304393</v>
      </c>
      <c r="L77" s="131">
        <f t="shared" si="1"/>
        <v>0</v>
      </c>
    </row>
    <row r="78" spans="1:12" x14ac:dyDescent="0.2">
      <c r="A78" s="132" t="s">
        <v>321</v>
      </c>
      <c r="B78" s="129">
        <v>2019</v>
      </c>
      <c r="C78" s="143">
        <f>(INDEX(Production_Consumption!$AA$83:$AJ$99,MATCH('County Scaled Consumption '!$B78,Production_Consumption!$AA$83:$AA$99,0),MATCH('County Scaled Consumption '!C$2,Production_Consumption!$AA$83:$AJ$83,0)))*'CA Population'!$L78*10^6</f>
        <v>841.94003966456228</v>
      </c>
      <c r="D78" s="143">
        <f>(INDEX(Production_Consumption!$AA$83:$AJ$99,MATCH('County Scaled Consumption '!$B78,Production_Consumption!$AA$83:$AA$99,0),MATCH('County Scaled Consumption '!D$2,Production_Consumption!$AA$83:$AJ$83,0)))*'CA Population'!$L78*10^6</f>
        <v>3289.1904130537532</v>
      </c>
      <c r="E78" s="143">
        <f>(INDEX(Production_Consumption!$AA$83:$AJ$99,MATCH('County Scaled Consumption '!$B78,Production_Consumption!$AA$83:$AA$99,0),MATCH('County Scaled Consumption '!E$2,Production_Consumption!$AA$83:$AJ$83,0)))*'CA Population'!$L78*10^6</f>
        <v>2000.6834793935241</v>
      </c>
      <c r="F78" s="143">
        <f>(INDEX(Production_Consumption!$AA$83:$AJ$99,MATCH('County Scaled Consumption '!$B78,Production_Consumption!$AA$83:$AA$99,0),MATCH('County Scaled Consumption '!F$2,Production_Consumption!$AA$83:$AJ$83,0)))*'CA Population'!$L78*10^6</f>
        <v>575.97250979073908</v>
      </c>
      <c r="G78" s="143">
        <f>(INDEX(Production_Consumption!$AA$83:$AJ$99,MATCH('County Scaled Consumption '!$B78,Production_Consumption!$AA$83:$AA$99,0),MATCH('County Scaled Consumption '!G$2,Production_Consumption!$AA$83:$AJ$83,0)))*'CA Population'!$L78*10^6</f>
        <v>2224.3914231148174</v>
      </c>
      <c r="H78" s="143">
        <f>(INDEX(Production_Consumption!$AA$83:$AJ$99,MATCH('County Scaled Consumption '!$B78,Production_Consumption!$AA$83:$AA$99,0),MATCH('County Scaled Consumption '!H$2,Production_Consumption!$AA$83:$AJ$83,0)))*'CA Population'!$L78*10^6</f>
        <v>60.060271655398097</v>
      </c>
      <c r="I78" s="143">
        <f>(INDEX(Production_Consumption!$AA$83:$AJ$99,MATCH('County Scaled Consumption '!$B78,Production_Consumption!$AA$83:$AA$99,0),MATCH('County Scaled Consumption '!I$2,Production_Consumption!$AA$83:$AJ$83,0)))*'CA Population'!$L78*10^6</f>
        <v>984.00427361429558</v>
      </c>
      <c r="J78" s="143">
        <f>(INDEX(Production_Consumption!$AA$83:$AJ$99,MATCH('County Scaled Consumption '!$B78,Production_Consumption!$AA$83:$AA$99,0),MATCH('County Scaled Consumption '!J$2,Production_Consumption!$AA$83:$AJ$83,0)))*'CA Population'!$L78*10^6</f>
        <v>781.2327672852856</v>
      </c>
      <c r="K78" s="143">
        <f>(INDEX(Production_Consumption!$AA$83:$AJ$99,MATCH('County Scaled Consumption '!$B78,Production_Consumption!$AA$83:$AA$99,0),MATCH('County Scaled Consumption '!K$2,Production_Consumption!$AA$83:$AJ$83,0)))*'CA Population'!$L78*10^6</f>
        <v>10757.475177572374</v>
      </c>
      <c r="L78" s="131">
        <f t="shared" si="1"/>
        <v>0</v>
      </c>
    </row>
    <row r="79" spans="1:12" x14ac:dyDescent="0.2">
      <c r="A79" s="132" t="s">
        <v>322</v>
      </c>
      <c r="B79" s="129">
        <v>2019</v>
      </c>
      <c r="C79" s="143">
        <f>(INDEX(Production_Consumption!$AA$83:$AJ$99,MATCH('County Scaled Consumption '!$B79,Production_Consumption!$AA$83:$AA$99,0),MATCH('County Scaled Consumption '!C$2,Production_Consumption!$AA$83:$AJ$83,0)))*'CA Population'!$L79*10^6</f>
        <v>383.47511271119504</v>
      </c>
      <c r="D79" s="143">
        <f>(INDEX(Production_Consumption!$AA$83:$AJ$99,MATCH('County Scaled Consumption '!$B79,Production_Consumption!$AA$83:$AA$99,0),MATCH('County Scaled Consumption '!D$2,Production_Consumption!$AA$83:$AJ$83,0)))*'CA Population'!$L79*10^6</f>
        <v>1498.1145983707986</v>
      </c>
      <c r="E79" s="143">
        <f>(INDEX(Production_Consumption!$AA$83:$AJ$99,MATCH('County Scaled Consumption '!$B79,Production_Consumption!$AA$83:$AA$99,0),MATCH('County Scaled Consumption '!E$2,Production_Consumption!$AA$83:$AJ$83,0)))*'CA Population'!$L79*10^6</f>
        <v>911.24342187778939</v>
      </c>
      <c r="F79" s="143">
        <f>(INDEX(Production_Consumption!$AA$83:$AJ$99,MATCH('County Scaled Consumption '!$B79,Production_Consumption!$AA$83:$AA$99,0),MATCH('County Scaled Consumption '!F$2,Production_Consumption!$AA$83:$AJ$83,0)))*'CA Population'!$L79*10^6</f>
        <v>262.33592976353862</v>
      </c>
      <c r="G79" s="143">
        <f>(INDEX(Production_Consumption!$AA$83:$AJ$99,MATCH('County Scaled Consumption '!$B79,Production_Consumption!$AA$83:$AA$99,0),MATCH('County Scaled Consumption '!G$2,Production_Consumption!$AA$83:$AJ$83,0)))*'CA Population'!$L79*10^6</f>
        <v>1013.1347976188586</v>
      </c>
      <c r="H79" s="143">
        <f>(INDEX(Production_Consumption!$AA$83:$AJ$99,MATCH('County Scaled Consumption '!$B79,Production_Consumption!$AA$83:$AA$99,0),MATCH('County Scaled Consumption '!H$2,Production_Consumption!$AA$83:$AJ$83,0)))*'CA Population'!$L79*10^6</f>
        <v>27.355415299757944</v>
      </c>
      <c r="I79" s="143">
        <f>(INDEX(Production_Consumption!$AA$83:$AJ$99,MATCH('County Scaled Consumption '!$B79,Production_Consumption!$AA$83:$AA$99,0),MATCH('County Scaled Consumption '!I$2,Production_Consumption!$AA$83:$AJ$83,0)))*'CA Population'!$L79*10^6</f>
        <v>448.18054963020438</v>
      </c>
      <c r="J79" s="143">
        <f>(INDEX(Production_Consumption!$AA$83:$AJ$99,MATCH('County Scaled Consumption '!$B79,Production_Consumption!$AA$83:$AA$99,0),MATCH('County Scaled Consumption '!J$2,Production_Consumption!$AA$83:$AJ$83,0)))*'CA Population'!$L79*10^6</f>
        <v>355.82501054084662</v>
      </c>
      <c r="K79" s="143">
        <f>(INDEX(Production_Consumption!$AA$83:$AJ$99,MATCH('County Scaled Consumption '!$B79,Production_Consumption!$AA$83:$AA$99,0),MATCH('County Scaled Consumption '!K$2,Production_Consumption!$AA$83:$AJ$83,0)))*'CA Population'!$L79*10^6</f>
        <v>4899.6648358129887</v>
      </c>
      <c r="L79" s="131">
        <f t="shared" si="1"/>
        <v>0</v>
      </c>
    </row>
    <row r="80" spans="1:12" x14ac:dyDescent="0.2">
      <c r="A80" s="132" t="s">
        <v>323</v>
      </c>
      <c r="B80" s="129">
        <v>2019</v>
      </c>
      <c r="C80" s="143">
        <f>(INDEX(Production_Consumption!$AA$83:$AJ$99,MATCH('County Scaled Consumption '!$B80,Production_Consumption!$AA$83:$AA$99,0),MATCH('County Scaled Consumption '!C$2,Production_Consumption!$AA$83:$AJ$83,0)))*'CA Population'!$L80*10^6</f>
        <v>133309.76136564196</v>
      </c>
      <c r="D80" s="143">
        <f>(INDEX(Production_Consumption!$AA$83:$AJ$99,MATCH('County Scaled Consumption '!$B80,Production_Consumption!$AA$83:$AA$99,0),MATCH('County Scaled Consumption '!D$2,Production_Consumption!$AA$83:$AJ$83,0)))*'CA Population'!$L80*10^6</f>
        <v>520798.59419092187</v>
      </c>
      <c r="E80" s="143">
        <f>(INDEX(Production_Consumption!$AA$83:$AJ$99,MATCH('County Scaled Consumption '!$B80,Production_Consumption!$AA$83:$AA$99,0),MATCH('County Scaled Consumption '!E$2,Production_Consumption!$AA$83:$AJ$83,0)))*'CA Population'!$L80*10^6</f>
        <v>316781.03503949428</v>
      </c>
      <c r="F80" s="143">
        <f>(INDEX(Production_Consumption!$AA$83:$AJ$99,MATCH('County Scaled Consumption '!$B80,Production_Consumption!$AA$83:$AA$99,0),MATCH('County Scaled Consumption '!F$2,Production_Consumption!$AA$83:$AJ$83,0)))*'CA Population'!$L80*10^6</f>
        <v>91197.418124887306</v>
      </c>
      <c r="G80" s="143">
        <f>(INDEX(Production_Consumption!$AA$83:$AJ$99,MATCH('County Scaled Consumption '!$B80,Production_Consumption!$AA$83:$AA$99,0),MATCH('County Scaled Consumption '!G$2,Production_Consumption!$AA$83:$AJ$83,0)))*'CA Population'!$L80*10^6</f>
        <v>352202.14721865335</v>
      </c>
      <c r="H80" s="143">
        <f>(INDEX(Production_Consumption!$AA$83:$AJ$99,MATCH('County Scaled Consumption '!$B80,Production_Consumption!$AA$83:$AA$99,0),MATCH('County Scaled Consumption '!H$2,Production_Consumption!$AA$83:$AJ$83,0)))*'CA Population'!$L80*10^6</f>
        <v>9509.7276584288247</v>
      </c>
      <c r="I80" s="143">
        <f>(INDEX(Production_Consumption!$AA$83:$AJ$99,MATCH('County Scaled Consumption '!$B80,Production_Consumption!$AA$83:$AA$99,0),MATCH('County Scaled Consumption '!I$2,Production_Consumption!$AA$83:$AJ$83,0)))*'CA Population'!$L80*10^6</f>
        <v>155803.70182959351</v>
      </c>
      <c r="J80" s="143">
        <f>(INDEX(Production_Consumption!$AA$83:$AJ$99,MATCH('County Scaled Consumption '!$B80,Production_Consumption!$AA$83:$AA$99,0),MATCH('County Scaled Consumption '!J$2,Production_Consumption!$AA$83:$AJ$83,0)))*'CA Population'!$L80*10^6</f>
        <v>123697.58993682536</v>
      </c>
      <c r="K80" s="143">
        <f>(INDEX(Production_Consumption!$AA$83:$AJ$99,MATCH('County Scaled Consumption '!$B80,Production_Consumption!$AA$83:$AA$99,0),MATCH('County Scaled Consumption '!K$2,Production_Consumption!$AA$83:$AJ$83,0)))*'CA Population'!$L80*10^6</f>
        <v>1703299.9753644464</v>
      </c>
      <c r="L80" s="131">
        <f t="shared" si="1"/>
        <v>0</v>
      </c>
    </row>
    <row r="81" spans="1:12" x14ac:dyDescent="0.2">
      <c r="A81" s="132" t="s">
        <v>324</v>
      </c>
      <c r="B81" s="129">
        <v>2019</v>
      </c>
      <c r="C81" s="143">
        <f>(INDEX(Production_Consumption!$AA$83:$AJ$99,MATCH('County Scaled Consumption '!$B81,Production_Consumption!$AA$83:$AA$99,0),MATCH('County Scaled Consumption '!C$2,Production_Consumption!$AA$83:$AJ$83,0)))*'CA Population'!$L81*10^6</f>
        <v>2072.0773073328123</v>
      </c>
      <c r="D81" s="143">
        <f>(INDEX(Production_Consumption!$AA$83:$AJ$99,MATCH('County Scaled Consumption '!$B81,Production_Consumption!$AA$83:$AA$99,0),MATCH('County Scaled Consumption '!D$2,Production_Consumption!$AA$83:$AJ$83,0)))*'CA Population'!$L81*10^6</f>
        <v>8094.9432184038542</v>
      </c>
      <c r="E81" s="143">
        <f>(INDEX(Production_Consumption!$AA$83:$AJ$99,MATCH('County Scaled Consumption '!$B81,Production_Consumption!$AA$83:$AA$99,0),MATCH('County Scaled Consumption '!E$2,Production_Consumption!$AA$83:$AJ$83,0)))*'CA Population'!$L81*10^6</f>
        <v>4923.831438707457</v>
      </c>
      <c r="F81" s="143">
        <f>(INDEX(Production_Consumption!$AA$83:$AJ$99,MATCH('County Scaled Consumption '!$B81,Production_Consumption!$AA$83:$AA$99,0),MATCH('County Scaled Consumption '!F$2,Production_Consumption!$AA$83:$AJ$83,0)))*'CA Population'!$L81*10^6</f>
        <v>1417.5113558685287</v>
      </c>
      <c r="G81" s="143">
        <f>(INDEX(Production_Consumption!$AA$83:$AJ$99,MATCH('County Scaled Consumption '!$B81,Production_Consumption!$AA$83:$AA$99,0),MATCH('County Scaled Consumption '!G$2,Production_Consumption!$AA$83:$AJ$83,0)))*'CA Population'!$L81*10^6</f>
        <v>5474.3933930238918</v>
      </c>
      <c r="H81" s="143">
        <f>(INDEX(Production_Consumption!$AA$83:$AJ$99,MATCH('County Scaled Consumption '!$B81,Production_Consumption!$AA$83:$AA$99,0),MATCH('County Scaled Consumption '!H$2,Production_Consumption!$AA$83:$AJ$83,0)))*'CA Population'!$L81*10^6</f>
        <v>147.81281339105396</v>
      </c>
      <c r="I81" s="143">
        <f>(INDEX(Production_Consumption!$AA$83:$AJ$99,MATCH('County Scaled Consumption '!$B81,Production_Consumption!$AA$83:$AA$99,0),MATCH('County Scaled Consumption '!I$2,Production_Consumption!$AA$83:$AJ$83,0)))*'CA Population'!$L81*10^6</f>
        <v>2421.7079953662992</v>
      </c>
      <c r="J81" s="143">
        <f>(INDEX(Production_Consumption!$AA$83:$AJ$99,MATCH('County Scaled Consumption '!$B81,Production_Consumption!$AA$83:$AA$99,0),MATCH('County Scaled Consumption '!J$2,Production_Consumption!$AA$83:$AJ$83,0)))*'CA Population'!$L81*10^6</f>
        <v>1922.6721768471693</v>
      </c>
      <c r="K81" s="143">
        <f>(INDEX(Production_Consumption!$AA$83:$AJ$99,MATCH('County Scaled Consumption '!$B81,Production_Consumption!$AA$83:$AA$99,0),MATCH('County Scaled Consumption '!K$2,Production_Consumption!$AA$83:$AJ$83,0)))*'CA Population'!$L81*10^6</f>
        <v>26474.949698941065</v>
      </c>
      <c r="L81" s="131">
        <f t="shared" si="1"/>
        <v>0</v>
      </c>
    </row>
    <row r="82" spans="1:12" x14ac:dyDescent="0.2">
      <c r="A82" s="132" t="s">
        <v>325</v>
      </c>
      <c r="B82" s="129">
        <v>2019</v>
      </c>
      <c r="C82" s="143">
        <f>(INDEX(Production_Consumption!$AA$83:$AJ$99,MATCH('County Scaled Consumption '!$B82,Production_Consumption!$AA$83:$AA$99,0),MATCH('County Scaled Consumption '!C$2,Production_Consumption!$AA$83:$AJ$83,0)))*'CA Population'!$L82*10^6</f>
        <v>3429.8035068068366</v>
      </c>
      <c r="D82" s="143">
        <f>(INDEX(Production_Consumption!$AA$83:$AJ$99,MATCH('County Scaled Consumption '!$B82,Production_Consumption!$AA$83:$AA$99,0),MATCH('County Scaled Consumption '!D$2,Production_Consumption!$AA$83:$AJ$83,0)))*'CA Population'!$L82*10^6</f>
        <v>13399.145166847948</v>
      </c>
      <c r="E82" s="143">
        <f>(INDEX(Production_Consumption!$AA$83:$AJ$99,MATCH('County Scaled Consumption '!$B82,Production_Consumption!$AA$83:$AA$99,0),MATCH('County Scaled Consumption '!E$2,Production_Consumption!$AA$83:$AJ$83,0)))*'CA Population'!$L82*10^6</f>
        <v>8150.1661524118563</v>
      </c>
      <c r="F82" s="143">
        <f>(INDEX(Production_Consumption!$AA$83:$AJ$99,MATCH('County Scaled Consumption '!$B82,Production_Consumption!$AA$83:$AA$99,0),MATCH('County Scaled Consumption '!F$2,Production_Consumption!$AA$83:$AJ$83,0)))*'CA Population'!$L82*10^6</f>
        <v>2346.3339915413226</v>
      </c>
      <c r="G82" s="143">
        <f>(INDEX(Production_Consumption!$AA$83:$AJ$99,MATCH('County Scaled Consumption '!$B82,Production_Consumption!$AA$83:$AA$99,0),MATCH('County Scaled Consumption '!G$2,Production_Consumption!$AA$83:$AJ$83,0)))*'CA Population'!$L82*10^6</f>
        <v>9061.4831746804848</v>
      </c>
      <c r="H82" s="143">
        <f>(INDEX(Production_Consumption!$AA$83:$AJ$99,MATCH('County Scaled Consumption '!$B82,Production_Consumption!$AA$83:$AA$99,0),MATCH('County Scaled Consumption '!H$2,Production_Consumption!$AA$83:$AJ$83,0)))*'CA Population'!$L82*10^6</f>
        <v>244.66698415427086</v>
      </c>
      <c r="I82" s="143">
        <f>(INDEX(Production_Consumption!$AA$83:$AJ$99,MATCH('County Scaled Consumption '!$B82,Production_Consumption!$AA$83:$AA$99,0),MATCH('County Scaled Consumption '!I$2,Production_Consumption!$AA$83:$AJ$83,0)))*'CA Population'!$L82*10^6</f>
        <v>4008.5292887363294</v>
      </c>
      <c r="J82" s="143">
        <f>(INDEX(Production_Consumption!$AA$83:$AJ$99,MATCH('County Scaled Consumption '!$B82,Production_Consumption!$AA$83:$AA$99,0),MATCH('County Scaled Consumption '!J$2,Production_Consumption!$AA$83:$AJ$83,0)))*'CA Population'!$L82*10^6</f>
        <v>3182.5008416692149</v>
      </c>
      <c r="K82" s="143">
        <f>(INDEX(Production_Consumption!$AA$83:$AJ$99,MATCH('County Scaled Consumption '!$B82,Production_Consumption!$AA$83:$AA$99,0),MATCH('County Scaled Consumption '!K$2,Production_Consumption!$AA$83:$AJ$83,0)))*'CA Population'!$L82*10^6</f>
        <v>43822.629106848261</v>
      </c>
      <c r="L82" s="131">
        <f t="shared" si="1"/>
        <v>0</v>
      </c>
    </row>
    <row r="83" spans="1:12" x14ac:dyDescent="0.2">
      <c r="A83" s="132" t="s">
        <v>326</v>
      </c>
      <c r="B83" s="129">
        <v>2019</v>
      </c>
      <c r="C83" s="143">
        <f>(INDEX(Production_Consumption!$AA$83:$AJ$99,MATCH('County Scaled Consumption '!$B83,Production_Consumption!$AA$83:$AA$99,0),MATCH('County Scaled Consumption '!C$2,Production_Consumption!$AA$83:$AJ$83,0)))*'CA Population'!$L83*10^6</f>
        <v>236.97148576160251</v>
      </c>
      <c r="D83" s="143">
        <f>(INDEX(Production_Consumption!$AA$83:$AJ$99,MATCH('County Scaled Consumption '!$B83,Production_Consumption!$AA$83:$AA$99,0),MATCH('County Scaled Consumption '!D$2,Production_Consumption!$AA$83:$AJ$83,0)))*'CA Population'!$L83*10^6</f>
        <v>925.77179183057467</v>
      </c>
      <c r="E83" s="143">
        <f>(INDEX(Production_Consumption!$AA$83:$AJ$99,MATCH('County Scaled Consumption '!$B83,Production_Consumption!$AA$83:$AA$99,0),MATCH('County Scaled Consumption '!E$2,Production_Consumption!$AA$83:$AJ$83,0)))*'CA Population'!$L83*10^6</f>
        <v>563.1100961054949</v>
      </c>
      <c r="F83" s="143">
        <f>(INDEX(Production_Consumption!$AA$83:$AJ$99,MATCH('County Scaled Consumption '!$B83,Production_Consumption!$AA$83:$AA$99,0),MATCH('County Scaled Consumption '!F$2,Production_Consumption!$AA$83:$AJ$83,0)))*'CA Population'!$L83*10^6</f>
        <v>162.11256737157819</v>
      </c>
      <c r="G83" s="143">
        <f>(INDEX(Production_Consumption!$AA$83:$AJ$99,MATCH('County Scaled Consumption '!$B83,Production_Consumption!$AA$83:$AA$99,0),MATCH('County Scaled Consumption '!G$2,Production_Consumption!$AA$83:$AJ$83,0)))*'CA Population'!$L83*10^6</f>
        <v>626.07467945210533</v>
      </c>
      <c r="H83" s="143">
        <f>(INDEX(Production_Consumption!$AA$83:$AJ$99,MATCH('County Scaled Consumption '!$B83,Production_Consumption!$AA$83:$AA$99,0),MATCH('County Scaled Consumption '!H$2,Production_Consumption!$AA$83:$AJ$83,0)))*'CA Population'!$L83*10^6</f>
        <v>16.90449573475037</v>
      </c>
      <c r="I83" s="143">
        <f>(INDEX(Production_Consumption!$AA$83:$AJ$99,MATCH('County Scaled Consumption '!$B83,Production_Consumption!$AA$83:$AA$99,0),MATCH('County Scaled Consumption '!I$2,Production_Consumption!$AA$83:$AJ$83,0)))*'CA Population'!$L83*10^6</f>
        <v>276.956723434899</v>
      </c>
      <c r="J83" s="143">
        <f>(INDEX(Production_Consumption!$AA$83:$AJ$99,MATCH('County Scaled Consumption '!$B83,Production_Consumption!$AA$83:$AA$99,0),MATCH('County Scaled Consumption '!J$2,Production_Consumption!$AA$83:$AJ$83,0)))*'CA Population'!$L83*10^6</f>
        <v>219.88488593914605</v>
      </c>
      <c r="K83" s="143">
        <f>(INDEX(Production_Consumption!$AA$83:$AJ$99,MATCH('County Scaled Consumption '!$B83,Production_Consumption!$AA$83:$AA$99,0),MATCH('County Scaled Consumption '!K$2,Production_Consumption!$AA$83:$AJ$83,0)))*'CA Population'!$L83*10^6</f>
        <v>3027.7867256301506</v>
      </c>
      <c r="L83" s="131">
        <f t="shared" si="1"/>
        <v>0</v>
      </c>
    </row>
    <row r="84" spans="1:12" x14ac:dyDescent="0.2">
      <c r="A84" s="132" t="s">
        <v>327</v>
      </c>
      <c r="B84" s="129">
        <v>2019</v>
      </c>
      <c r="C84" s="143">
        <f>(INDEX(Production_Consumption!$AA$83:$AJ$99,MATCH('County Scaled Consumption '!$B84,Production_Consumption!$AA$83:$AA$99,0),MATCH('County Scaled Consumption '!C$2,Production_Consumption!$AA$83:$AJ$83,0)))*'CA Population'!$L84*10^6</f>
        <v>1156.9838315953809</v>
      </c>
      <c r="D84" s="143">
        <f>(INDEX(Production_Consumption!$AA$83:$AJ$99,MATCH('County Scaled Consumption '!$B84,Production_Consumption!$AA$83:$AA$99,0),MATCH('County Scaled Consumption '!D$2,Production_Consumption!$AA$83:$AJ$83,0)))*'CA Population'!$L84*10^6</f>
        <v>4519.9657311201063</v>
      </c>
      <c r="E84" s="143">
        <f>(INDEX(Production_Consumption!$AA$83:$AJ$99,MATCH('County Scaled Consumption '!$B84,Production_Consumption!$AA$83:$AA$99,0),MATCH('County Scaled Consumption '!E$2,Production_Consumption!$AA$83:$AJ$83,0)))*'CA Population'!$L84*10^6</f>
        <v>2749.315068470341</v>
      </c>
      <c r="F84" s="143">
        <f>(INDEX(Production_Consumption!$AA$83:$AJ$99,MATCH('County Scaled Consumption '!$B84,Production_Consumption!$AA$83:$AA$99,0),MATCH('County Scaled Consumption '!F$2,Production_Consumption!$AA$83:$AJ$83,0)))*'CA Population'!$L84*10^6</f>
        <v>791.49446501771592</v>
      </c>
      <c r="G84" s="143">
        <f>(INDEX(Production_Consumption!$AA$83:$AJ$99,MATCH('County Scaled Consumption '!$B84,Production_Consumption!$AA$83:$AA$99,0),MATCH('County Scaled Consumption '!G$2,Production_Consumption!$AA$83:$AJ$83,0)))*'CA Population'!$L84*10^6</f>
        <v>3056.7318222668523</v>
      </c>
      <c r="H84" s="143">
        <f>(INDEX(Production_Consumption!$AA$83:$AJ$99,MATCH('County Scaled Consumption '!$B84,Production_Consumption!$AA$83:$AA$99,0),MATCH('County Scaled Consumption '!H$2,Production_Consumption!$AA$83:$AJ$83,0)))*'CA Population'!$L84*10^6</f>
        <v>82.534099761079176</v>
      </c>
      <c r="I84" s="143">
        <f>(INDEX(Production_Consumption!$AA$83:$AJ$99,MATCH('County Scaled Consumption '!$B84,Production_Consumption!$AA$83:$AA$99,0),MATCH('County Scaled Consumption '!I$2,Production_Consumption!$AA$83:$AJ$83,0)))*'CA Population'!$L84*10^6</f>
        <v>1352.2067857065908</v>
      </c>
      <c r="J84" s="143">
        <f>(INDEX(Production_Consumption!$AA$83:$AJ$99,MATCH('County Scaled Consumption '!$B84,Production_Consumption!$AA$83:$AA$99,0),MATCH('County Scaled Consumption '!J$2,Production_Consumption!$AA$83:$AJ$83,0)))*'CA Population'!$L84*10^6</f>
        <v>1073.5606312555287</v>
      </c>
      <c r="K84" s="143">
        <f>(INDEX(Production_Consumption!$AA$83:$AJ$99,MATCH('County Scaled Consumption '!$B84,Production_Consumption!$AA$83:$AA$99,0),MATCH('County Scaled Consumption '!K$2,Production_Consumption!$AA$83:$AJ$83,0)))*'CA Population'!$L84*10^6</f>
        <v>14782.792435193594</v>
      </c>
      <c r="L84" s="131">
        <f t="shared" si="1"/>
        <v>0</v>
      </c>
    </row>
    <row r="85" spans="1:12" x14ac:dyDescent="0.2">
      <c r="A85" s="132" t="s">
        <v>328</v>
      </c>
      <c r="B85" s="129">
        <v>2019</v>
      </c>
      <c r="C85" s="143">
        <f>(INDEX(Production_Consumption!$AA$83:$AJ$99,MATCH('County Scaled Consumption '!$B85,Production_Consumption!$AA$83:$AA$99,0),MATCH('County Scaled Consumption '!C$2,Production_Consumption!$AA$83:$AJ$83,0)))*'CA Population'!$L85*10^6</f>
        <v>3678.5409298389009</v>
      </c>
      <c r="D85" s="143">
        <f>(INDEX(Production_Consumption!$AA$83:$AJ$99,MATCH('County Scaled Consumption '!$B85,Production_Consumption!$AA$83:$AA$99,0),MATCH('County Scaled Consumption '!D$2,Production_Consumption!$AA$83:$AJ$83,0)))*'CA Population'!$L85*10^6</f>
        <v>14370.882711876355</v>
      </c>
      <c r="E85" s="143">
        <f>(INDEX(Production_Consumption!$AA$83:$AJ$99,MATCH('County Scaled Consumption '!$B85,Production_Consumption!$AA$83:$AA$99,0),MATCH('County Scaled Consumption '!E$2,Production_Consumption!$AA$83:$AJ$83,0)))*'CA Population'!$L85*10^6</f>
        <v>8741.2353848068815</v>
      </c>
      <c r="F85" s="143">
        <f>(INDEX(Production_Consumption!$AA$83:$AJ$99,MATCH('County Scaled Consumption '!$B85,Production_Consumption!$AA$83:$AA$99,0),MATCH('County Scaled Consumption '!F$2,Production_Consumption!$AA$83:$AJ$83,0)))*'CA Population'!$L85*10^6</f>
        <v>2516.4956551673181</v>
      </c>
      <c r="G85" s="143">
        <f>(INDEX(Production_Consumption!$AA$83:$AJ$99,MATCH('County Scaled Consumption '!$B85,Production_Consumption!$AA$83:$AA$99,0),MATCH('County Scaled Consumption '!G$2,Production_Consumption!$AA$83:$AJ$83,0)))*'CA Population'!$L85*10^6</f>
        <v>9718.6432624946265</v>
      </c>
      <c r="H85" s="143">
        <f>(INDEX(Production_Consumption!$AA$83:$AJ$99,MATCH('County Scaled Consumption '!$B85,Production_Consumption!$AA$83:$AA$99,0),MATCH('County Scaled Consumption '!H$2,Production_Consumption!$AA$83:$AJ$83,0)))*'CA Population'!$L85*10^6</f>
        <v>262.41080971710005</v>
      </c>
      <c r="I85" s="143">
        <f>(INDEX(Production_Consumption!$AA$83:$AJ$99,MATCH('County Scaled Consumption '!$B85,Production_Consumption!$AA$83:$AA$99,0),MATCH('County Scaled Consumption '!I$2,Production_Consumption!$AA$83:$AJ$83,0)))*'CA Population'!$L85*10^6</f>
        <v>4299.2372676190926</v>
      </c>
      <c r="J85" s="143">
        <f>(INDEX(Production_Consumption!$AA$83:$AJ$99,MATCH('County Scaled Consumption '!$B85,Production_Consumption!$AA$83:$AA$99,0),MATCH('County Scaled Consumption '!J$2,Production_Consumption!$AA$83:$AJ$83,0)))*'CA Population'!$L85*10^6</f>
        <v>3413.3032933499426</v>
      </c>
      <c r="K85" s="143">
        <f>(INDEX(Production_Consumption!$AA$83:$AJ$99,MATCH('County Scaled Consumption '!$B85,Production_Consumption!$AA$83:$AA$99,0),MATCH('County Scaled Consumption '!K$2,Production_Consumption!$AA$83:$AJ$83,0)))*'CA Population'!$L85*10^6</f>
        <v>47000.749314870212</v>
      </c>
      <c r="L85" s="131">
        <f t="shared" si="1"/>
        <v>0</v>
      </c>
    </row>
    <row r="86" spans="1:12" x14ac:dyDescent="0.2">
      <c r="A86" s="132" t="s">
        <v>329</v>
      </c>
      <c r="B86" s="129">
        <v>2019</v>
      </c>
      <c r="C86" s="143">
        <f>(INDEX(Production_Consumption!$AA$83:$AJ$99,MATCH('County Scaled Consumption '!$B86,Production_Consumption!$AA$83:$AA$99,0),MATCH('County Scaled Consumption '!C$2,Production_Consumption!$AA$83:$AJ$83,0)))*'CA Population'!$L86*10^6</f>
        <v>126.38216900880329</v>
      </c>
      <c r="D86" s="143">
        <f>(INDEX(Production_Consumption!$AA$83:$AJ$99,MATCH('County Scaled Consumption '!$B86,Production_Consumption!$AA$83:$AA$99,0),MATCH('County Scaled Consumption '!D$2,Production_Consumption!$AA$83:$AJ$83,0)))*'CA Population'!$L86*10^6</f>
        <v>493.73470686857007</v>
      </c>
      <c r="E86" s="143">
        <f>(INDEX(Production_Consumption!$AA$83:$AJ$99,MATCH('County Scaled Consumption '!$B86,Production_Consumption!$AA$83:$AA$99,0),MATCH('County Scaled Consumption '!E$2,Production_Consumption!$AA$83:$AJ$83,0)))*'CA Population'!$L86*10^6</f>
        <v>300.3191506684625</v>
      </c>
      <c r="F86" s="143">
        <f>(INDEX(Production_Consumption!$AA$83:$AJ$99,MATCH('County Scaled Consumption '!$B86,Production_Consumption!$AA$83:$AA$99,0),MATCH('County Scaled Consumption '!F$2,Production_Consumption!$AA$83:$AJ$83,0)))*'CA Population'!$L86*10^6</f>
        <v>86.458241261217537</v>
      </c>
      <c r="G86" s="143">
        <f>(INDEX(Production_Consumption!$AA$83:$AJ$99,MATCH('County Scaled Consumption '!$B86,Production_Consumption!$AA$83:$AA$99,0),MATCH('County Scaled Consumption '!G$2,Production_Consumption!$AA$83:$AJ$83,0)))*'CA Population'!$L86*10^6</f>
        <v>333.89956473602535</v>
      </c>
      <c r="H86" s="143">
        <f>(INDEX(Production_Consumption!$AA$83:$AJ$99,MATCH('County Scaled Consumption '!$B86,Production_Consumption!$AA$83:$AA$99,0),MATCH('County Scaled Consumption '!H$2,Production_Consumption!$AA$83:$AJ$83,0)))*'CA Population'!$L86*10^6</f>
        <v>9.0155439169888076</v>
      </c>
      <c r="I86" s="143">
        <f>(INDEX(Production_Consumption!$AA$83:$AJ$99,MATCH('County Scaled Consumption '!$B86,Production_Consumption!$AA$83:$AA$99,0),MATCH('County Scaled Consumption '!I$2,Production_Consumption!$AA$83:$AJ$83,0)))*'CA Population'!$L86*10^6</f>
        <v>147.7071864438864</v>
      </c>
      <c r="J86" s="143">
        <f>(INDEX(Production_Consumption!$AA$83:$AJ$99,MATCH('County Scaled Consumption '!$B86,Production_Consumption!$AA$83:$AA$99,0),MATCH('County Scaled Consumption '!J$2,Production_Consumption!$AA$83:$AJ$83,0)))*'CA Population'!$L86*10^6</f>
        <v>117.26950492769137</v>
      </c>
      <c r="K86" s="143">
        <f>(INDEX(Production_Consumption!$AA$83:$AJ$99,MATCH('County Scaled Consumption '!$B86,Production_Consumption!$AA$83:$AA$99,0),MATCH('County Scaled Consumption '!K$2,Production_Consumption!$AA$83:$AJ$83,0)))*'CA Population'!$L86*10^6</f>
        <v>1614.7860678316451</v>
      </c>
      <c r="L86" s="131">
        <f t="shared" si="1"/>
        <v>0</v>
      </c>
    </row>
    <row r="87" spans="1:12" x14ac:dyDescent="0.2">
      <c r="A87" s="132" t="s">
        <v>330</v>
      </c>
      <c r="B87" s="129">
        <v>2019</v>
      </c>
      <c r="C87" s="143">
        <f>(INDEX(Production_Consumption!$AA$83:$AJ$99,MATCH('County Scaled Consumption '!$B87,Production_Consumption!$AA$83:$AA$99,0),MATCH('County Scaled Consumption '!C$2,Production_Consumption!$AA$83:$AJ$83,0)))*'CA Population'!$L87*10^6</f>
        <v>177.39413115465032</v>
      </c>
      <c r="D87" s="143">
        <f>(INDEX(Production_Consumption!$AA$83:$AJ$99,MATCH('County Scaled Consumption '!$B87,Production_Consumption!$AA$83:$AA$99,0),MATCH('County Scaled Consumption '!D$2,Production_Consumption!$AA$83:$AJ$83,0)))*'CA Population'!$L87*10^6</f>
        <v>693.02212513653785</v>
      </c>
      <c r="E87" s="143">
        <f>(INDEX(Production_Consumption!$AA$83:$AJ$99,MATCH('County Scaled Consumption '!$B87,Production_Consumption!$AA$83:$AA$99,0),MATCH('County Scaled Consumption '!E$2,Production_Consumption!$AA$83:$AJ$83,0)))*'CA Population'!$L87*10^6</f>
        <v>421.53774713443556</v>
      </c>
      <c r="F87" s="143">
        <f>(INDEX(Production_Consumption!$AA$83:$AJ$99,MATCH('County Scaled Consumption '!$B87,Production_Consumption!$AA$83:$AA$99,0),MATCH('County Scaled Consumption '!F$2,Production_Consumption!$AA$83:$AJ$83,0)))*'CA Population'!$L87*10^6</f>
        <v>121.35560506660157</v>
      </c>
      <c r="G87" s="143">
        <f>(INDEX(Production_Consumption!$AA$83:$AJ$99,MATCH('County Scaled Consumption '!$B87,Production_Consumption!$AA$83:$AA$99,0),MATCH('County Scaled Consumption '!G$2,Production_Consumption!$AA$83:$AJ$83,0)))*'CA Population'!$L87*10^6</f>
        <v>468.67231068915498</v>
      </c>
      <c r="H87" s="143">
        <f>(INDEX(Production_Consumption!$AA$83:$AJ$99,MATCH('County Scaled Consumption '!$B87,Production_Consumption!$AA$83:$AA$99,0),MATCH('County Scaled Consumption '!H$2,Production_Consumption!$AA$83:$AJ$83,0)))*'CA Population'!$L87*10^6</f>
        <v>12.654511254110707</v>
      </c>
      <c r="I87" s="143">
        <f>(INDEX(Production_Consumption!$AA$83:$AJ$99,MATCH('County Scaled Consumption '!$B87,Production_Consumption!$AA$83:$AA$99,0),MATCH('County Scaled Consumption '!I$2,Production_Consumption!$AA$83:$AJ$83,0)))*'CA Population'!$L87*10^6</f>
        <v>207.32662059855943</v>
      </c>
      <c r="J87" s="143">
        <f>(INDEX(Production_Consumption!$AA$83:$AJ$99,MATCH('County Scaled Consumption '!$B87,Production_Consumption!$AA$83:$AA$99,0),MATCH('County Scaled Consumption '!J$2,Production_Consumption!$AA$83:$AJ$83,0)))*'CA Population'!$L87*10^6</f>
        <v>164.60329887307714</v>
      </c>
      <c r="K87" s="143">
        <f>(INDEX(Production_Consumption!$AA$83:$AJ$99,MATCH('County Scaled Consumption '!$B87,Production_Consumption!$AA$83:$AA$99,0),MATCH('County Scaled Consumption '!K$2,Production_Consumption!$AA$83:$AJ$83,0)))*'CA Population'!$L87*10^6</f>
        <v>2266.5663499071275</v>
      </c>
      <c r="L87" s="131">
        <f t="shared" si="1"/>
        <v>0</v>
      </c>
    </row>
    <row r="88" spans="1:12" x14ac:dyDescent="0.2">
      <c r="A88" s="132" t="s">
        <v>331</v>
      </c>
      <c r="B88" s="129">
        <v>2019</v>
      </c>
      <c r="C88" s="143">
        <f>(INDEX(Production_Consumption!$AA$83:$AJ$99,MATCH('County Scaled Consumption '!$B88,Production_Consumption!$AA$83:$AA$99,0),MATCH('County Scaled Consumption '!C$2,Production_Consumption!$AA$83:$AJ$83,0)))*'CA Population'!$L88*10^6</f>
        <v>5774.0845267780178</v>
      </c>
      <c r="D88" s="143">
        <f>(INDEX(Production_Consumption!$AA$83:$AJ$99,MATCH('County Scaled Consumption '!$B88,Production_Consumption!$AA$83:$AA$99,0),MATCH('County Scaled Consumption '!D$2,Production_Consumption!$AA$83:$AJ$83,0)))*'CA Population'!$L88*10^6</f>
        <v>22557.501217315796</v>
      </c>
      <c r="E88" s="143">
        <f>(INDEX(Production_Consumption!$AA$83:$AJ$99,MATCH('County Scaled Consumption '!$B88,Production_Consumption!$AA$83:$AA$99,0),MATCH('County Scaled Consumption '!E$2,Production_Consumption!$AA$83:$AJ$83,0)))*'CA Population'!$L88*10^6</f>
        <v>13720.829248065025</v>
      </c>
      <c r="F88" s="143">
        <f>(INDEX(Production_Consumption!$AA$83:$AJ$99,MATCH('County Scaled Consumption '!$B88,Production_Consumption!$AA$83:$AA$99,0),MATCH('County Scaled Consumption '!F$2,Production_Consumption!$AA$83:$AJ$83,0)))*'CA Population'!$L88*10^6</f>
        <v>3950.0603367874105</v>
      </c>
      <c r="G88" s="143">
        <f>(INDEX(Production_Consumption!$AA$83:$AJ$99,MATCH('County Scaled Consumption '!$B88,Production_Consumption!$AA$83:$AA$99,0),MATCH('County Scaled Consumption '!G$2,Production_Consumption!$AA$83:$AJ$83,0)))*'CA Population'!$L88*10^6</f>
        <v>15255.034197948484</v>
      </c>
      <c r="H88" s="143">
        <f>(INDEX(Production_Consumption!$AA$83:$AJ$99,MATCH('County Scaled Consumption '!$B88,Production_Consumption!$AA$83:$AA$99,0),MATCH('County Scaled Consumption '!H$2,Production_Consumption!$AA$83:$AJ$83,0)))*'CA Population'!$L88*10^6</f>
        <v>411.89760422569344</v>
      </c>
      <c r="I88" s="143">
        <f>(INDEX(Production_Consumption!$AA$83:$AJ$99,MATCH('County Scaled Consumption '!$B88,Production_Consumption!$AA$83:$AA$99,0),MATCH('County Scaled Consumption '!I$2,Production_Consumption!$AA$83:$AJ$83,0)))*'CA Population'!$L88*10^6</f>
        <v>6748.3711225129582</v>
      </c>
      <c r="J88" s="143">
        <f>(INDEX(Production_Consumption!$AA$83:$AJ$99,MATCH('County Scaled Consumption '!$B88,Production_Consumption!$AA$83:$AA$99,0),MATCH('County Scaled Consumption '!J$2,Production_Consumption!$AA$83:$AJ$83,0)))*'CA Population'!$L88*10^6</f>
        <v>5357.7497456839455</v>
      </c>
      <c r="K88" s="143">
        <f>(INDEX(Production_Consumption!$AA$83:$AJ$99,MATCH('County Scaled Consumption '!$B88,Production_Consumption!$AA$83:$AA$99,0),MATCH('County Scaled Consumption '!K$2,Production_Consumption!$AA$83:$AJ$83,0)))*'CA Population'!$L88*10^6</f>
        <v>73775.527999317332</v>
      </c>
      <c r="L88" s="131">
        <f t="shared" si="1"/>
        <v>0</v>
      </c>
    </row>
    <row r="89" spans="1:12" x14ac:dyDescent="0.2">
      <c r="A89" s="132" t="s">
        <v>332</v>
      </c>
      <c r="B89" s="129">
        <v>2019</v>
      </c>
      <c r="C89" s="143">
        <f>(INDEX(Production_Consumption!$AA$83:$AJ$99,MATCH('County Scaled Consumption '!$B89,Production_Consumption!$AA$83:$AA$99,0),MATCH('County Scaled Consumption '!C$2,Production_Consumption!$AA$83:$AJ$83,0)))*'CA Population'!$L89*10^6</f>
        <v>1831.2363104287504</v>
      </c>
      <c r="D89" s="143">
        <f>(INDEX(Production_Consumption!$AA$83:$AJ$99,MATCH('County Scaled Consumption '!$B89,Production_Consumption!$AA$83:$AA$99,0),MATCH('County Scaled Consumption '!D$2,Production_Consumption!$AA$83:$AJ$83,0)))*'CA Population'!$L89*10^6</f>
        <v>7154.0544843287316</v>
      </c>
      <c r="E89" s="143">
        <f>(INDEX(Production_Consumption!$AA$83:$AJ$99,MATCH('County Scaled Consumption '!$B89,Production_Consumption!$AA$83:$AA$99,0),MATCH('County Scaled Consumption '!E$2,Production_Consumption!$AA$83:$AJ$83,0)))*'CA Population'!$L89*10^6</f>
        <v>4351.526308928148</v>
      </c>
      <c r="F89" s="143">
        <f>(INDEX(Production_Consumption!$AA$83:$AJ$99,MATCH('County Scaled Consumption '!$B89,Production_Consumption!$AA$83:$AA$99,0),MATCH('County Scaled Consumption '!F$2,Production_Consumption!$AA$83:$AJ$83,0)))*'CA Population'!$L89*10^6</f>
        <v>1252.7516498179614</v>
      </c>
      <c r="G89" s="143">
        <f>(INDEX(Production_Consumption!$AA$83:$AJ$99,MATCH('County Scaled Consumption '!$B89,Production_Consumption!$AA$83:$AA$99,0),MATCH('County Scaled Consumption '!G$2,Production_Consumption!$AA$83:$AJ$83,0)))*'CA Population'!$L89*10^6</f>
        <v>4838.0955302197226</v>
      </c>
      <c r="H89" s="143">
        <f>(INDEX(Production_Consumption!$AA$83:$AJ$99,MATCH('County Scaled Consumption '!$B89,Production_Consumption!$AA$83:$AA$99,0),MATCH('County Scaled Consumption '!H$2,Production_Consumption!$AA$83:$AJ$83,0)))*'CA Population'!$L89*10^6</f>
        <v>130.63228387783846</v>
      </c>
      <c r="I89" s="143">
        <f>(INDEX(Production_Consumption!$AA$83:$AJ$99,MATCH('County Scaled Consumption '!$B89,Production_Consumption!$AA$83:$AA$99,0),MATCH('County Scaled Consumption '!I$2,Production_Consumption!$AA$83:$AJ$83,0)))*'CA Population'!$L89*10^6</f>
        <v>2140.2288412099733</v>
      </c>
      <c r="J89" s="143">
        <f>(INDEX(Production_Consumption!$AA$83:$AJ$99,MATCH('County Scaled Consumption '!$B89,Production_Consumption!$AA$83:$AA$99,0),MATCH('County Scaled Consumption '!J$2,Production_Consumption!$AA$83:$AJ$83,0)))*'CA Population'!$L89*10^6</f>
        <v>1699.1967871245599</v>
      </c>
      <c r="K89" s="143">
        <f>(INDEX(Production_Consumption!$AA$83:$AJ$99,MATCH('County Scaled Consumption '!$B89,Production_Consumption!$AA$83:$AA$99,0),MATCH('County Scaled Consumption '!K$2,Production_Consumption!$AA$83:$AJ$83,0)))*'CA Population'!$L89*10^6</f>
        <v>23397.722195935687</v>
      </c>
      <c r="L89" s="131">
        <f t="shared" si="1"/>
        <v>0</v>
      </c>
    </row>
    <row r="90" spans="1:12" x14ac:dyDescent="0.2">
      <c r="A90" s="132" t="s">
        <v>333</v>
      </c>
      <c r="B90" s="129">
        <v>2019</v>
      </c>
      <c r="C90" s="143">
        <f>(INDEX(Production_Consumption!$AA$83:$AJ$99,MATCH('County Scaled Consumption '!$B90,Production_Consumption!$AA$83:$AA$99,0),MATCH('County Scaled Consumption '!C$2,Production_Consumption!$AA$83:$AJ$83,0)))*'CA Population'!$L90*10^6</f>
        <v>1281.4771544871869</v>
      </c>
      <c r="D90" s="143">
        <f>(INDEX(Production_Consumption!$AA$83:$AJ$99,MATCH('County Scaled Consumption '!$B90,Production_Consumption!$AA$83:$AA$99,0),MATCH('County Scaled Consumption '!D$2,Production_Consumption!$AA$83:$AJ$83,0)))*'CA Population'!$L90*10^6</f>
        <v>5006.3213204184558</v>
      </c>
      <c r="E90" s="143">
        <f>(INDEX(Production_Consumption!$AA$83:$AJ$99,MATCH('County Scaled Consumption '!$B90,Production_Consumption!$AA$83:$AA$99,0),MATCH('County Scaled Consumption '!E$2,Production_Consumption!$AA$83:$AJ$83,0)))*'CA Population'!$L90*10^6</f>
        <v>3045.1457959217551</v>
      </c>
      <c r="F90" s="143">
        <f>(INDEX(Production_Consumption!$AA$83:$AJ$99,MATCH('County Scaled Consumption '!$B90,Production_Consumption!$AA$83:$AA$99,0),MATCH('County Scaled Consumption '!F$2,Production_Consumption!$AA$83:$AJ$83,0)))*'CA Population'!$L90*10^6</f>
        <v>876.66054366952869</v>
      </c>
      <c r="G90" s="143">
        <f>(INDEX(Production_Consumption!$AA$83:$AJ$99,MATCH('County Scaled Consumption '!$B90,Production_Consumption!$AA$83:$AA$99,0),MATCH('County Scaled Consumption '!G$2,Production_Consumption!$AA$83:$AJ$83,0)))*'CA Population'!$L90*10^6</f>
        <v>3385.6410873327177</v>
      </c>
      <c r="H90" s="143">
        <f>(INDEX(Production_Consumption!$AA$83:$AJ$99,MATCH('County Scaled Consumption '!$B90,Production_Consumption!$AA$83:$AA$99,0),MATCH('County Scaled Consumption '!H$2,Production_Consumption!$AA$83:$AJ$83,0)))*'CA Population'!$L90*10^6</f>
        <v>91.414901765868052</v>
      </c>
      <c r="I90" s="143">
        <f>(INDEX(Production_Consumption!$AA$83:$AJ$99,MATCH('County Scaled Consumption '!$B90,Production_Consumption!$AA$83:$AA$99,0),MATCH('County Scaled Consumption '!I$2,Production_Consumption!$AA$83:$AJ$83,0)))*'CA Population'!$L90*10^6</f>
        <v>1497.7064127474757</v>
      </c>
      <c r="J90" s="143">
        <f>(INDEX(Production_Consumption!$AA$83:$AJ$99,MATCH('County Scaled Consumption '!$B90,Production_Consumption!$AA$83:$AA$99,0),MATCH('County Scaled Consumption '!J$2,Production_Consumption!$AA$83:$AJ$83,0)))*'CA Population'!$L90*10^6</f>
        <v>1189.0774834889191</v>
      </c>
      <c r="K90" s="143">
        <f>(INDEX(Production_Consumption!$AA$83:$AJ$99,MATCH('County Scaled Consumption '!$B90,Production_Consumption!$AA$83:$AA$99,0),MATCH('County Scaled Consumption '!K$2,Production_Consumption!$AA$83:$AJ$83,0)))*'CA Population'!$L90*10^6</f>
        <v>16373.444699831905</v>
      </c>
      <c r="L90" s="131">
        <f t="shared" si="1"/>
        <v>0</v>
      </c>
    </row>
    <row r="91" spans="1:12" x14ac:dyDescent="0.2">
      <c r="A91" s="132" t="s">
        <v>334</v>
      </c>
      <c r="B91" s="129">
        <v>2019</v>
      </c>
      <c r="C91" s="143">
        <f>(INDEX(Production_Consumption!$AA$83:$AJ$99,MATCH('County Scaled Consumption '!$B91,Production_Consumption!$AA$83:$AA$99,0),MATCH('County Scaled Consumption '!C$2,Production_Consumption!$AA$83:$AJ$83,0)))*'CA Population'!$L91*10^6</f>
        <v>41782.561572695784</v>
      </c>
      <c r="D91" s="143">
        <f>(INDEX(Production_Consumption!$AA$83:$AJ$99,MATCH('County Scaled Consumption '!$B91,Production_Consumption!$AA$83:$AA$99,0),MATCH('County Scaled Consumption '!D$2,Production_Consumption!$AA$83:$AJ$83,0)))*'CA Population'!$L91*10^6</f>
        <v>163231.102552734</v>
      </c>
      <c r="E91" s="143">
        <f>(INDEX(Production_Consumption!$AA$83:$AJ$99,MATCH('County Scaled Consumption '!$B91,Production_Consumption!$AA$83:$AA$99,0),MATCH('County Scaled Consumption '!E$2,Production_Consumption!$AA$83:$AJ$83,0)))*'CA Population'!$L91*10^6</f>
        <v>99286.976182460377</v>
      </c>
      <c r="F91" s="143">
        <f>(INDEX(Production_Consumption!$AA$83:$AJ$99,MATCH('County Scaled Consumption '!$B91,Production_Consumption!$AA$83:$AA$99,0),MATCH('County Scaled Consumption '!F$2,Production_Consumption!$AA$83:$AJ$83,0)))*'CA Population'!$L91*10^6</f>
        <v>28583.516308476868</v>
      </c>
      <c r="G91" s="143">
        <f>(INDEX(Production_Consumption!$AA$83:$AJ$99,MATCH('County Scaled Consumption '!$B91,Production_Consumption!$AA$83:$AA$99,0),MATCH('County Scaled Consumption '!G$2,Production_Consumption!$AA$83:$AJ$83,0)))*'CA Population'!$L91*10^6</f>
        <v>110388.82488009457</v>
      </c>
      <c r="H91" s="143">
        <f>(INDEX(Production_Consumption!$AA$83:$AJ$99,MATCH('County Scaled Consumption '!$B91,Production_Consumption!$AA$83:$AA$99,0),MATCH('County Scaled Consumption '!H$2,Production_Consumption!$AA$83:$AJ$83,0)))*'CA Population'!$L91*10^6</f>
        <v>2980.5827972195098</v>
      </c>
      <c r="I91" s="143">
        <f>(INDEX(Production_Consumption!$AA$83:$AJ$99,MATCH('County Scaled Consumption '!$B91,Production_Consumption!$AA$83:$AA$99,0),MATCH('County Scaled Consumption '!I$2,Production_Consumption!$AA$83:$AJ$83,0)))*'CA Population'!$L91*10^6</f>
        <v>48832.716361209554</v>
      </c>
      <c r="J91" s="143">
        <f>(INDEX(Production_Consumption!$AA$83:$AJ$99,MATCH('County Scaled Consumption '!$B91,Production_Consumption!$AA$83:$AA$99,0),MATCH('County Scaled Consumption '!J$2,Production_Consumption!$AA$83:$AJ$83,0)))*'CA Population'!$L91*10^6</f>
        <v>38769.870375460268</v>
      </c>
      <c r="K91" s="143">
        <f>(INDEX(Production_Consumption!$AA$83:$AJ$99,MATCH('County Scaled Consumption '!$B91,Production_Consumption!$AA$83:$AA$99,0),MATCH('County Scaled Consumption '!K$2,Production_Consumption!$AA$83:$AJ$83,0)))*'CA Population'!$L91*10^6</f>
        <v>533856.15103035094</v>
      </c>
      <c r="L91" s="131">
        <f t="shared" si="1"/>
        <v>0</v>
      </c>
    </row>
    <row r="92" spans="1:12" x14ac:dyDescent="0.2">
      <c r="A92" s="132" t="s">
        <v>335</v>
      </c>
      <c r="B92" s="129">
        <v>2019</v>
      </c>
      <c r="C92" s="143">
        <f>(INDEX(Production_Consumption!$AA$83:$AJ$99,MATCH('County Scaled Consumption '!$B92,Production_Consumption!$AA$83:$AA$99,0),MATCH('County Scaled Consumption '!C$2,Production_Consumption!$AA$83:$AJ$83,0)))*'CA Population'!$L92*10^6</f>
        <v>5185.7351953072493</v>
      </c>
      <c r="D92" s="143">
        <f>(INDEX(Production_Consumption!$AA$83:$AJ$99,MATCH('County Scaled Consumption '!$B92,Production_Consumption!$AA$83:$AA$99,0),MATCH('County Scaled Consumption '!D$2,Production_Consumption!$AA$83:$AJ$83,0)))*'CA Population'!$L92*10^6</f>
        <v>20259.008581936156</v>
      </c>
      <c r="E92" s="143">
        <f>(INDEX(Production_Consumption!$AA$83:$AJ$99,MATCH('County Scaled Consumption '!$B92,Production_Consumption!$AA$83:$AA$99,0),MATCH('County Scaled Consumption '!E$2,Production_Consumption!$AA$83:$AJ$83,0)))*'CA Population'!$L92*10^6</f>
        <v>12322.747755165887</v>
      </c>
      <c r="F92" s="143">
        <f>(INDEX(Production_Consumption!$AA$83:$AJ$99,MATCH('County Scaled Consumption '!$B92,Production_Consumption!$AA$83:$AA$99,0),MATCH('County Scaled Consumption '!F$2,Production_Consumption!$AA$83:$AJ$83,0)))*'CA Population'!$L92*10^6</f>
        <v>3547.5696306607215</v>
      </c>
      <c r="G92" s="143">
        <f>(INDEX(Production_Consumption!$AA$83:$AJ$99,MATCH('County Scaled Consumption '!$B92,Production_Consumption!$AA$83:$AA$99,0),MATCH('County Scaled Consumption '!G$2,Production_Consumption!$AA$83:$AJ$83,0)))*'CA Population'!$L92*10^6</f>
        <v>13700.625160411415</v>
      </c>
      <c r="H92" s="143">
        <f>(INDEX(Production_Consumption!$AA$83:$AJ$99,MATCH('County Scaled Consumption '!$B92,Production_Consumption!$AA$83:$AA$99,0),MATCH('County Scaled Consumption '!H$2,Production_Consumption!$AA$83:$AJ$83,0)))*'CA Population'!$L92*10^6</f>
        <v>369.92736999086048</v>
      </c>
      <c r="I92" s="143">
        <f>(INDEX(Production_Consumption!$AA$83:$AJ$99,MATCH('County Scaled Consumption '!$B92,Production_Consumption!$AA$83:$AA$99,0),MATCH('County Scaled Consumption '!I$2,Production_Consumption!$AA$83:$AJ$83,0)))*'CA Population'!$L92*10^6</f>
        <v>6060.7470290252495</v>
      </c>
      <c r="J92" s="143">
        <f>(INDEX(Production_Consumption!$AA$83:$AJ$99,MATCH('County Scaled Consumption '!$B92,Production_Consumption!$AA$83:$AA$99,0),MATCH('County Scaled Consumption '!J$2,Production_Consumption!$AA$83:$AJ$83,0)))*'CA Population'!$L92*10^6</f>
        <v>4811.8227738077994</v>
      </c>
      <c r="K92" s="143">
        <f>(INDEX(Production_Consumption!$AA$83:$AJ$99,MATCH('County Scaled Consumption '!$B92,Production_Consumption!$AA$83:$AA$99,0),MATCH('County Scaled Consumption '!K$2,Production_Consumption!$AA$83:$AJ$83,0)))*'CA Population'!$L92*10^6</f>
        <v>66258.183496305326</v>
      </c>
      <c r="L92" s="131">
        <f t="shared" si="1"/>
        <v>0</v>
      </c>
    </row>
    <row r="93" spans="1:12" x14ac:dyDescent="0.2">
      <c r="A93" s="132" t="s">
        <v>336</v>
      </c>
      <c r="B93" s="129">
        <v>2019</v>
      </c>
      <c r="C93" s="143">
        <f>(INDEX(Production_Consumption!$AA$83:$AJ$99,MATCH('County Scaled Consumption '!$B93,Production_Consumption!$AA$83:$AA$99,0),MATCH('County Scaled Consumption '!C$2,Production_Consumption!$AA$83:$AJ$83,0)))*'CA Population'!$L93*10^6</f>
        <v>239.87033987171623</v>
      </c>
      <c r="D93" s="143">
        <f>(INDEX(Production_Consumption!$AA$83:$AJ$99,MATCH('County Scaled Consumption '!$B93,Production_Consumption!$AA$83:$AA$99,0),MATCH('County Scaled Consumption '!D$2,Production_Consumption!$AA$83:$AJ$83,0)))*'CA Population'!$L93*10^6</f>
        <v>937.09668754598238</v>
      </c>
      <c r="E93" s="143">
        <f>(INDEX(Production_Consumption!$AA$83:$AJ$99,MATCH('County Scaled Consumption '!$B93,Production_Consumption!$AA$83:$AA$99,0),MATCH('County Scaled Consumption '!E$2,Production_Consumption!$AA$83:$AJ$83,0)))*'CA Population'!$L93*10^6</f>
        <v>569.99857895943671</v>
      </c>
      <c r="F93" s="143">
        <f>(INDEX(Production_Consumption!$AA$83:$AJ$99,MATCH('County Scaled Consumption '!$B93,Production_Consumption!$AA$83:$AA$99,0),MATCH('County Scaled Consumption '!F$2,Production_Consumption!$AA$83:$AJ$83,0)))*'CA Population'!$L93*10^6</f>
        <v>164.09567804295642</v>
      </c>
      <c r="G93" s="143">
        <f>(INDEX(Production_Consumption!$AA$83:$AJ$99,MATCH('County Scaled Consumption '!$B93,Production_Consumption!$AA$83:$AA$99,0),MATCH('County Scaled Consumption '!G$2,Production_Consumption!$AA$83:$AJ$83,0)))*'CA Population'!$L93*10^6</f>
        <v>633.7334032514475</v>
      </c>
      <c r="H93" s="143">
        <f>(INDEX(Production_Consumption!$AA$83:$AJ$99,MATCH('County Scaled Consumption '!$B93,Production_Consumption!$AA$83:$AA$99,0),MATCH('County Scaled Consumption '!H$2,Production_Consumption!$AA$83:$AJ$83,0)))*'CA Population'!$L93*10^6</f>
        <v>17.111287141668328</v>
      </c>
      <c r="I93" s="143">
        <f>(INDEX(Production_Consumption!$AA$83:$AJ$99,MATCH('County Scaled Consumption '!$B93,Production_Consumption!$AA$83:$AA$99,0),MATCH('County Scaled Consumption '!I$2,Production_Consumption!$AA$83:$AJ$83,0)))*'CA Population'!$L93*10^6</f>
        <v>280.34471390756107</v>
      </c>
      <c r="J93" s="143">
        <f>(INDEX(Production_Consumption!$AA$83:$AJ$99,MATCH('County Scaled Consumption '!$B93,Production_Consumption!$AA$83:$AA$99,0),MATCH('County Scaled Consumption '!J$2,Production_Consumption!$AA$83:$AJ$83,0)))*'CA Population'!$L93*10^6</f>
        <v>222.57472097692704</v>
      </c>
      <c r="K93" s="143">
        <f>(INDEX(Production_Consumption!$AA$83:$AJ$99,MATCH('County Scaled Consumption '!$B93,Production_Consumption!$AA$83:$AA$99,0),MATCH('County Scaled Consumption '!K$2,Production_Consumption!$AA$83:$AJ$83,0)))*'CA Population'!$L93*10^6</f>
        <v>3064.8254096976957</v>
      </c>
      <c r="L93" s="131">
        <f t="shared" si="1"/>
        <v>0</v>
      </c>
    </row>
    <row r="94" spans="1:12" x14ac:dyDescent="0.2">
      <c r="A94" s="132" t="s">
        <v>337</v>
      </c>
      <c r="B94" s="129">
        <v>2019</v>
      </c>
      <c r="C94" s="143">
        <f>(INDEX(Production_Consumption!$AA$83:$AJ$99,MATCH('County Scaled Consumption '!$B94,Production_Consumption!$AA$83:$AA$99,0),MATCH('County Scaled Consumption '!C$2,Production_Consumption!$AA$83:$AJ$83,0)))*'CA Population'!$L94*10^6</f>
        <v>31730.739036422281</v>
      </c>
      <c r="D94" s="143">
        <f>(INDEX(Production_Consumption!$AA$83:$AJ$99,MATCH('County Scaled Consumption '!$B94,Production_Consumption!$AA$83:$AA$99,0),MATCH('County Scaled Consumption '!D$2,Production_Consumption!$AA$83:$AJ$83,0)))*'CA Population'!$L94*10^6</f>
        <v>123961.84730600545</v>
      </c>
      <c r="E94" s="143">
        <f>(INDEX(Production_Consumption!$AA$83:$AJ$99,MATCH('County Scaled Consumption '!$B94,Production_Consumption!$AA$83:$AA$99,0),MATCH('County Scaled Consumption '!E$2,Production_Consumption!$AA$83:$AJ$83,0)))*'CA Population'!$L94*10^6</f>
        <v>75401.052792796982</v>
      </c>
      <c r="F94" s="143">
        <f>(INDEX(Production_Consumption!$AA$83:$AJ$99,MATCH('County Scaled Consumption '!$B94,Production_Consumption!$AA$83:$AA$99,0),MATCH('County Scaled Consumption '!F$2,Production_Consumption!$AA$83:$AJ$83,0)))*'CA Population'!$L94*10^6</f>
        <v>21707.048648742828</v>
      </c>
      <c r="G94" s="143">
        <f>(INDEX(Production_Consumption!$AA$83:$AJ$99,MATCH('County Scaled Consumption '!$B94,Production_Consumption!$AA$83:$AA$99,0),MATCH('County Scaled Consumption '!G$2,Production_Consumption!$AA$83:$AJ$83,0)))*'CA Population'!$L94*10^6</f>
        <v>83832.078813869797</v>
      </c>
      <c r="H94" s="143">
        <f>(INDEX(Production_Consumption!$AA$83:$AJ$99,MATCH('County Scaled Consumption '!$B94,Production_Consumption!$AA$83:$AA$99,0),MATCH('County Scaled Consumption '!H$2,Production_Consumption!$AA$83:$AJ$83,0)))*'CA Population'!$L94*10^6</f>
        <v>2263.5303187544573</v>
      </c>
      <c r="I94" s="143">
        <f>(INDEX(Production_Consumption!$AA$83:$AJ$99,MATCH('County Scaled Consumption '!$B94,Production_Consumption!$AA$83:$AA$99,0),MATCH('County Scaled Consumption '!I$2,Production_Consumption!$AA$83:$AJ$83,0)))*'CA Population'!$L94*10^6</f>
        <v>37084.805741296172</v>
      </c>
      <c r="J94" s="143">
        <f>(INDEX(Production_Consumption!$AA$83:$AJ$99,MATCH('County Scaled Consumption '!$B94,Production_Consumption!$AA$83:$AA$99,0),MATCH('County Scaled Consumption '!J$2,Production_Consumption!$AA$83:$AJ$83,0)))*'CA Population'!$L94*10^6</f>
        <v>29442.824782757274</v>
      </c>
      <c r="K94" s="143">
        <f>(INDEX(Production_Consumption!$AA$83:$AJ$99,MATCH('County Scaled Consumption '!$B94,Production_Consumption!$AA$83:$AA$99,0),MATCH('County Scaled Consumption '!K$2,Production_Consumption!$AA$83:$AJ$83,0)))*'CA Population'!$L94*10^6</f>
        <v>405423.92744064523</v>
      </c>
      <c r="L94" s="131">
        <f t="shared" si="1"/>
        <v>0</v>
      </c>
    </row>
    <row r="95" spans="1:12" x14ac:dyDescent="0.2">
      <c r="A95" s="132" t="s">
        <v>338</v>
      </c>
      <c r="B95" s="129">
        <v>2019</v>
      </c>
      <c r="C95" s="143">
        <f>(INDEX(Production_Consumption!$AA$83:$AJ$99,MATCH('County Scaled Consumption '!$B95,Production_Consumption!$AA$83:$AA$99,0),MATCH('County Scaled Consumption '!C$2,Production_Consumption!$AA$83:$AJ$83,0)))*'CA Population'!$L95*10^6</f>
        <v>20174.634205777471</v>
      </c>
      <c r="D95" s="143">
        <f>(INDEX(Production_Consumption!$AA$83:$AJ$99,MATCH('County Scaled Consumption '!$B95,Production_Consumption!$AA$83:$AA$99,0),MATCH('County Scaled Consumption '!D$2,Production_Consumption!$AA$83:$AJ$83,0)))*'CA Population'!$L95*10^6</f>
        <v>78815.842328804531</v>
      </c>
      <c r="E95" s="143">
        <f>(INDEX(Production_Consumption!$AA$83:$AJ$99,MATCH('County Scaled Consumption '!$B95,Production_Consumption!$AA$83:$AA$99,0),MATCH('County Scaled Consumption '!E$2,Production_Consumption!$AA$83:$AJ$83,0)))*'CA Population'!$L95*10^6</f>
        <v>47940.536685234198</v>
      </c>
      <c r="F95" s="143">
        <f>(INDEX(Production_Consumption!$AA$83:$AJ$99,MATCH('County Scaled Consumption '!$B95,Production_Consumption!$AA$83:$AA$99,0),MATCH('County Scaled Consumption '!F$2,Production_Consumption!$AA$83:$AJ$83,0)))*'CA Population'!$L95*10^6</f>
        <v>13801.499097538213</v>
      </c>
      <c r="G95" s="143">
        <f>(INDEX(Production_Consumption!$AA$83:$AJ$99,MATCH('County Scaled Consumption '!$B95,Production_Consumption!$AA$83:$AA$99,0),MATCH('County Scaled Consumption '!G$2,Production_Consumption!$AA$83:$AJ$83,0)))*'CA Population'!$L95*10^6</f>
        <v>53301.044228386389</v>
      </c>
      <c r="H95" s="143">
        <f>(INDEX(Production_Consumption!$AA$83:$AJ$99,MATCH('County Scaled Consumption '!$B95,Production_Consumption!$AA$83:$AA$99,0),MATCH('County Scaled Consumption '!H$2,Production_Consumption!$AA$83:$AJ$83,0)))*'CA Population'!$L95*10^6</f>
        <v>1439.169007130286</v>
      </c>
      <c r="I95" s="143">
        <f>(INDEX(Production_Consumption!$AA$83:$AJ$99,MATCH('County Scaled Consumption '!$B95,Production_Consumption!$AA$83:$AA$99,0),MATCH('County Scaled Consumption '!I$2,Production_Consumption!$AA$83:$AJ$83,0)))*'CA Population'!$L95*10^6</f>
        <v>23578.788680722915</v>
      </c>
      <c r="J95" s="143">
        <f>(INDEX(Production_Consumption!$AA$83:$AJ$99,MATCH('County Scaled Consumption '!$B95,Production_Consumption!$AA$83:$AA$99,0),MATCH('County Scaled Consumption '!J$2,Production_Consumption!$AA$83:$AJ$83,0)))*'CA Population'!$L95*10^6</f>
        <v>18719.961715833466</v>
      </c>
      <c r="K95" s="143">
        <f>(INDEX(Production_Consumption!$AA$83:$AJ$99,MATCH('County Scaled Consumption '!$B95,Production_Consumption!$AA$83:$AA$99,0),MATCH('County Scaled Consumption '!K$2,Production_Consumption!$AA$83:$AJ$83,0)))*'CA Population'!$L95*10^6</f>
        <v>257771.47594942746</v>
      </c>
      <c r="L95" s="131">
        <f t="shared" si="1"/>
        <v>0</v>
      </c>
    </row>
    <row r="96" spans="1:12" x14ac:dyDescent="0.2">
      <c r="A96" s="132" t="s">
        <v>339</v>
      </c>
      <c r="B96" s="129">
        <v>2019</v>
      </c>
      <c r="C96" s="143">
        <f>(INDEX(Production_Consumption!$AA$83:$AJ$99,MATCH('County Scaled Consumption '!$B96,Production_Consumption!$AA$83:$AA$99,0),MATCH('County Scaled Consumption '!C$2,Production_Consumption!$AA$83:$AJ$83,0)))*'CA Population'!$L96*10^6</f>
        <v>805.86832562468578</v>
      </c>
      <c r="D96" s="143">
        <f>(INDEX(Production_Consumption!$AA$83:$AJ$99,MATCH('County Scaled Consumption '!$B96,Production_Consumption!$AA$83:$AA$99,0),MATCH('County Scaled Consumption '!D$2,Production_Consumption!$AA$83:$AJ$83,0)))*'CA Population'!$L96*10^6</f>
        <v>3148.2697650113482</v>
      </c>
      <c r="E96" s="143">
        <f>(INDEX(Production_Consumption!$AA$83:$AJ$99,MATCH('County Scaled Consumption '!$B96,Production_Consumption!$AA$83:$AA$99,0),MATCH('County Scaled Consumption '!E$2,Production_Consumption!$AA$83:$AJ$83,0)))*'CA Population'!$L96*10^6</f>
        <v>1914.9670637901741</v>
      </c>
      <c r="F96" s="143">
        <f>(INDEX(Production_Consumption!$AA$83:$AJ$99,MATCH('County Scaled Consumption '!$B96,Production_Consumption!$AA$83:$AA$99,0),MATCH('County Scaled Consumption '!F$2,Production_Consumption!$AA$83:$AJ$83,0)))*'CA Population'!$L96*10^6</f>
        <v>551.29579329168882</v>
      </c>
      <c r="G96" s="143">
        <f>(INDEX(Production_Consumption!$AA$83:$AJ$99,MATCH('County Scaled Consumption '!$B96,Production_Consumption!$AA$83:$AA$99,0),MATCH('County Scaled Consumption '!G$2,Production_Consumption!$AA$83:$AJ$83,0)))*'CA Population'!$L96*10^6</f>
        <v>2129.0905613582968</v>
      </c>
      <c r="H96" s="143">
        <f>(INDEX(Production_Consumption!$AA$83:$AJ$99,MATCH('County Scaled Consumption '!$B96,Production_Consumption!$AA$83:$AA$99,0),MATCH('County Scaled Consumption '!H$2,Production_Consumption!$AA$83:$AJ$83,0)))*'CA Population'!$L96*10^6</f>
        <v>57.487075415468745</v>
      </c>
      <c r="I96" s="143">
        <f>(INDEX(Production_Consumption!$AA$83:$AJ$99,MATCH('County Scaled Consumption '!$B96,Production_Consumption!$AA$83:$AA$99,0),MATCH('County Scaled Consumption '!I$2,Production_Consumption!$AA$83:$AJ$83,0)))*'CA Population'!$L96*10^6</f>
        <v>941.84602112641915</v>
      </c>
      <c r="J96" s="143">
        <f>(INDEX(Production_Consumption!$AA$83:$AJ$99,MATCH('County Scaled Consumption '!$B96,Production_Consumption!$AA$83:$AA$99,0),MATCH('County Scaled Consumption '!J$2,Production_Consumption!$AA$83:$AJ$83,0)))*'CA Population'!$L96*10^6</f>
        <v>747.76196930384788</v>
      </c>
      <c r="K96" s="143">
        <f>(INDEX(Production_Consumption!$AA$83:$AJ$99,MATCH('County Scaled Consumption '!$B96,Production_Consumption!$AA$83:$AA$99,0),MATCH('County Scaled Consumption '!K$2,Production_Consumption!$AA$83:$AJ$83,0)))*'CA Population'!$L96*10^6</f>
        <v>10296.58657492193</v>
      </c>
      <c r="L96" s="131">
        <f t="shared" si="1"/>
        <v>0</v>
      </c>
    </row>
    <row r="97" spans="1:12" x14ac:dyDescent="0.2">
      <c r="A97" s="132" t="s">
        <v>340</v>
      </c>
      <c r="B97" s="129">
        <v>2019</v>
      </c>
      <c r="C97" s="143">
        <f>(INDEX(Production_Consumption!$AA$83:$AJ$99,MATCH('County Scaled Consumption '!$B97,Production_Consumption!$AA$83:$AA$99,0),MATCH('County Scaled Consumption '!C$2,Production_Consumption!$AA$83:$AJ$83,0)))*'CA Population'!$L97*10^6</f>
        <v>28409.767170120482</v>
      </c>
      <c r="D97" s="143">
        <f>(INDEX(Production_Consumption!$AA$83:$AJ$99,MATCH('County Scaled Consumption '!$B97,Production_Consumption!$AA$83:$AA$99,0),MATCH('County Scaled Consumption '!D$2,Production_Consumption!$AA$83:$AJ$83,0)))*'CA Population'!$L97*10^6</f>
        <v>110987.87254526945</v>
      </c>
      <c r="E97" s="143">
        <f>(INDEX(Production_Consumption!$AA$83:$AJ$99,MATCH('County Scaled Consumption '!$B97,Production_Consumption!$AA$83:$AA$99,0),MATCH('County Scaled Consumption '!E$2,Production_Consumption!$AA$83:$AJ$83,0)))*'CA Population'!$L97*10^6</f>
        <v>67509.50085866185</v>
      </c>
      <c r="F97" s="143">
        <f>(INDEX(Production_Consumption!$AA$83:$AJ$99,MATCH('County Scaled Consumption '!$B97,Production_Consumption!$AA$83:$AA$99,0),MATCH('County Scaled Consumption '!F$2,Production_Consumption!$AA$83:$AJ$83,0)))*'CA Population'!$L97*10^6</f>
        <v>19435.166554217001</v>
      </c>
      <c r="G97" s="143">
        <f>(INDEX(Production_Consumption!$AA$83:$AJ$99,MATCH('County Scaled Consumption '!$B97,Production_Consumption!$AA$83:$AA$99,0),MATCH('County Scaled Consumption '!G$2,Production_Consumption!$AA$83:$AJ$83,0)))*'CA Population'!$L97*10^6</f>
        <v>75058.127002823443</v>
      </c>
      <c r="H97" s="143">
        <f>(INDEX(Production_Consumption!$AA$83:$AJ$99,MATCH('County Scaled Consumption '!$B97,Production_Consumption!$AA$83:$AA$99,0),MATCH('County Scaled Consumption '!H$2,Production_Consumption!$AA$83:$AJ$83,0)))*'CA Population'!$L97*10^6</f>
        <v>2026.6269015829841</v>
      </c>
      <c r="I97" s="143">
        <f>(INDEX(Production_Consumption!$AA$83:$AJ$99,MATCH('County Scaled Consumption '!$B97,Production_Consumption!$AA$83:$AA$99,0),MATCH('County Scaled Consumption '!I$2,Production_Consumption!$AA$83:$AJ$83,0)))*'CA Population'!$L97*10^6</f>
        <v>33203.471732884165</v>
      </c>
      <c r="J97" s="143">
        <f>(INDEX(Production_Consumption!$AA$83:$AJ$99,MATCH('County Scaled Consumption '!$B97,Production_Consumption!$AA$83:$AA$99,0),MATCH('County Scaled Consumption '!J$2,Production_Consumption!$AA$83:$AJ$83,0)))*'CA Population'!$L97*10^6</f>
        <v>26361.30838139787</v>
      </c>
      <c r="K97" s="143">
        <f>(INDEX(Production_Consumption!$AA$83:$AJ$99,MATCH('County Scaled Consumption '!$B97,Production_Consumption!$AA$83:$AA$99,0),MATCH('County Scaled Consumption '!K$2,Production_Consumption!$AA$83:$AJ$83,0)))*'CA Population'!$L97*10^6</f>
        <v>362991.84114695719</v>
      </c>
      <c r="L97" s="131">
        <f t="shared" si="1"/>
        <v>0</v>
      </c>
    </row>
    <row r="98" spans="1:12" x14ac:dyDescent="0.2">
      <c r="A98" s="132" t="s">
        <v>341</v>
      </c>
      <c r="B98" s="129">
        <v>2019</v>
      </c>
      <c r="C98" s="143">
        <f>(INDEX(Production_Consumption!$AA$83:$AJ$99,MATCH('County Scaled Consumption '!$B98,Production_Consumption!$AA$83:$AA$99,0),MATCH('County Scaled Consumption '!C$2,Production_Consumption!$AA$83:$AJ$83,0)))*'CA Population'!$L98*10^6</f>
        <v>43723.101735158816</v>
      </c>
      <c r="D98" s="143">
        <f>(INDEX(Production_Consumption!$AA$83:$AJ$99,MATCH('County Scaled Consumption '!$B98,Production_Consumption!$AA$83:$AA$99,0),MATCH('County Scaled Consumption '!D$2,Production_Consumption!$AA$83:$AJ$83,0)))*'CA Population'!$L98*10^6</f>
        <v>170812.17222256723</v>
      </c>
      <c r="E98" s="143">
        <f>(INDEX(Production_Consumption!$AA$83:$AJ$99,MATCH('County Scaled Consumption '!$B98,Production_Consumption!$AA$83:$AA$99,0),MATCH('County Scaled Consumption '!E$2,Production_Consumption!$AA$83:$AJ$83,0)))*'CA Population'!$L98*10^6</f>
        <v>103898.23881546952</v>
      </c>
      <c r="F98" s="143">
        <f>(INDEX(Production_Consumption!$AA$83:$AJ$99,MATCH('County Scaled Consumption '!$B98,Production_Consumption!$AA$83:$AA$99,0),MATCH('County Scaled Consumption '!F$2,Production_Consumption!$AA$83:$AJ$83,0)))*'CA Population'!$L98*10^6</f>
        <v>29911.042895962677</v>
      </c>
      <c r="G98" s="143">
        <f>(INDEX(Production_Consumption!$AA$83:$AJ$99,MATCH('County Scaled Consumption '!$B98,Production_Consumption!$AA$83:$AA$99,0),MATCH('County Scaled Consumption '!G$2,Production_Consumption!$AA$83:$AJ$83,0)))*'CA Population'!$L98*10^6</f>
        <v>115515.69934886595</v>
      </c>
      <c r="H98" s="143">
        <f>(INDEX(Production_Consumption!$AA$83:$AJ$99,MATCH('County Scaled Consumption '!$B98,Production_Consumption!$AA$83:$AA$99,0),MATCH('County Scaled Consumption '!H$2,Production_Consumption!$AA$83:$AJ$83,0)))*'CA Population'!$L98*10^6</f>
        <v>3119.0123335581957</v>
      </c>
      <c r="I98" s="143">
        <f>(INDEX(Production_Consumption!$AA$83:$AJ$99,MATCH('County Scaled Consumption '!$B98,Production_Consumption!$AA$83:$AA$99,0),MATCH('County Scaled Consumption '!I$2,Production_Consumption!$AA$83:$AJ$83,0)))*'CA Population'!$L98*10^6</f>
        <v>51100.692372594604</v>
      </c>
      <c r="J98" s="143">
        <f>(INDEX(Production_Consumption!$AA$83:$AJ$99,MATCH('County Scaled Consumption '!$B98,Production_Consumption!$AA$83:$AA$99,0),MATCH('County Scaled Consumption '!J$2,Production_Consumption!$AA$83:$AJ$83,0)))*'CA Population'!$L98*10^6</f>
        <v>40570.489766068218</v>
      </c>
      <c r="K98" s="143">
        <f>(INDEX(Production_Consumption!$AA$83:$AJ$99,MATCH('County Scaled Consumption '!$B98,Production_Consumption!$AA$83:$AA$99,0),MATCH('County Scaled Consumption '!K$2,Production_Consumption!$AA$83:$AJ$83,0)))*'CA Population'!$L98*10^6</f>
        <v>558650.44949024508</v>
      </c>
      <c r="L98" s="131">
        <f t="shared" si="1"/>
        <v>0</v>
      </c>
    </row>
    <row r="99" spans="1:12" x14ac:dyDescent="0.2">
      <c r="A99" s="132" t="s">
        <v>342</v>
      </c>
      <c r="B99" s="129">
        <v>2019</v>
      </c>
      <c r="C99" s="143">
        <f>(INDEX(Production_Consumption!$AA$83:$AJ$99,MATCH('County Scaled Consumption '!$B99,Production_Consumption!$AA$83:$AA$99,0),MATCH('County Scaled Consumption '!C$2,Production_Consumption!$AA$83:$AJ$83,0)))*'CA Population'!$L99*10^6</f>
        <v>11633.258947729373</v>
      </c>
      <c r="D99" s="143">
        <f>(INDEX(Production_Consumption!$AA$83:$AJ$99,MATCH('County Scaled Consumption '!$B99,Production_Consumption!$AA$83:$AA$99,0),MATCH('County Scaled Consumption '!D$2,Production_Consumption!$AA$83:$AJ$83,0)))*'CA Population'!$L99*10^6</f>
        <v>45447.421432395611</v>
      </c>
      <c r="E99" s="143">
        <f>(INDEX(Production_Consumption!$AA$83:$AJ$99,MATCH('County Scaled Consumption '!$B99,Production_Consumption!$AA$83:$AA$99,0),MATCH('County Scaled Consumption '!E$2,Production_Consumption!$AA$83:$AJ$83,0)))*'CA Population'!$L99*10^6</f>
        <v>27643.855728136932</v>
      </c>
      <c r="F99" s="143">
        <f>(INDEX(Production_Consumption!$AA$83:$AJ$99,MATCH('County Scaled Consumption '!$B99,Production_Consumption!$AA$83:$AA$99,0),MATCH('County Scaled Consumption '!F$2,Production_Consumption!$AA$83:$AJ$83,0)))*'CA Population'!$L99*10^6</f>
        <v>7958.3308044582163</v>
      </c>
      <c r="G99" s="143">
        <f>(INDEX(Production_Consumption!$AA$83:$AJ$99,MATCH('County Scaled Consumption '!$B99,Production_Consumption!$AA$83:$AA$99,0),MATCH('County Scaled Consumption '!G$2,Production_Consumption!$AA$83:$AJ$83,0)))*'CA Population'!$L99*10^6</f>
        <v>30734.874465065895</v>
      </c>
      <c r="H99" s="143">
        <f>(INDEX(Production_Consumption!$AA$83:$AJ$99,MATCH('County Scaled Consumption '!$B99,Production_Consumption!$AA$83:$AA$99,0),MATCH('County Scaled Consumption '!H$2,Production_Consumption!$AA$83:$AJ$83,0)))*'CA Population'!$L99*10^6</f>
        <v>829.86514445444936</v>
      </c>
      <c r="I99" s="143">
        <f>(INDEX(Production_Consumption!$AA$83:$AJ$99,MATCH('County Scaled Consumption '!$B99,Production_Consumption!$AA$83:$AA$99,0),MATCH('County Scaled Consumption '!I$2,Production_Consumption!$AA$83:$AJ$83,0)))*'CA Population'!$L99*10^6</f>
        <v>13596.189730076409</v>
      </c>
      <c r="J99" s="143">
        <f>(INDEX(Production_Consumption!$AA$83:$AJ$99,MATCH('County Scaled Consumption '!$B99,Production_Consumption!$AA$83:$AA$99,0),MATCH('County Scaled Consumption '!J$2,Production_Consumption!$AA$83:$AJ$83,0)))*'CA Population'!$L99*10^6</f>
        <v>10794.454061006285</v>
      </c>
      <c r="K99" s="143">
        <f>(INDEX(Production_Consumption!$AA$83:$AJ$99,MATCH('County Scaled Consumption '!$B99,Production_Consumption!$AA$83:$AA$99,0),MATCH('County Scaled Consumption '!K$2,Production_Consumption!$AA$83:$AJ$83,0)))*'CA Population'!$L99*10^6</f>
        <v>148638.25031332317</v>
      </c>
      <c r="L99" s="131">
        <f t="shared" si="1"/>
        <v>0</v>
      </c>
    </row>
    <row r="100" spans="1:12" x14ac:dyDescent="0.2">
      <c r="A100" s="132" t="s">
        <v>343</v>
      </c>
      <c r="B100" s="129">
        <v>2019</v>
      </c>
      <c r="C100" s="143">
        <f>(INDEX(Production_Consumption!$AA$83:$AJ$99,MATCH('County Scaled Consumption '!$B100,Production_Consumption!$AA$83:$AA$99,0),MATCH('County Scaled Consumption '!C$2,Production_Consumption!$AA$83:$AJ$83,0)))*'CA Population'!$L100*10^6</f>
        <v>10026.270645746341</v>
      </c>
      <c r="D100" s="143">
        <f>(INDEX(Production_Consumption!$AA$83:$AJ$99,MATCH('County Scaled Consumption '!$B100,Production_Consumption!$AA$83:$AA$99,0),MATCH('County Scaled Consumption '!D$2,Production_Consumption!$AA$83:$AJ$83,0)))*'CA Population'!$L100*10^6</f>
        <v>39169.432184042504</v>
      </c>
      <c r="E100" s="143">
        <f>(INDEX(Production_Consumption!$AA$83:$AJ$99,MATCH('County Scaled Consumption '!$B100,Production_Consumption!$AA$83:$AA$99,0),MATCH('County Scaled Consumption '!E$2,Production_Consumption!$AA$83:$AJ$83,0)))*'CA Population'!$L100*10^6</f>
        <v>23825.204997810553</v>
      </c>
      <c r="F100" s="143">
        <f>(INDEX(Production_Consumption!$AA$83:$AJ$99,MATCH('County Scaled Consumption '!$B100,Production_Consumption!$AA$83:$AA$99,0),MATCH('County Scaled Consumption '!F$2,Production_Consumption!$AA$83:$AJ$83,0)))*'CA Population'!$L100*10^6</f>
        <v>6858.9875711012592</v>
      </c>
      <c r="G100" s="143">
        <f>(INDEX(Production_Consumption!$AA$83:$AJ$99,MATCH('County Scaled Consumption '!$B100,Production_Consumption!$AA$83:$AA$99,0),MATCH('County Scaled Consumption '!G$2,Production_Consumption!$AA$83:$AJ$83,0)))*'CA Population'!$L100*10^6</f>
        <v>26489.238401242339</v>
      </c>
      <c r="H100" s="143">
        <f>(INDEX(Production_Consumption!$AA$83:$AJ$99,MATCH('County Scaled Consumption '!$B100,Production_Consumption!$AA$83:$AA$99,0),MATCH('County Scaled Consumption '!H$2,Production_Consumption!$AA$83:$AJ$83,0)))*'CA Population'!$L100*10^6</f>
        <v>715.22971981945886</v>
      </c>
      <c r="I100" s="143">
        <f>(INDEX(Production_Consumption!$AA$83:$AJ$99,MATCH('County Scaled Consumption '!$B100,Production_Consumption!$AA$83:$AA$99,0),MATCH('County Scaled Consumption '!I$2,Production_Consumption!$AA$83:$AJ$83,0)))*'CA Population'!$L100*10^6</f>
        <v>11718.047246878337</v>
      </c>
      <c r="J100" s="143">
        <f>(INDEX(Production_Consumption!$AA$83:$AJ$99,MATCH('County Scaled Consumption '!$B100,Production_Consumption!$AA$83:$AA$99,0),MATCH('County Scaled Consumption '!J$2,Production_Consumption!$AA$83:$AJ$83,0)))*'CA Population'!$L100*10^6</f>
        <v>9303.336096532872</v>
      </c>
      <c r="K100" s="143">
        <f>(INDEX(Production_Consumption!$AA$83:$AJ$99,MATCH('County Scaled Consumption '!$B100,Production_Consumption!$AA$83:$AA$99,0),MATCH('County Scaled Consumption '!K$2,Production_Consumption!$AA$83:$AJ$83,0)))*'CA Population'!$L100*10^6</f>
        <v>128105.74686317367</v>
      </c>
      <c r="L100" s="131">
        <f t="shared" si="1"/>
        <v>0</v>
      </c>
    </row>
    <row r="101" spans="1:12" x14ac:dyDescent="0.2">
      <c r="A101" s="132" t="s">
        <v>344</v>
      </c>
      <c r="B101" s="129">
        <v>2019</v>
      </c>
      <c r="C101" s="143">
        <f>(INDEX(Production_Consumption!$AA$83:$AJ$99,MATCH('County Scaled Consumption '!$B101,Production_Consumption!$AA$83:$AA$99,0),MATCH('County Scaled Consumption '!C$2,Production_Consumption!$AA$83:$AJ$83,0)))*'CA Population'!$L101*10^6</f>
        <v>3644.5548167198749</v>
      </c>
      <c r="D101" s="143">
        <f>(INDEX(Production_Consumption!$AA$83:$AJ$99,MATCH('County Scaled Consumption '!$B101,Production_Consumption!$AA$83:$AA$99,0),MATCH('County Scaled Consumption '!D$2,Production_Consumption!$AA$83:$AJ$83,0)))*'CA Population'!$L101*10^6</f>
        <v>14238.109839484399</v>
      </c>
      <c r="E101" s="143">
        <f>(INDEX(Production_Consumption!$AA$83:$AJ$99,MATCH('County Scaled Consumption '!$B101,Production_Consumption!$AA$83:$AA$99,0),MATCH('County Scaled Consumption '!E$2,Production_Consumption!$AA$83:$AJ$83,0)))*'CA Population'!$L101*10^6</f>
        <v>8660.4749365056869</v>
      </c>
      <c r="F101" s="143">
        <f>(INDEX(Production_Consumption!$AA$83:$AJ$99,MATCH('County Scaled Consumption '!$B101,Production_Consumption!$AA$83:$AA$99,0),MATCH('County Scaled Consumption '!F$2,Production_Consumption!$AA$83:$AJ$83,0)))*'CA Population'!$L101*10^6</f>
        <v>2493.2457015494856</v>
      </c>
      <c r="G101" s="143">
        <f>(INDEX(Production_Consumption!$AA$83:$AJ$99,MATCH('County Scaled Consumption '!$B101,Production_Consumption!$AA$83:$AA$99,0),MATCH('County Scaled Consumption '!G$2,Production_Consumption!$AA$83:$AJ$83,0)))*'CA Population'!$L101*10^6</f>
        <v>9628.8525232905704</v>
      </c>
      <c r="H101" s="143">
        <f>(INDEX(Production_Consumption!$AA$83:$AJ$99,MATCH('County Scaled Consumption '!$B101,Production_Consumption!$AA$83:$AA$99,0),MATCH('County Scaled Consumption '!H$2,Production_Consumption!$AA$83:$AJ$83,0)))*'CA Population'!$L101*10^6</f>
        <v>259.98639100522473</v>
      </c>
      <c r="I101" s="143">
        <f>(INDEX(Production_Consumption!$AA$83:$AJ$99,MATCH('County Scaled Consumption '!$B101,Production_Consumption!$AA$83:$AA$99,0),MATCH('County Scaled Consumption '!I$2,Production_Consumption!$AA$83:$AJ$83,0)))*'CA Population'!$L101*10^6</f>
        <v>4259.5165286386964</v>
      </c>
      <c r="J101" s="143">
        <f>(INDEX(Production_Consumption!$AA$83:$AJ$99,MATCH('County Scaled Consumption '!$B101,Production_Consumption!$AA$83:$AA$99,0),MATCH('County Scaled Consumption '!J$2,Production_Consumption!$AA$83:$AJ$83,0)))*'CA Population'!$L101*10^6</f>
        <v>3381.7677160517951</v>
      </c>
      <c r="K101" s="143">
        <f>(INDEX(Production_Consumption!$AA$83:$AJ$99,MATCH('County Scaled Consumption '!$B101,Production_Consumption!$AA$83:$AA$99,0),MATCH('County Scaled Consumption '!K$2,Production_Consumption!$AA$83:$AJ$83,0)))*'CA Population'!$L101*10^6</f>
        <v>46566.508453245733</v>
      </c>
      <c r="L101" s="131">
        <f t="shared" si="1"/>
        <v>0</v>
      </c>
    </row>
    <row r="102" spans="1:12" x14ac:dyDescent="0.2">
      <c r="A102" s="132" t="s">
        <v>345</v>
      </c>
      <c r="B102" s="129">
        <v>2019</v>
      </c>
      <c r="C102" s="143">
        <f>(INDEX(Production_Consumption!$AA$83:$AJ$99,MATCH('County Scaled Consumption '!$B102,Production_Consumption!$AA$83:$AA$99,0),MATCH('County Scaled Consumption '!C$2,Production_Consumption!$AA$83:$AJ$83,0)))*'CA Population'!$L102*10^6</f>
        <v>10115.295635996757</v>
      </c>
      <c r="D102" s="143">
        <f>(INDEX(Production_Consumption!$AA$83:$AJ$99,MATCH('County Scaled Consumption '!$B102,Production_Consumption!$AA$83:$AA$99,0),MATCH('County Scaled Consumption '!D$2,Production_Consumption!$AA$83:$AJ$83,0)))*'CA Population'!$L102*10^6</f>
        <v>39517.224343411159</v>
      </c>
      <c r="E102" s="143">
        <f>(INDEX(Production_Consumption!$AA$83:$AJ$99,MATCH('County Scaled Consumption '!$B102,Production_Consumption!$AA$83:$AA$99,0),MATCH('County Scaled Consumption '!E$2,Production_Consumption!$AA$83:$AJ$83,0)))*'CA Population'!$L102*10^6</f>
        <v>24036.753111519622</v>
      </c>
      <c r="F102" s="143">
        <f>(INDEX(Production_Consumption!$AA$83:$AJ$99,MATCH('County Scaled Consumption '!$B102,Production_Consumption!$AA$83:$AA$99,0),MATCH('County Scaled Consumption '!F$2,Production_Consumption!$AA$83:$AJ$83,0)))*'CA Population'!$L102*10^6</f>
        <v>6919.8897074209153</v>
      </c>
      <c r="G102" s="143">
        <f>(INDEX(Production_Consumption!$AA$83:$AJ$99,MATCH('County Scaled Consumption '!$B102,Production_Consumption!$AA$83:$AA$99,0),MATCH('County Scaled Consumption '!G$2,Production_Consumption!$AA$83:$AJ$83,0)))*'CA Population'!$L102*10^6</f>
        <v>26724.440928057433</v>
      </c>
      <c r="H102" s="143">
        <f>(INDEX(Production_Consumption!$AA$83:$AJ$99,MATCH('County Scaled Consumption '!$B102,Production_Consumption!$AA$83:$AA$99,0),MATCH('County Scaled Consumption '!H$2,Production_Consumption!$AA$83:$AJ$83,0)))*'CA Population'!$L102*10^6</f>
        <v>721.5803681396045</v>
      </c>
      <c r="I102" s="143">
        <f>(INDEX(Production_Consumption!$AA$83:$AJ$99,MATCH('County Scaled Consumption '!$B102,Production_Consumption!$AA$83:$AA$99,0),MATCH('County Scaled Consumption '!I$2,Production_Consumption!$AA$83:$AJ$83,0)))*'CA Population'!$L102*10^6</f>
        <v>11822.093814018417</v>
      </c>
      <c r="J102" s="143">
        <f>(INDEX(Production_Consumption!$AA$83:$AJ$99,MATCH('County Scaled Consumption '!$B102,Production_Consumption!$AA$83:$AA$99,0),MATCH('County Scaled Consumption '!J$2,Production_Consumption!$AA$83:$AJ$83,0)))*'CA Population'!$L102*10^6</f>
        <v>9385.9420259510625</v>
      </c>
      <c r="K102" s="143">
        <f>(INDEX(Production_Consumption!$AA$83:$AJ$99,MATCH('County Scaled Consumption '!$B102,Production_Consumption!$AA$83:$AA$99,0),MATCH('County Scaled Consumption '!K$2,Production_Consumption!$AA$83:$AJ$83,0)))*'CA Population'!$L102*10^6</f>
        <v>129243.21993451496</v>
      </c>
      <c r="L102" s="131">
        <f t="shared" si="1"/>
        <v>0</v>
      </c>
    </row>
    <row r="103" spans="1:12" x14ac:dyDescent="0.2">
      <c r="A103" s="132" t="s">
        <v>346</v>
      </c>
      <c r="B103" s="129">
        <v>2019</v>
      </c>
      <c r="C103" s="143">
        <f>(INDEX(Production_Consumption!$AA$83:$AJ$99,MATCH('County Scaled Consumption '!$B103,Production_Consumption!$AA$83:$AA$99,0),MATCH('County Scaled Consumption '!C$2,Production_Consumption!$AA$83:$AJ$83,0)))*'CA Population'!$L103*10^6</f>
        <v>5899.9551332968013</v>
      </c>
      <c r="D103" s="143">
        <f>(INDEX(Production_Consumption!$AA$83:$AJ$99,MATCH('County Scaled Consumption '!$B103,Production_Consumption!$AA$83:$AA$99,0),MATCH('County Scaled Consumption '!D$2,Production_Consumption!$AA$83:$AJ$83,0)))*'CA Population'!$L103*10^6</f>
        <v>23049.237413175764</v>
      </c>
      <c r="E103" s="143">
        <f>(INDEX(Production_Consumption!$AA$83:$AJ$99,MATCH('County Scaled Consumption '!$B103,Production_Consumption!$AA$83:$AA$99,0),MATCH('County Scaled Consumption '!E$2,Production_Consumption!$AA$83:$AJ$83,0)))*'CA Population'!$L103*10^6</f>
        <v>14019.932784112205</v>
      </c>
      <c r="F103" s="143">
        <f>(INDEX(Production_Consumption!$AA$83:$AJ$99,MATCH('County Scaled Consumption '!$B103,Production_Consumption!$AA$83:$AA$99,0),MATCH('County Scaled Consumption '!F$2,Production_Consumption!$AA$83:$AJ$83,0)))*'CA Population'!$L103*10^6</f>
        <v>4036.1686173419143</v>
      </c>
      <c r="G103" s="143">
        <f>(INDEX(Production_Consumption!$AA$83:$AJ$99,MATCH('County Scaled Consumption '!$B103,Production_Consumption!$AA$83:$AA$99,0),MATCH('County Scaled Consumption '!G$2,Production_Consumption!$AA$83:$AJ$83,0)))*'CA Population'!$L103*10^6</f>
        <v>15587.582223190509</v>
      </c>
      <c r="H103" s="143">
        <f>(INDEX(Production_Consumption!$AA$83:$AJ$99,MATCH('County Scaled Consumption '!$B103,Production_Consumption!$AA$83:$AA$99,0),MATCH('County Scaled Consumption '!H$2,Production_Consumption!$AA$83:$AJ$83,0)))*'CA Population'!$L103*10^6</f>
        <v>420.87665554146145</v>
      </c>
      <c r="I103" s="143">
        <f>(INDEX(Production_Consumption!$AA$83:$AJ$99,MATCH('County Scaled Consumption '!$B103,Production_Consumption!$AA$83:$AA$99,0),MATCH('County Scaled Consumption '!I$2,Production_Consumption!$AA$83:$AJ$83,0)))*'CA Population'!$L103*10^6</f>
        <v>6895.4804282851992</v>
      </c>
      <c r="J103" s="143">
        <f>(INDEX(Production_Consumption!$AA$83:$AJ$99,MATCH('County Scaled Consumption '!$B103,Production_Consumption!$AA$83:$AA$99,0),MATCH('County Scaled Consumption '!J$2,Production_Consumption!$AA$83:$AJ$83,0)))*'CA Population'!$L103*10^6</f>
        <v>5474.5445738402641</v>
      </c>
      <c r="K103" s="143">
        <f>(INDEX(Production_Consumption!$AA$83:$AJ$99,MATCH('County Scaled Consumption '!$B103,Production_Consumption!$AA$83:$AA$99,0),MATCH('County Scaled Consumption '!K$2,Production_Consumption!$AA$83:$AJ$83,0)))*'CA Population'!$L103*10^6</f>
        <v>75383.777828784107</v>
      </c>
      <c r="L103" s="131">
        <f t="shared" si="1"/>
        <v>0</v>
      </c>
    </row>
    <row r="104" spans="1:12" x14ac:dyDescent="0.2">
      <c r="A104" s="132" t="s">
        <v>347</v>
      </c>
      <c r="B104" s="129">
        <v>2019</v>
      </c>
      <c r="C104" s="143">
        <f>(INDEX(Production_Consumption!$AA$83:$AJ$99,MATCH('County Scaled Consumption '!$B104,Production_Consumption!$AA$83:$AA$99,0),MATCH('County Scaled Consumption '!C$2,Production_Consumption!$AA$83:$AJ$83,0)))*'CA Population'!$L104*10^6</f>
        <v>25509.037330876705</v>
      </c>
      <c r="D104" s="143">
        <f>(INDEX(Production_Consumption!$AA$83:$AJ$99,MATCH('County Scaled Consumption '!$B104,Production_Consumption!$AA$83:$AA$99,0),MATCH('County Scaled Consumption '!D$2,Production_Consumption!$AA$83:$AJ$83,0)))*'CA Population'!$L104*10^6</f>
        <v>99655.648956163452</v>
      </c>
      <c r="E104" s="143">
        <f>(INDEX(Production_Consumption!$AA$83:$AJ$99,MATCH('County Scaled Consumption '!$B104,Production_Consumption!$AA$83:$AA$99,0),MATCH('County Scaled Consumption '!E$2,Production_Consumption!$AA$83:$AJ$83,0)))*'CA Population'!$L104*10^6</f>
        <v>60616.560751108569</v>
      </c>
      <c r="F104" s="143">
        <f>(INDEX(Production_Consumption!$AA$83:$AJ$99,MATCH('County Scaled Consumption '!$B104,Production_Consumption!$AA$83:$AA$99,0),MATCH('County Scaled Consumption '!F$2,Production_Consumption!$AA$83:$AJ$83,0)))*'CA Population'!$L104*10^6</f>
        <v>17450.772693580839</v>
      </c>
      <c r="G104" s="143">
        <f>(INDEX(Production_Consumption!$AA$83:$AJ$99,MATCH('County Scaled Consumption '!$B104,Production_Consumption!$AA$83:$AA$99,0),MATCH('County Scaled Consumption '!G$2,Production_Consumption!$AA$83:$AJ$83,0)))*'CA Population'!$L104*10^6</f>
        <v>67394.447558669941</v>
      </c>
      <c r="H104" s="143">
        <f>(INDEX(Production_Consumption!$AA$83:$AJ$99,MATCH('County Scaled Consumption '!$B104,Production_Consumption!$AA$83:$AA$99,0),MATCH('County Scaled Consumption '!H$2,Production_Consumption!$AA$83:$AJ$83,0)))*'CA Population'!$L104*10^6</f>
        <v>1819.7016884605498</v>
      </c>
      <c r="I104" s="143">
        <f>(INDEX(Production_Consumption!$AA$83:$AJ$99,MATCH('County Scaled Consumption '!$B104,Production_Consumption!$AA$83:$AA$99,0),MATCH('County Scaled Consumption '!I$2,Production_Consumption!$AA$83:$AJ$83,0)))*'CA Population'!$L104*10^6</f>
        <v>29813.289031092743</v>
      </c>
      <c r="J104" s="143">
        <f>(INDEX(Production_Consumption!$AA$83:$AJ$99,MATCH('County Scaled Consumption '!$B104,Production_Consumption!$AA$83:$AA$99,0),MATCH('County Scaled Consumption '!J$2,Production_Consumption!$AA$83:$AJ$83,0)))*'CA Population'!$L104*10^6</f>
        <v>23669.732862121851</v>
      </c>
      <c r="K104" s="143">
        <f>(INDEX(Production_Consumption!$AA$83:$AJ$99,MATCH('County Scaled Consumption '!$B104,Production_Consumption!$AA$83:$AA$99,0),MATCH('County Scaled Consumption '!K$2,Production_Consumption!$AA$83:$AJ$83,0)))*'CA Population'!$L104*10^6</f>
        <v>325929.19087207469</v>
      </c>
      <c r="L104" s="131">
        <f t="shared" si="1"/>
        <v>0</v>
      </c>
    </row>
    <row r="105" spans="1:12" x14ac:dyDescent="0.2">
      <c r="A105" s="132" t="s">
        <v>348</v>
      </c>
      <c r="B105" s="129">
        <v>2019</v>
      </c>
      <c r="C105" s="143">
        <f>(INDEX(Production_Consumption!$AA$83:$AJ$99,MATCH('County Scaled Consumption '!$B105,Production_Consumption!$AA$83:$AA$99,0),MATCH('County Scaled Consumption '!C$2,Production_Consumption!$AA$83:$AJ$83,0)))*'CA Population'!$L105*10^6</f>
        <v>3565.4856195444659</v>
      </c>
      <c r="D105" s="143">
        <f>(INDEX(Production_Consumption!$AA$83:$AJ$99,MATCH('County Scaled Consumption '!$B105,Production_Consumption!$AA$83:$AA$99,0),MATCH('County Scaled Consumption '!D$2,Production_Consumption!$AA$83:$AJ$83,0)))*'CA Population'!$L105*10^6</f>
        <v>13929.21177897545</v>
      </c>
      <c r="E105" s="143">
        <f>(INDEX(Production_Consumption!$AA$83:$AJ$99,MATCH('County Scaled Consumption '!$B105,Production_Consumption!$AA$83:$AA$99,0),MATCH('County Scaled Consumption '!E$2,Production_Consumption!$AA$83:$AJ$83,0)))*'CA Population'!$L105*10^6</f>
        <v>8472.5845535031458</v>
      </c>
      <c r="F105" s="143">
        <f>(INDEX(Production_Consumption!$AA$83:$AJ$99,MATCH('County Scaled Consumption '!$B105,Production_Consumption!$AA$83:$AA$99,0),MATCH('County Scaled Consumption '!F$2,Production_Consumption!$AA$83:$AJ$83,0)))*'CA Population'!$L105*10^6</f>
        <v>2439.1543389835674</v>
      </c>
      <c r="G105" s="143">
        <f>(INDEX(Production_Consumption!$AA$83:$AJ$99,MATCH('County Scaled Consumption '!$B105,Production_Consumption!$AA$83:$AA$99,0),MATCH('County Scaled Consumption '!G$2,Production_Consumption!$AA$83:$AJ$83,0)))*'CA Population'!$L105*10^6</f>
        <v>9419.9530343202805</v>
      </c>
      <c r="H105" s="143">
        <f>(INDEX(Production_Consumption!$AA$83:$AJ$99,MATCH('County Scaled Consumption '!$B105,Production_Consumption!$AA$83:$AA$99,0),MATCH('County Scaled Consumption '!H$2,Production_Consumption!$AA$83:$AJ$83,0)))*'CA Population'!$L105*10^6</f>
        <v>254.34594484729965</v>
      </c>
      <c r="I105" s="143">
        <f>(INDEX(Production_Consumption!$AA$83:$AJ$99,MATCH('County Scaled Consumption '!$B105,Production_Consumption!$AA$83:$AA$99,0),MATCH('County Scaled Consumption '!I$2,Production_Consumption!$AA$83:$AJ$83,0)))*'CA Population'!$L105*10^6</f>
        <v>4167.1056391852726</v>
      </c>
      <c r="J105" s="143">
        <f>(INDEX(Production_Consumption!$AA$83:$AJ$99,MATCH('County Scaled Consumption '!$B105,Production_Consumption!$AA$83:$AA$99,0),MATCH('County Scaled Consumption '!J$2,Production_Consumption!$AA$83:$AJ$83,0)))*'CA Population'!$L105*10^6</f>
        <v>3308.3997268764838</v>
      </c>
      <c r="K105" s="143">
        <f>(INDEX(Production_Consumption!$AA$83:$AJ$99,MATCH('County Scaled Consumption '!$B105,Production_Consumption!$AA$83:$AA$99,0),MATCH('County Scaled Consumption '!K$2,Production_Consumption!$AA$83:$AJ$83,0)))*'CA Population'!$L105*10^6</f>
        <v>45556.240636235962</v>
      </c>
      <c r="L105" s="131">
        <f t="shared" si="1"/>
        <v>0</v>
      </c>
    </row>
    <row r="106" spans="1:12" x14ac:dyDescent="0.2">
      <c r="A106" s="132" t="s">
        <v>349</v>
      </c>
      <c r="B106" s="129">
        <v>2019</v>
      </c>
      <c r="C106" s="143">
        <f>(INDEX(Production_Consumption!$AA$83:$AJ$99,MATCH('County Scaled Consumption '!$B106,Production_Consumption!$AA$83:$AA$99,0),MATCH('County Scaled Consumption '!C$2,Production_Consumption!$AA$83:$AJ$83,0)))*'CA Population'!$L106*10^6</f>
        <v>2330.0097381983137</v>
      </c>
      <c r="D106" s="143">
        <f>(INDEX(Production_Consumption!$AA$83:$AJ$99,MATCH('County Scaled Consumption '!$B106,Production_Consumption!$AA$83:$AA$99,0),MATCH('County Scaled Consumption '!D$2,Production_Consumption!$AA$83:$AJ$83,0)))*'CA Population'!$L106*10^6</f>
        <v>9102.6027177150718</v>
      </c>
      <c r="E106" s="143">
        <f>(INDEX(Production_Consumption!$AA$83:$AJ$99,MATCH('County Scaled Consumption '!$B106,Production_Consumption!$AA$83:$AA$99,0),MATCH('County Scaled Consumption '!E$2,Production_Consumption!$AA$83:$AJ$83,0)))*'CA Population'!$L106*10^6</f>
        <v>5536.7505646799164</v>
      </c>
      <c r="F106" s="143">
        <f>(INDEX(Production_Consumption!$AA$83:$AJ$99,MATCH('County Scaled Consumption '!$B106,Production_Consumption!$AA$83:$AA$99,0),MATCH('County Scaled Consumption '!F$2,Production_Consumption!$AA$83:$AJ$83,0)))*'CA Population'!$L106*10^6</f>
        <v>1593.9633388639186</v>
      </c>
      <c r="G106" s="143">
        <f>(INDEX(Production_Consumption!$AA$83:$AJ$99,MATCH('County Scaled Consumption '!$B106,Production_Consumption!$AA$83:$AA$99,0),MATCH('County Scaled Consumption '!G$2,Production_Consumption!$AA$83:$AJ$83,0)))*'CA Population'!$L106*10^6</f>
        <v>6155.8465368712396</v>
      </c>
      <c r="H106" s="143">
        <f>(INDEX(Production_Consumption!$AA$83:$AJ$99,MATCH('County Scaled Consumption '!$B106,Production_Consumption!$AA$83:$AA$99,0),MATCH('County Scaled Consumption '!H$2,Production_Consumption!$AA$83:$AJ$83,0)))*'CA Population'!$L106*10^6</f>
        <v>166.2125700681342</v>
      </c>
      <c r="I106" s="143">
        <f>(INDEX(Production_Consumption!$AA$83:$AJ$99,MATCH('County Scaled Consumption '!$B106,Production_Consumption!$AA$83:$AA$99,0),MATCH('County Scaled Consumption '!I$2,Production_Consumption!$AA$83:$AJ$83,0)))*'CA Population'!$L106*10^6</f>
        <v>2723.162496065062</v>
      </c>
      <c r="J106" s="143">
        <f>(INDEX(Production_Consumption!$AA$83:$AJ$99,MATCH('County Scaled Consumption '!$B106,Production_Consumption!$AA$83:$AA$99,0),MATCH('County Scaled Consumption '!J$2,Production_Consumption!$AA$83:$AJ$83,0)))*'CA Population'!$L106*10^6</f>
        <v>2162.0066392133472</v>
      </c>
      <c r="K106" s="143">
        <f>(INDEX(Production_Consumption!$AA$83:$AJ$99,MATCH('County Scaled Consumption '!$B106,Production_Consumption!$AA$83:$AA$99,0),MATCH('County Scaled Consumption '!K$2,Production_Consumption!$AA$83:$AJ$83,0)))*'CA Population'!$L106*10^6</f>
        <v>29770.554601675001</v>
      </c>
      <c r="L106" s="131">
        <f t="shared" si="1"/>
        <v>0</v>
      </c>
    </row>
    <row r="107" spans="1:12" x14ac:dyDescent="0.2">
      <c r="A107" s="132" t="s">
        <v>350</v>
      </c>
      <c r="B107" s="129">
        <v>2019</v>
      </c>
      <c r="C107" s="143">
        <f>(INDEX(Production_Consumption!$AA$83:$AJ$99,MATCH('County Scaled Consumption '!$B107,Production_Consumption!$AA$83:$AA$99,0),MATCH('County Scaled Consumption '!C$2,Production_Consumption!$AA$83:$AJ$83,0)))*'CA Population'!$L107*10^6</f>
        <v>42.092411037804858</v>
      </c>
      <c r="D107" s="143">
        <f>(INDEX(Production_Consumption!$AA$83:$AJ$99,MATCH('County Scaled Consumption '!$B107,Production_Consumption!$AA$83:$AA$99,0),MATCH('County Scaled Consumption '!D$2,Production_Consumption!$AA$83:$AJ$83,0)))*'CA Population'!$L107*10^6</f>
        <v>164.44158529748222</v>
      </c>
      <c r="E107" s="143">
        <f>(INDEX(Production_Consumption!$AA$83:$AJ$99,MATCH('County Scaled Consumption '!$B107,Production_Consumption!$AA$83:$AA$99,0),MATCH('County Scaled Consumption '!E$2,Production_Consumption!$AA$83:$AJ$83,0)))*'CA Population'!$L107*10^6</f>
        <v>100.02326460769031</v>
      </c>
      <c r="F107" s="143">
        <f>(INDEX(Production_Consumption!$AA$83:$AJ$99,MATCH('County Scaled Consumption '!$B107,Production_Consumption!$AA$83:$AA$99,0),MATCH('County Scaled Consumption '!F$2,Production_Consumption!$AA$83:$AJ$83,0)))*'CA Population'!$L107*10^6</f>
        <v>28.795484816527978</v>
      </c>
      <c r="G107" s="143">
        <f>(INDEX(Production_Consumption!$AA$83:$AJ$99,MATCH('County Scaled Consumption '!$B107,Production_Consumption!$AA$83:$AA$99,0),MATCH('County Scaled Consumption '!G$2,Production_Consumption!$AA$83:$AJ$83,0)))*'CA Population'!$L107*10^6</f>
        <v>111.20744195515366</v>
      </c>
      <c r="H107" s="143">
        <f>(INDEX(Production_Consumption!$AA$83:$AJ$99,MATCH('County Scaled Consumption '!$B107,Production_Consumption!$AA$83:$AA$99,0),MATCH('County Scaled Consumption '!H$2,Production_Consumption!$AA$83:$AJ$83,0)))*'CA Population'!$L107*10^6</f>
        <v>3.002686085066641</v>
      </c>
      <c r="I107" s="143">
        <f>(INDEX(Production_Consumption!$AA$83:$AJ$99,MATCH('County Scaled Consumption '!$B107,Production_Consumption!$AA$83:$AA$99,0),MATCH('County Scaled Consumption '!I$2,Production_Consumption!$AA$83:$AJ$83,0)))*'CA Population'!$L107*10^6</f>
        <v>49.194848084943594</v>
      </c>
      <c r="J107" s="143">
        <f>(INDEX(Production_Consumption!$AA$83:$AJ$99,MATCH('County Scaled Consumption '!$B107,Production_Consumption!$AA$83:$AA$99,0),MATCH('County Scaled Consumption '!J$2,Production_Consumption!$AA$83:$AJ$83,0)))*'CA Population'!$L107*10^6</f>
        <v>39.057378444521184</v>
      </c>
      <c r="K107" s="143">
        <f>(INDEX(Production_Consumption!$AA$83:$AJ$99,MATCH('County Scaled Consumption '!$B107,Production_Consumption!$AA$83:$AA$99,0),MATCH('County Scaled Consumption '!K$2,Production_Consumption!$AA$83:$AJ$83,0)))*'CA Population'!$L107*10^6</f>
        <v>537.8151003291905</v>
      </c>
      <c r="L107" s="131">
        <f t="shared" si="1"/>
        <v>0</v>
      </c>
    </row>
    <row r="108" spans="1:12" x14ac:dyDescent="0.2">
      <c r="A108" s="132" t="s">
        <v>351</v>
      </c>
      <c r="B108" s="129">
        <v>2019</v>
      </c>
      <c r="C108" s="143">
        <f>(INDEX(Production_Consumption!$AA$83:$AJ$99,MATCH('County Scaled Consumption '!$B108,Production_Consumption!$AA$83:$AA$99,0),MATCH('County Scaled Consumption '!C$2,Production_Consumption!$AA$83:$AJ$83,0)))*'CA Population'!$L108*10^6</f>
        <v>584.87332993601763</v>
      </c>
      <c r="D108" s="143">
        <f>(INDEX(Production_Consumption!$AA$83:$AJ$99,MATCH('County Scaled Consumption '!$B108,Production_Consumption!$AA$83:$AA$99,0),MATCH('County Scaled Consumption '!D$2,Production_Consumption!$AA$83:$AJ$83,0)))*'CA Population'!$L108*10^6</f>
        <v>2284.9130092955547</v>
      </c>
      <c r="E108" s="143">
        <f>(INDEX(Production_Consumption!$AA$83:$AJ$99,MATCH('County Scaled Consumption '!$B108,Production_Consumption!$AA$83:$AA$99,0),MATCH('County Scaled Consumption '!E$2,Production_Consumption!$AA$83:$AJ$83,0)))*'CA Population'!$L108*10^6</f>
        <v>1389.8215473955447</v>
      </c>
      <c r="F108" s="143">
        <f>(INDEX(Production_Consumption!$AA$83:$AJ$99,MATCH('County Scaled Consumption '!$B108,Production_Consumption!$AA$83:$AA$99,0),MATCH('County Scaled Consumption '!F$2,Production_Consumption!$AA$83:$AJ$83,0)))*'CA Population'!$L108*10^6</f>
        <v>400.11276799132628</v>
      </c>
      <c r="G108" s="143">
        <f>(INDEX(Production_Consumption!$AA$83:$AJ$99,MATCH('County Scaled Consumption '!$B108,Production_Consumption!$AA$83:$AA$99,0),MATCH('County Scaled Consumption '!G$2,Production_Consumption!$AA$83:$AJ$83,0)))*'CA Population'!$L108*10^6</f>
        <v>1545.2254999496249</v>
      </c>
      <c r="H108" s="143">
        <f>(INDEX(Production_Consumption!$AA$83:$AJ$99,MATCH('County Scaled Consumption '!$B108,Production_Consumption!$AA$83:$AA$99,0),MATCH('County Scaled Consumption '!H$2,Production_Consumption!$AA$83:$AJ$83,0)))*'CA Population'!$L108*10^6</f>
        <v>41.722271688076177</v>
      </c>
      <c r="I108" s="143">
        <f>(INDEX(Production_Consumption!$AA$83:$AJ$99,MATCH('County Scaled Consumption '!$B108,Production_Consumption!$AA$83:$AA$99,0),MATCH('County Scaled Consumption '!I$2,Production_Consumption!$AA$83:$AJ$83,0)))*'CA Population'!$L108*10^6</f>
        <v>683.56157097524147</v>
      </c>
      <c r="J108" s="143">
        <f>(INDEX(Production_Consumption!$AA$83:$AJ$99,MATCH('County Scaled Consumption '!$B108,Production_Consumption!$AA$83:$AA$99,0),MATCH('County Scaled Consumption '!J$2,Production_Consumption!$AA$83:$AJ$83,0)))*'CA Population'!$L108*10^6</f>
        <v>542.70160407066226</v>
      </c>
      <c r="K108" s="143">
        <f>(INDEX(Production_Consumption!$AA$83:$AJ$99,MATCH('County Scaled Consumption '!$B108,Production_Consumption!$AA$83:$AA$99,0),MATCH('County Scaled Consumption '!K$2,Production_Consumption!$AA$83:$AJ$83,0)))*'CA Population'!$L108*10^6</f>
        <v>7472.931601302048</v>
      </c>
      <c r="L108" s="131">
        <f t="shared" si="1"/>
        <v>0</v>
      </c>
    </row>
    <row r="109" spans="1:12" x14ac:dyDescent="0.2">
      <c r="A109" s="132" t="s">
        <v>352</v>
      </c>
      <c r="B109" s="129">
        <v>2019</v>
      </c>
      <c r="C109" s="143">
        <f>(INDEX(Production_Consumption!$AA$83:$AJ$99,MATCH('County Scaled Consumption '!$B109,Production_Consumption!$AA$83:$AA$99,0),MATCH('County Scaled Consumption '!C$2,Production_Consumption!$AA$83:$AJ$83,0)))*'CA Population'!$L109*10^6</f>
        <v>5747.9292548523772</v>
      </c>
      <c r="D109" s="143">
        <f>(INDEX(Production_Consumption!$AA$83:$AJ$99,MATCH('County Scaled Consumption '!$B109,Production_Consumption!$AA$83:$AA$99,0),MATCH('County Scaled Consumption '!D$2,Production_Consumption!$AA$83:$AJ$83,0)))*'CA Population'!$L109*10^6</f>
        <v>22455.320936517048</v>
      </c>
      <c r="E109" s="143">
        <f>(INDEX(Production_Consumption!$AA$83:$AJ$99,MATCH('County Scaled Consumption '!$B109,Production_Consumption!$AA$83:$AA$99,0),MATCH('County Scaled Consumption '!E$2,Production_Consumption!$AA$83:$AJ$83,0)))*'CA Population'!$L109*10^6</f>
        <v>13658.677054351179</v>
      </c>
      <c r="F109" s="143">
        <f>(INDEX(Production_Consumption!$AA$83:$AJ$99,MATCH('County Scaled Consumption '!$B109,Production_Consumption!$AA$83:$AA$99,0),MATCH('County Scaled Consumption '!F$2,Production_Consumption!$AA$83:$AJ$83,0)))*'CA Population'!$L109*10^6</f>
        <v>3932.1674739877358</v>
      </c>
      <c r="G109" s="143">
        <f>(INDEX(Production_Consumption!$AA$83:$AJ$99,MATCH('County Scaled Consumption '!$B109,Production_Consumption!$AA$83:$AA$99,0),MATCH('County Scaled Consumption '!G$2,Production_Consumption!$AA$83:$AJ$83,0)))*'CA Population'!$L109*10^6</f>
        <v>15185.932409460303</v>
      </c>
      <c r="H109" s="143">
        <f>(INDEX(Production_Consumption!$AA$83:$AJ$99,MATCH('County Scaled Consumption '!$B109,Production_Consumption!$AA$83:$AA$99,0),MATCH('County Scaled Consumption '!H$2,Production_Consumption!$AA$83:$AJ$83,0)))*'CA Population'!$L109*10^6</f>
        <v>410.03180302481377</v>
      </c>
      <c r="I109" s="143">
        <f>(INDEX(Production_Consumption!$AA$83:$AJ$99,MATCH('County Scaled Consumption '!$B109,Production_Consumption!$AA$83:$AA$99,0),MATCH('County Scaled Consumption '!I$2,Production_Consumption!$AA$83:$AJ$83,0)))*'CA Population'!$L109*10^6</f>
        <v>6717.8025568908406</v>
      </c>
      <c r="J109" s="143">
        <f>(INDEX(Production_Consumption!$AA$83:$AJ$99,MATCH('County Scaled Consumption '!$B109,Production_Consumption!$AA$83:$AA$99,0),MATCH('County Scaled Consumption '!J$2,Production_Consumption!$AA$83:$AJ$83,0)))*'CA Population'!$L109*10^6</f>
        <v>5333.4803743475868</v>
      </c>
      <c r="K109" s="143">
        <f>(INDEX(Production_Consumption!$AA$83:$AJ$99,MATCH('County Scaled Consumption '!$B109,Production_Consumption!$AA$83:$AA$99,0),MATCH('County Scaled Consumption '!K$2,Production_Consumption!$AA$83:$AJ$83,0)))*'CA Population'!$L109*10^6</f>
        <v>73441.34186343188</v>
      </c>
      <c r="L109" s="131">
        <f t="shared" si="1"/>
        <v>0</v>
      </c>
    </row>
    <row r="110" spans="1:12" x14ac:dyDescent="0.2">
      <c r="A110" s="132" t="s">
        <v>353</v>
      </c>
      <c r="B110" s="129">
        <v>2019</v>
      </c>
      <c r="C110" s="143">
        <f>(INDEX(Production_Consumption!$AA$83:$AJ$99,MATCH('County Scaled Consumption '!$B110,Production_Consumption!$AA$83:$AA$99,0),MATCH('County Scaled Consumption '!C$2,Production_Consumption!$AA$83:$AJ$83,0)))*'CA Population'!$L110*10^6</f>
        <v>6504.9630381605311</v>
      </c>
      <c r="D110" s="143">
        <f>(INDEX(Production_Consumption!$AA$83:$AJ$99,MATCH('County Scaled Consumption '!$B110,Production_Consumption!$AA$83:$AA$99,0),MATCH('County Scaled Consumption '!D$2,Production_Consumption!$AA$83:$AJ$83,0)))*'CA Population'!$L110*10^6</f>
        <v>25412.809766014987</v>
      </c>
      <c r="E110" s="143">
        <f>(INDEX(Production_Consumption!$AA$83:$AJ$99,MATCH('County Scaled Consumption '!$B110,Production_Consumption!$AA$83:$AA$99,0),MATCH('County Scaled Consumption '!E$2,Production_Consumption!$AA$83:$AJ$83,0)))*'CA Population'!$L110*10^6</f>
        <v>15457.599676217253</v>
      </c>
      <c r="F110" s="143">
        <f>(INDEX(Production_Consumption!$AA$83:$AJ$99,MATCH('County Scaled Consumption '!$B110,Production_Consumption!$AA$83:$AA$99,0),MATCH('County Scaled Consumption '!F$2,Production_Consumption!$AA$83:$AJ$83,0)))*'CA Population'!$L110*10^6</f>
        <v>4450.0554798154371</v>
      </c>
      <c r="G110" s="143">
        <f>(INDEX(Production_Consumption!$AA$83:$AJ$99,MATCH('County Scaled Consumption '!$B110,Production_Consumption!$AA$83:$AA$99,0),MATCH('County Scaled Consumption '!G$2,Production_Consumption!$AA$83:$AJ$83,0)))*'CA Population'!$L110*10^6</f>
        <v>17186.002931429681</v>
      </c>
      <c r="H110" s="143">
        <f>(INDEX(Production_Consumption!$AA$83:$AJ$99,MATCH('County Scaled Consumption '!$B110,Production_Consumption!$AA$83:$AA$99,0),MATCH('County Scaled Consumption '!H$2,Production_Consumption!$AA$83:$AJ$83,0)))*'CA Population'!$L110*10^6</f>
        <v>464.03523858527996</v>
      </c>
      <c r="I110" s="143">
        <f>(INDEX(Production_Consumption!$AA$83:$AJ$99,MATCH('County Scaled Consumption '!$B110,Production_Consumption!$AA$83:$AA$99,0),MATCH('County Scaled Consumption '!I$2,Production_Consumption!$AA$83:$AJ$83,0)))*'CA Population'!$L110*10^6</f>
        <v>7602.5739692854913</v>
      </c>
      <c r="J110" s="143">
        <f>(INDEX(Production_Consumption!$AA$83:$AJ$99,MATCH('County Scaled Consumption '!$B110,Production_Consumption!$AA$83:$AA$99,0),MATCH('County Scaled Consumption '!J$2,Production_Consumption!$AA$83:$AJ$83,0)))*'CA Population'!$L110*10^6</f>
        <v>6035.9289687842011</v>
      </c>
      <c r="K110" s="143">
        <f>(INDEX(Production_Consumption!$AA$83:$AJ$99,MATCH('County Scaled Consumption '!$B110,Production_Consumption!$AA$83:$AA$99,0),MATCH('County Scaled Consumption '!K$2,Production_Consumption!$AA$83:$AJ$83,0)))*'CA Population'!$L110*10^6</f>
        <v>83113.969068292849</v>
      </c>
      <c r="L110" s="131">
        <f t="shared" si="1"/>
        <v>0</v>
      </c>
    </row>
    <row r="111" spans="1:12" x14ac:dyDescent="0.2">
      <c r="A111" s="132" t="s">
        <v>354</v>
      </c>
      <c r="B111" s="129">
        <v>2019</v>
      </c>
      <c r="C111" s="143">
        <f>(INDEX(Production_Consumption!$AA$83:$AJ$99,MATCH('County Scaled Consumption '!$B111,Production_Consumption!$AA$83:$AA$99,0),MATCH('County Scaled Consumption '!C$2,Production_Consumption!$AA$83:$AJ$83,0)))*'CA Population'!$L111*10^6</f>
        <v>7255.4120940330431</v>
      </c>
      <c r="D111" s="143">
        <f>(INDEX(Production_Consumption!$AA$83:$AJ$99,MATCH('County Scaled Consumption '!$B111,Production_Consumption!$AA$83:$AA$99,0),MATCH('County Scaled Consumption '!D$2,Production_Consumption!$AA$83:$AJ$83,0)))*'CA Population'!$L111*10^6</f>
        <v>28344.574171761185</v>
      </c>
      <c r="E111" s="143">
        <f>(INDEX(Production_Consumption!$AA$83:$AJ$99,MATCH('County Scaled Consumption '!$B111,Production_Consumption!$AA$83:$AA$99,0),MATCH('County Scaled Consumption '!E$2,Production_Consumption!$AA$83:$AJ$83,0)))*'CA Population'!$L111*10^6</f>
        <v>17240.87515603501</v>
      </c>
      <c r="F111" s="143">
        <f>(INDEX(Production_Consumption!$AA$83:$AJ$99,MATCH('County Scaled Consumption '!$B111,Production_Consumption!$AA$83:$AA$99,0),MATCH('County Scaled Consumption '!F$2,Production_Consumption!$AA$83:$AJ$83,0)))*'CA Population'!$L111*10^6</f>
        <v>4963.4388632131313</v>
      </c>
      <c r="G111" s="143">
        <f>(INDEX(Production_Consumption!$AA$83:$AJ$99,MATCH('County Scaled Consumption '!$B111,Production_Consumption!$AA$83:$AA$99,0),MATCH('County Scaled Consumption '!G$2,Production_Consumption!$AA$83:$AJ$83,0)))*'CA Population'!$L111*10^6</f>
        <v>19168.67671427114</v>
      </c>
      <c r="H111" s="143">
        <f>(INDEX(Production_Consumption!$AA$83:$AJ$99,MATCH('County Scaled Consumption '!$B111,Production_Consumption!$AA$83:$AA$99,0),MATCH('County Scaled Consumption '!H$2,Production_Consumption!$AA$83:$AJ$83,0)))*'CA Population'!$L111*10^6</f>
        <v>517.56894886849375</v>
      </c>
      <c r="I111" s="143">
        <f>(INDEX(Production_Consumption!$AA$83:$AJ$99,MATCH('County Scaled Consumption '!$B111,Production_Consumption!$AA$83:$AA$99,0),MATCH('County Scaled Consumption '!I$2,Production_Consumption!$AA$83:$AJ$83,0)))*'CA Population'!$L111*10^6</f>
        <v>8479.6495843169014</v>
      </c>
      <c r="J111" s="143">
        <f>(INDEX(Production_Consumption!$AA$83:$AJ$99,MATCH('County Scaled Consumption '!$B111,Production_Consumption!$AA$83:$AA$99,0),MATCH('County Scaled Consumption '!J$2,Production_Consumption!$AA$83:$AJ$83,0)))*'CA Population'!$L111*10^6</f>
        <v>6732.2676211892949</v>
      </c>
      <c r="K111" s="143">
        <f>(INDEX(Production_Consumption!$AA$83:$AJ$99,MATCH('County Scaled Consumption '!$B111,Production_Consumption!$AA$83:$AA$99,0),MATCH('County Scaled Consumption '!K$2,Production_Consumption!$AA$83:$AJ$83,0)))*'CA Population'!$L111*10^6</f>
        <v>92702.463153688193</v>
      </c>
      <c r="L111" s="131">
        <f t="shared" si="1"/>
        <v>0</v>
      </c>
    </row>
    <row r="112" spans="1:12" x14ac:dyDescent="0.2">
      <c r="A112" s="132" t="s">
        <v>355</v>
      </c>
      <c r="B112" s="129">
        <v>2019</v>
      </c>
      <c r="C112" s="143">
        <f>(INDEX(Production_Consumption!$AA$83:$AJ$99,MATCH('County Scaled Consumption '!$B112,Production_Consumption!$AA$83:$AA$99,0),MATCH('County Scaled Consumption '!C$2,Production_Consumption!$AA$83:$AJ$83,0)))*'CA Population'!$L112*10^6</f>
        <v>1346.8653343012902</v>
      </c>
      <c r="D112" s="143">
        <f>(INDEX(Production_Consumption!$AA$83:$AJ$99,MATCH('County Scaled Consumption '!$B112,Production_Consumption!$AA$83:$AA$99,0),MATCH('County Scaled Consumption '!D$2,Production_Consumption!$AA$83:$AJ$83,0)))*'CA Population'!$L112*10^6</f>
        <v>5261.7720224153236</v>
      </c>
      <c r="E112" s="143">
        <f>(INDEX(Production_Consumption!$AA$83:$AJ$99,MATCH('County Scaled Consumption '!$B112,Production_Consumption!$AA$83:$AA$99,0),MATCH('County Scaled Consumption '!E$2,Production_Consumption!$AA$83:$AJ$83,0)))*'CA Population'!$L112*10^6</f>
        <v>3200.5262802063726</v>
      </c>
      <c r="F112" s="143">
        <f>(INDEX(Production_Consumption!$AA$83:$AJ$99,MATCH('County Scaled Consumption '!$B112,Production_Consumption!$AA$83:$AA$99,0),MATCH('County Scaled Consumption '!F$2,Production_Consumption!$AA$83:$AJ$83,0)))*'CA Population'!$L112*10^6</f>
        <v>921.39270066871586</v>
      </c>
      <c r="G112" s="143">
        <f>(INDEX(Production_Consumption!$AA$83:$AJ$99,MATCH('County Scaled Consumption '!$B112,Production_Consumption!$AA$83:$AA$99,0),MATCH('County Scaled Consumption '!G$2,Production_Consumption!$AA$83:$AJ$83,0)))*'CA Population'!$L112*10^6</f>
        <v>3558.395558553173</v>
      </c>
      <c r="H112" s="143">
        <f>(INDEX(Production_Consumption!$AA$83:$AJ$99,MATCH('County Scaled Consumption '!$B112,Production_Consumption!$AA$83:$AA$99,0),MATCH('County Scaled Consumption '!H$2,Production_Consumption!$AA$83:$AJ$83,0)))*'CA Population'!$L112*10^6</f>
        <v>96.079404768067235</v>
      </c>
      <c r="I112" s="143">
        <f>(INDEX(Production_Consumption!$AA$83:$AJ$99,MATCH('County Scaled Consumption '!$B112,Production_Consumption!$AA$83:$AA$99,0),MATCH('County Scaled Consumption '!I$2,Production_Consumption!$AA$83:$AJ$83,0)))*'CA Population'!$L112*10^6</f>
        <v>1574.1278268027713</v>
      </c>
      <c r="J112" s="143">
        <f>(INDEX(Production_Consumption!$AA$83:$AJ$99,MATCH('County Scaled Consumption '!$B112,Production_Consumption!$AA$83:$AA$99,0),MATCH('County Scaled Consumption '!J$2,Production_Consumption!$AA$83:$AJ$83,0)))*'CA Population'!$L112*10^6</f>
        <v>1249.750911829816</v>
      </c>
      <c r="K112" s="143">
        <f>(INDEX(Production_Consumption!$AA$83:$AJ$99,MATCH('County Scaled Consumption '!$B112,Production_Consumption!$AA$83:$AA$99,0),MATCH('County Scaled Consumption '!K$2,Production_Consumption!$AA$83:$AJ$83,0)))*'CA Population'!$L112*10^6</f>
        <v>17208.910039545528</v>
      </c>
      <c r="L112" s="131">
        <f t="shared" si="1"/>
        <v>0</v>
      </c>
    </row>
    <row r="113" spans="1:12" x14ac:dyDescent="0.2">
      <c r="A113" s="132" t="s">
        <v>356</v>
      </c>
      <c r="B113" s="129">
        <v>2019</v>
      </c>
      <c r="C113" s="143">
        <f>(INDEX(Production_Consumption!$AA$83:$AJ$99,MATCH('County Scaled Consumption '!$B113,Production_Consumption!$AA$83:$AA$99,0),MATCH('County Scaled Consumption '!C$2,Production_Consumption!$AA$83:$AJ$83,0)))*'CA Population'!$L113*10^6</f>
        <v>846.54410207474291</v>
      </c>
      <c r="D113" s="143">
        <f>(INDEX(Production_Consumption!$AA$83:$AJ$99,MATCH('County Scaled Consumption '!$B113,Production_Consumption!$AA$83:$AA$99,0),MATCH('County Scaled Consumption '!D$2,Production_Consumption!$AA$83:$AJ$83,0)))*'CA Population'!$L113*10^6</f>
        <v>3307.1770121311656</v>
      </c>
      <c r="E113" s="143">
        <f>(INDEX(Production_Consumption!$AA$83:$AJ$99,MATCH('County Scaled Consumption '!$B113,Production_Consumption!$AA$83:$AA$99,0),MATCH('County Scaled Consumption '!E$2,Production_Consumption!$AA$83:$AJ$83,0)))*'CA Population'!$L113*10^6</f>
        <v>2011.6240109850787</v>
      </c>
      <c r="F113" s="143">
        <f>(INDEX(Production_Consumption!$AA$83:$AJ$99,MATCH('County Scaled Consumption '!$B113,Production_Consumption!$AA$83:$AA$99,0),MATCH('County Scaled Consumption '!F$2,Production_Consumption!$AA$83:$AJ$83,0)))*'CA Population'!$L113*10^6</f>
        <v>579.12215615116327</v>
      </c>
      <c r="G113" s="143">
        <f>(INDEX(Production_Consumption!$AA$83:$AJ$99,MATCH('County Scaled Consumption '!$B113,Production_Consumption!$AA$83:$AA$99,0),MATCH('County Scaled Consumption '!G$2,Production_Consumption!$AA$83:$AJ$83,0)))*'CA Population'!$L113*10^6</f>
        <v>2236.5552785608315</v>
      </c>
      <c r="H113" s="143">
        <f>(INDEX(Production_Consumption!$AA$83:$AJ$99,MATCH('County Scaled Consumption '!$B113,Production_Consumption!$AA$83:$AA$99,0),MATCH('County Scaled Consumption '!H$2,Production_Consumption!$AA$83:$AJ$83,0)))*'CA Population'!$L113*10^6</f>
        <v>60.388705066385448</v>
      </c>
      <c r="I113" s="143">
        <f>(INDEX(Production_Consumption!$AA$83:$AJ$99,MATCH('County Scaled Consumption '!$B113,Production_Consumption!$AA$83:$AA$99,0),MATCH('County Scaled Consumption '!I$2,Production_Consumption!$AA$83:$AJ$83,0)))*'CA Population'!$L113*10^6</f>
        <v>989.38519965911189</v>
      </c>
      <c r="J113" s="143">
        <f>(INDEX(Production_Consumption!$AA$83:$AJ$99,MATCH('County Scaled Consumption '!$B113,Production_Consumption!$AA$83:$AA$99,0),MATCH('County Scaled Consumption '!J$2,Production_Consumption!$AA$83:$AJ$83,0)))*'CA Population'!$L113*10^6</f>
        <v>785.50485822764358</v>
      </c>
      <c r="K113" s="143">
        <f>(INDEX(Production_Consumption!$AA$83:$AJ$99,MATCH('County Scaled Consumption '!$B113,Production_Consumption!$AA$83:$AA$99,0),MATCH('County Scaled Consumption '!K$2,Production_Consumption!$AA$83:$AJ$83,0)))*'CA Population'!$L113*10^6</f>
        <v>10816.301322856123</v>
      </c>
      <c r="L113" s="131">
        <f t="shared" si="1"/>
        <v>0</v>
      </c>
    </row>
    <row r="114" spans="1:12" x14ac:dyDescent="0.2">
      <c r="A114" s="132" t="s">
        <v>357</v>
      </c>
      <c r="B114" s="129">
        <v>2019</v>
      </c>
      <c r="C114" s="143">
        <f>(INDEX(Production_Consumption!$AA$83:$AJ$99,MATCH('County Scaled Consumption '!$B114,Production_Consumption!$AA$83:$AA$99,0),MATCH('County Scaled Consumption '!C$2,Production_Consumption!$AA$83:$AJ$83,0)))*'CA Population'!$L114*10^6</f>
        <v>178.87635067701615</v>
      </c>
      <c r="D114" s="143">
        <f>(INDEX(Production_Consumption!$AA$83:$AJ$99,MATCH('County Scaled Consumption '!$B114,Production_Consumption!$AA$83:$AA$99,0),MATCH('County Scaled Consumption '!D$2,Production_Consumption!$AA$83:$AJ$83,0)))*'CA Population'!$L114*10^6</f>
        <v>698.81268267428027</v>
      </c>
      <c r="E114" s="143">
        <f>(INDEX(Production_Consumption!$AA$83:$AJ$99,MATCH('County Scaled Consumption '!$B114,Production_Consumption!$AA$83:$AA$99,0),MATCH('County Scaled Consumption '!E$2,Production_Consumption!$AA$83:$AJ$83,0)))*'CA Population'!$L114*10^6</f>
        <v>425.05991257559134</v>
      </c>
      <c r="F114" s="143">
        <f>(INDEX(Production_Consumption!$AA$83:$AJ$99,MATCH('County Scaled Consumption '!$B114,Production_Consumption!$AA$83:$AA$99,0),MATCH('County Scaled Consumption '!F$2,Production_Consumption!$AA$83:$AJ$83,0)))*'CA Population'!$L114*10^6</f>
        <v>122.36959378092617</v>
      </c>
      <c r="G114" s="143">
        <f>(INDEX(Production_Consumption!$AA$83:$AJ$99,MATCH('County Scaled Consumption '!$B114,Production_Consumption!$AA$83:$AA$99,0),MATCH('County Scaled Consumption '!G$2,Production_Consumption!$AA$83:$AJ$83,0)))*'CA Population'!$L114*10^6</f>
        <v>472.58830973587737</v>
      </c>
      <c r="H114" s="143">
        <f>(INDEX(Production_Consumption!$AA$83:$AJ$99,MATCH('County Scaled Consumption '!$B114,Production_Consumption!$AA$83:$AA$99,0),MATCH('County Scaled Consumption '!H$2,Production_Consumption!$AA$83:$AJ$83,0)))*'CA Population'!$L114*10^6</f>
        <v>12.760246226878712</v>
      </c>
      <c r="I114" s="143">
        <f>(INDEX(Production_Consumption!$AA$83:$AJ$99,MATCH('County Scaled Consumption '!$B114,Production_Consumption!$AA$83:$AA$99,0),MATCH('County Scaled Consumption '!I$2,Production_Consumption!$AA$83:$AJ$83,0)))*'CA Population'!$L114*10^6</f>
        <v>209.05894151897033</v>
      </c>
      <c r="J114" s="143">
        <f>(INDEX(Production_Consumption!$AA$83:$AJ$99,MATCH('County Scaled Consumption '!$B114,Production_Consumption!$AA$83:$AA$99,0),MATCH('County Scaled Consumption '!J$2,Production_Consumption!$AA$83:$AJ$83,0)))*'CA Population'!$L114*10^6</f>
        <v>165.97864439013256</v>
      </c>
      <c r="K114" s="143">
        <f>(INDEX(Production_Consumption!$AA$83:$AJ$99,MATCH('County Scaled Consumption '!$B114,Production_Consumption!$AA$83:$AA$99,0),MATCH('County Scaled Consumption '!K$2,Production_Consumption!$AA$83:$AJ$83,0)))*'CA Population'!$L114*10^6</f>
        <v>2285.5046815796727</v>
      </c>
      <c r="L114" s="131">
        <f t="shared" si="1"/>
        <v>0</v>
      </c>
    </row>
    <row r="115" spans="1:12" x14ac:dyDescent="0.2">
      <c r="A115" s="132" t="s">
        <v>358</v>
      </c>
      <c r="B115" s="129">
        <v>2019</v>
      </c>
      <c r="C115" s="143">
        <f>(INDEX(Production_Consumption!$AA$83:$AJ$99,MATCH('County Scaled Consumption '!$B115,Production_Consumption!$AA$83:$AA$99,0),MATCH('County Scaled Consumption '!C$2,Production_Consumption!$AA$83:$AJ$83,0)))*'CA Population'!$L115*10^6</f>
        <v>6237.5863767100436</v>
      </c>
      <c r="D115" s="143">
        <f>(INDEX(Production_Consumption!$AA$83:$AJ$99,MATCH('County Scaled Consumption '!$B115,Production_Consumption!$AA$83:$AA$99,0),MATCH('County Scaled Consumption '!D$2,Production_Consumption!$AA$83:$AJ$83,0)))*'CA Population'!$L115*10^6</f>
        <v>24368.254678852671</v>
      </c>
      <c r="E115" s="143">
        <f>(INDEX(Production_Consumption!$AA$83:$AJ$99,MATCH('County Scaled Consumption '!$B115,Production_Consumption!$AA$83:$AA$99,0),MATCH('County Scaled Consumption '!E$2,Production_Consumption!$AA$83:$AJ$83,0)))*'CA Population'!$L115*10^6</f>
        <v>14822.238434159555</v>
      </c>
      <c r="F115" s="143">
        <f>(INDEX(Production_Consumption!$AA$83:$AJ$99,MATCH('County Scaled Consumption '!$B115,Production_Consumption!$AA$83:$AA$99,0),MATCH('County Scaled Consumption '!F$2,Production_Consumption!$AA$83:$AJ$83,0)))*'CA Population'!$L115*10^6</f>
        <v>4267.1426837730241</v>
      </c>
      <c r="G115" s="143">
        <f>(INDEX(Production_Consumption!$AA$83:$AJ$99,MATCH('County Scaled Consumption '!$B115,Production_Consumption!$AA$83:$AA$99,0),MATCH('County Scaled Consumption '!G$2,Production_Consumption!$AA$83:$AJ$83,0)))*'CA Population'!$L115*10^6</f>
        <v>16479.598289231537</v>
      </c>
      <c r="H115" s="143">
        <f>(INDEX(Production_Consumption!$AA$83:$AJ$99,MATCH('County Scaled Consumption '!$B115,Production_Consumption!$AA$83:$AA$99,0),MATCH('County Scaled Consumption '!H$2,Production_Consumption!$AA$83:$AJ$83,0)))*'CA Population'!$L115*10^6</f>
        <v>444.96177234720011</v>
      </c>
      <c r="I115" s="143">
        <f>(INDEX(Production_Consumption!$AA$83:$AJ$99,MATCH('County Scaled Consumption '!$B115,Production_Consumption!$AA$83:$AA$99,0),MATCH('County Scaled Consumption '!I$2,Production_Consumption!$AA$83:$AJ$83,0)))*'CA Population'!$L115*10^6</f>
        <v>7290.0816715717201</v>
      </c>
      <c r="J115" s="143">
        <f>(INDEX(Production_Consumption!$AA$83:$AJ$99,MATCH('County Scaled Consumption '!$B115,Production_Consumption!$AA$83:$AA$99,0),MATCH('County Scaled Consumption '!J$2,Production_Consumption!$AA$83:$AJ$83,0)))*'CA Population'!$L115*10^6</f>
        <v>5787.8312429465195</v>
      </c>
      <c r="K115" s="143">
        <f>(INDEX(Production_Consumption!$AA$83:$AJ$99,MATCH('County Scaled Consumption '!$B115,Production_Consumption!$AA$83:$AA$99,0),MATCH('County Scaled Consumption '!K$2,Production_Consumption!$AA$83:$AJ$83,0)))*'CA Population'!$L115*10^6</f>
        <v>79697.695149592269</v>
      </c>
      <c r="L115" s="131">
        <f t="shared" si="1"/>
        <v>0</v>
      </c>
    </row>
    <row r="116" spans="1:12" x14ac:dyDescent="0.2">
      <c r="A116" s="132" t="s">
        <v>359</v>
      </c>
      <c r="B116" s="129">
        <v>2019</v>
      </c>
      <c r="C116" s="143">
        <f>(INDEX(Production_Consumption!$AA$83:$AJ$99,MATCH('County Scaled Consumption '!$B116,Production_Consumption!$AA$83:$AA$99,0),MATCH('County Scaled Consumption '!C$2,Production_Consumption!$AA$83:$AJ$83,0)))*'CA Population'!$L116*10^6</f>
        <v>715.29553091728712</v>
      </c>
      <c r="D116" s="143">
        <f>(INDEX(Production_Consumption!$AA$83:$AJ$99,MATCH('County Scaled Consumption '!$B116,Production_Consumption!$AA$83:$AA$99,0),MATCH('County Scaled Consumption '!D$2,Production_Consumption!$AA$83:$AJ$83,0)))*'CA Population'!$L116*10^6</f>
        <v>2794.4308287448744</v>
      </c>
      <c r="E116" s="143">
        <f>(INDEX(Production_Consumption!$AA$83:$AJ$99,MATCH('County Scaled Consumption '!$B116,Production_Consumption!$AA$83:$AA$99,0),MATCH('County Scaled Consumption '!E$2,Production_Consumption!$AA$83:$AJ$83,0)))*'CA Population'!$L116*10^6</f>
        <v>1699.7409366115826</v>
      </c>
      <c r="F116" s="143">
        <f>(INDEX(Production_Consumption!$AA$83:$AJ$99,MATCH('County Scaled Consumption '!$B116,Production_Consumption!$AA$83:$AA$99,0),MATCH('County Scaled Consumption '!F$2,Production_Consumption!$AA$83:$AJ$83,0)))*'CA Population'!$L116*10^6</f>
        <v>489.33480150043755</v>
      </c>
      <c r="G116" s="143">
        <f>(INDEX(Production_Consumption!$AA$83:$AJ$99,MATCH('County Scaled Consumption '!$B116,Production_Consumption!$AA$83:$AA$99,0),MATCH('County Scaled Consumption '!G$2,Production_Consumption!$AA$83:$AJ$83,0)))*'CA Population'!$L116*10^6</f>
        <v>1889.7987612023808</v>
      </c>
      <c r="H116" s="143">
        <f>(INDEX(Production_Consumption!$AA$83:$AJ$99,MATCH('County Scaled Consumption '!$B116,Production_Consumption!$AA$83:$AA$99,0),MATCH('County Scaled Consumption '!H$2,Production_Consumption!$AA$83:$AJ$83,0)))*'CA Population'!$L116*10^6</f>
        <v>51.026013583937079</v>
      </c>
      <c r="I116" s="143">
        <f>(INDEX(Production_Consumption!$AA$83:$AJ$99,MATCH('County Scaled Consumption '!$B116,Production_Consumption!$AA$83:$AA$99,0),MATCH('County Scaled Consumption '!I$2,Production_Consumption!$AA$83:$AJ$83,0)))*'CA Population'!$L116*10^6</f>
        <v>835.99048169777006</v>
      </c>
      <c r="J116" s="143">
        <f>(INDEX(Production_Consumption!$AA$83:$AJ$99,MATCH('County Scaled Consumption '!$B116,Production_Consumption!$AA$83:$AA$99,0),MATCH('County Scaled Consumption '!J$2,Production_Consumption!$AA$83:$AJ$83,0)))*'CA Population'!$L116*10^6</f>
        <v>663.71983837227458</v>
      </c>
      <c r="K116" s="143">
        <f>(INDEX(Production_Consumption!$AA$83:$AJ$99,MATCH('County Scaled Consumption '!$B116,Production_Consumption!$AA$83:$AA$99,0),MATCH('County Scaled Consumption '!K$2,Production_Consumption!$AA$83:$AJ$83,0)))*'CA Population'!$L116*10^6</f>
        <v>9139.3371926305445</v>
      </c>
      <c r="L116" s="131">
        <f t="shared" si="1"/>
        <v>0</v>
      </c>
    </row>
    <row r="117" spans="1:12" x14ac:dyDescent="0.2">
      <c r="A117" s="132" t="s">
        <v>360</v>
      </c>
      <c r="B117" s="129">
        <v>2019</v>
      </c>
      <c r="C117" s="143">
        <f>(INDEX(Production_Consumption!$AA$83:$AJ$99,MATCH('County Scaled Consumption '!$B117,Production_Consumption!$AA$83:$AA$99,0),MATCH('County Scaled Consumption '!C$2,Production_Consumption!$AA$83:$AJ$83,0)))*'CA Population'!$L117*10^6</f>
        <v>11074.134263124366</v>
      </c>
      <c r="D117" s="143">
        <f>(INDEX(Production_Consumption!$AA$83:$AJ$99,MATCH('County Scaled Consumption '!$B117,Production_Consumption!$AA$83:$AA$99,0),MATCH('County Scaled Consumption '!D$2,Production_Consumption!$AA$83:$AJ$83,0)))*'CA Population'!$L117*10^6</f>
        <v>43263.10014386633</v>
      </c>
      <c r="E117" s="143">
        <f>(INDEX(Production_Consumption!$AA$83:$AJ$99,MATCH('County Scaled Consumption '!$B117,Production_Consumption!$AA$83:$AA$99,0),MATCH('County Scaled Consumption '!E$2,Production_Consumption!$AA$83:$AJ$83,0)))*'CA Population'!$L117*10^6</f>
        <v>26315.220116679342</v>
      </c>
      <c r="F117" s="143">
        <f>(INDEX(Production_Consumption!$AA$83:$AJ$99,MATCH('County Scaled Consumption '!$B117,Production_Consumption!$AA$83:$AA$99,0),MATCH('County Scaled Consumption '!F$2,Production_Consumption!$AA$83:$AJ$83,0)))*'CA Population'!$L117*10^6</f>
        <v>7575.8327253714851</v>
      </c>
      <c r="G117" s="143">
        <f>(INDEX(Production_Consumption!$AA$83:$AJ$99,MATCH('County Scaled Consumption '!$B117,Production_Consumption!$AA$83:$AA$99,0),MATCH('County Scaled Consumption '!G$2,Production_Consumption!$AA$83:$AJ$83,0)))*'CA Population'!$L117*10^6</f>
        <v>29257.676452981013</v>
      </c>
      <c r="H117" s="143">
        <f>(INDEX(Production_Consumption!$AA$83:$AJ$99,MATCH('County Scaled Consumption '!$B117,Production_Consumption!$AA$83:$AA$99,0),MATCH('County Scaled Consumption '!H$2,Production_Consumption!$AA$83:$AJ$83,0)))*'CA Population'!$L117*10^6</f>
        <v>789.97966702782094</v>
      </c>
      <c r="I117" s="143">
        <f>(INDEX(Production_Consumption!$AA$83:$AJ$99,MATCH('County Scaled Consumption '!$B117,Production_Consumption!$AA$83:$AA$99,0),MATCH('County Scaled Consumption '!I$2,Production_Consumption!$AA$83:$AJ$83,0)))*'CA Population'!$L117*10^6</f>
        <v>12942.721486240696</v>
      </c>
      <c r="J117" s="143">
        <f>(INDEX(Production_Consumption!$AA$83:$AJ$99,MATCH('County Scaled Consumption '!$B117,Production_Consumption!$AA$83:$AA$99,0),MATCH('County Scaled Consumption '!J$2,Production_Consumption!$AA$83:$AJ$83,0)))*'CA Population'!$L117*10^6</f>
        <v>10275.644521094737</v>
      </c>
      <c r="K117" s="143">
        <f>(INDEX(Production_Consumption!$AA$83:$AJ$99,MATCH('County Scaled Consumption '!$B117,Production_Consumption!$AA$83:$AA$99,0),MATCH('County Scaled Consumption '!K$2,Production_Consumption!$AA$83:$AJ$83,0)))*'CA Population'!$L117*10^6</f>
        <v>141494.30937638579</v>
      </c>
      <c r="L117" s="131">
        <f t="shared" si="1"/>
        <v>0</v>
      </c>
    </row>
    <row r="118" spans="1:12" x14ac:dyDescent="0.2">
      <c r="A118" s="132" t="s">
        <v>361</v>
      </c>
      <c r="B118" s="129">
        <v>2019</v>
      </c>
      <c r="C118" s="143">
        <f>(INDEX(Production_Consumption!$AA$83:$AJ$99,MATCH('County Scaled Consumption '!$B118,Production_Consumption!$AA$83:$AA$99,0),MATCH('County Scaled Consumption '!C$2,Production_Consumption!$AA$83:$AJ$83,0)))*'CA Population'!$L118*10^6</f>
        <v>2890.0657288748971</v>
      </c>
      <c r="D118" s="143">
        <f>(INDEX(Production_Consumption!$AA$83:$AJ$99,MATCH('County Scaled Consumption '!$B118,Production_Consumption!$AA$83:$AA$99,0),MATCH('County Scaled Consumption '!D$2,Production_Consumption!$AA$83:$AJ$83,0)))*'CA Population'!$L118*10^6</f>
        <v>11290.562321157451</v>
      </c>
      <c r="E118" s="143">
        <f>(INDEX(Production_Consumption!$AA$83:$AJ$99,MATCH('County Scaled Consumption '!$B118,Production_Consumption!$AA$83:$AA$99,0),MATCH('County Scaled Consumption '!E$2,Production_Consumption!$AA$83:$AJ$83,0)))*'CA Population'!$L118*10^6</f>
        <v>6867.5992181403581</v>
      </c>
      <c r="F118" s="143">
        <f>(INDEX(Production_Consumption!$AA$83:$AJ$99,MATCH('County Scaled Consumption '!$B118,Production_Consumption!$AA$83:$AA$99,0),MATCH('County Scaled Consumption '!F$2,Production_Consumption!$AA$83:$AJ$83,0)))*'CA Population'!$L118*10^6</f>
        <v>1977.0985259038987</v>
      </c>
      <c r="G118" s="143">
        <f>(INDEX(Production_Consumption!$AA$83:$AJ$99,MATCH('County Scaled Consumption '!$B118,Production_Consumption!$AA$83:$AA$99,0),MATCH('County Scaled Consumption '!G$2,Production_Consumption!$AA$83:$AJ$83,0)))*'CA Population'!$L118*10^6</f>
        <v>7635.5050439323804</v>
      </c>
      <c r="H118" s="143">
        <f>(INDEX(Production_Consumption!$AA$83:$AJ$99,MATCH('County Scaled Consumption '!$B118,Production_Consumption!$AA$83:$AA$99,0),MATCH('County Scaled Consumption '!H$2,Production_Consumption!$AA$83:$AJ$83,0)))*'CA Population'!$L118*10^6</f>
        <v>206.16448274313899</v>
      </c>
      <c r="I118" s="143">
        <f>(INDEX(Production_Consumption!$AA$83:$AJ$99,MATCH('County Scaled Consumption '!$B118,Production_Consumption!$AA$83:$AA$99,0),MATCH('County Scaled Consumption '!I$2,Production_Consumption!$AA$83:$AJ$83,0)))*'CA Population'!$L118*10^6</f>
        <v>3377.7191893286454</v>
      </c>
      <c r="J118" s="143">
        <f>(INDEX(Production_Consumption!$AA$83:$AJ$99,MATCH('County Scaled Consumption '!$B118,Production_Consumption!$AA$83:$AA$99,0),MATCH('County Scaled Consumption '!J$2,Production_Consumption!$AA$83:$AJ$83,0)))*'CA Population'!$L118*10^6</f>
        <v>2681.6803342727803</v>
      </c>
      <c r="K118" s="143">
        <f>(INDEX(Production_Consumption!$AA$83:$AJ$99,MATCH('County Scaled Consumption '!$B118,Production_Consumption!$AA$83:$AA$99,0),MATCH('County Scaled Consumption '!K$2,Production_Consumption!$AA$83:$AJ$83,0)))*'CA Population'!$L118*10^6</f>
        <v>36926.394844353548</v>
      </c>
      <c r="L118" s="131">
        <f t="shared" si="1"/>
        <v>0</v>
      </c>
    </row>
    <row r="119" spans="1:12" x14ac:dyDescent="0.2">
      <c r="A119" s="132" t="s">
        <v>362</v>
      </c>
      <c r="B119" s="129">
        <v>2019</v>
      </c>
      <c r="C119" s="143">
        <f>(INDEX(Production_Consumption!$AA$83:$AJ$99,MATCH('County Scaled Consumption '!$B119,Production_Consumption!$AA$83:$AA$99,0),MATCH('County Scaled Consumption '!C$2,Production_Consumption!$AA$83:$AJ$83,0)))*'CA Population'!$L119*10^6</f>
        <v>1012.9461981874235</v>
      </c>
      <c r="D119" s="143">
        <f>(INDEX(Production_Consumption!$AA$83:$AJ$99,MATCH('County Scaled Consumption '!$B119,Production_Consumption!$AA$83:$AA$99,0),MATCH('County Scaled Consumption '!D$2,Production_Consumption!$AA$83:$AJ$83,0)))*'CA Population'!$L119*10^6</f>
        <v>3957.256772518781</v>
      </c>
      <c r="E119" s="143">
        <f>(INDEX(Production_Consumption!$AA$83:$AJ$99,MATCH('County Scaled Consumption '!$B119,Production_Consumption!$AA$83:$AA$99,0),MATCH('County Scaled Consumption '!E$2,Production_Consumption!$AA$83:$AJ$83,0)))*'CA Population'!$L119*10^6</f>
        <v>2407.041628564748</v>
      </c>
      <c r="F119" s="143">
        <f>(INDEX(Production_Consumption!$AA$83:$AJ$99,MATCH('County Scaled Consumption '!$B119,Production_Consumption!$AA$83:$AA$99,0),MATCH('County Scaled Consumption '!F$2,Production_Consumption!$AA$83:$AJ$83,0)))*'CA Population'!$L119*10^6</f>
        <v>692.95809269914503</v>
      </c>
      <c r="G119" s="143">
        <f>(INDEX(Production_Consumption!$AA$83:$AJ$99,MATCH('County Scaled Consumption '!$B119,Production_Consumption!$AA$83:$AA$99,0),MATCH('County Scaled Consumption '!G$2,Production_Consumption!$AA$83:$AJ$83,0)))*'CA Population'!$L119*10^6</f>
        <v>2676.1868175583627</v>
      </c>
      <c r="H119" s="143">
        <f>(INDEX(Production_Consumption!$AA$83:$AJ$99,MATCH('County Scaled Consumption '!$B119,Production_Consumption!$AA$83:$AA$99,0),MATCH('County Scaled Consumption '!H$2,Production_Consumption!$AA$83:$AJ$83,0)))*'CA Population'!$L119*10^6</f>
        <v>72.259093248110389</v>
      </c>
      <c r="I119" s="143">
        <f>(INDEX(Production_Consumption!$AA$83:$AJ$99,MATCH('County Scaled Consumption '!$B119,Production_Consumption!$AA$83:$AA$99,0),MATCH('County Scaled Consumption '!I$2,Production_Consumption!$AA$83:$AJ$83,0)))*'CA Population'!$L119*10^6</f>
        <v>1183.8650509540928</v>
      </c>
      <c r="J119" s="143">
        <f>(INDEX(Production_Consumption!$AA$83:$AJ$99,MATCH('County Scaled Consumption '!$B119,Production_Consumption!$AA$83:$AA$99,0),MATCH('County Scaled Consumption '!J$2,Production_Consumption!$AA$83:$AJ$83,0)))*'CA Population'!$L119*10^6</f>
        <v>939.90869211583163</v>
      </c>
      <c r="K119" s="143">
        <f>(INDEX(Production_Consumption!$AA$83:$AJ$99,MATCH('County Scaled Consumption '!$B119,Production_Consumption!$AA$83:$AA$99,0),MATCH('County Scaled Consumption '!K$2,Production_Consumption!$AA$83:$AJ$83,0)))*'CA Population'!$L119*10^6</f>
        <v>12942.422345846495</v>
      </c>
      <c r="L119" s="131">
        <f t="shared" si="1"/>
        <v>0</v>
      </c>
    </row>
    <row r="120" spans="1:12" x14ac:dyDescent="0.2">
      <c r="A120" s="132" t="s">
        <v>363</v>
      </c>
      <c r="B120" s="129">
        <v>2019</v>
      </c>
      <c r="C120" s="143">
        <f>(INDEX(Production_Consumption!$AA$83:$AJ$99,MATCH('County Scaled Consumption '!$B120,Production_Consumption!$AA$83:$AA$99,0),MATCH('County Scaled Consumption '!C$2,Production_Consumption!$AA$83:$AJ$83,0)))*'CA Population'!$L120*10^6</f>
        <v>519503.00234111748</v>
      </c>
      <c r="D120" s="143">
        <f>(INDEX(Production_Consumption!$AA$83:$AJ$99,MATCH('County Scaled Consumption '!$B120,Production_Consumption!$AA$83:$AA$99,0),MATCH('County Scaled Consumption '!D$2,Production_Consumption!$AA$83:$AJ$83,0)))*'CA Population'!$L120*10^6</f>
        <v>2029532.0502084997</v>
      </c>
      <c r="E120" s="143">
        <f>(INDEX(Production_Consumption!$AA$83:$AJ$99,MATCH('County Scaled Consumption '!$B120,Production_Consumption!$AA$83:$AA$99,0),MATCH('County Scaled Consumption '!E$2,Production_Consumption!$AA$83:$AJ$83,0)))*'CA Population'!$L120*10^6</f>
        <v>1234483.48494425</v>
      </c>
      <c r="F120" s="143">
        <f>(INDEX(Production_Consumption!$AA$83:$AJ$99,MATCH('County Scaled Consumption '!$B120,Production_Consumption!$AA$83:$AA$99,0),MATCH('County Scaled Consumption '!F$2,Production_Consumption!$AA$83:$AJ$83,0)))*'CA Population'!$L120*10^6</f>
        <v>355392.82372346817</v>
      </c>
      <c r="G120" s="143">
        <f>(INDEX(Production_Consumption!$AA$83:$AJ$99,MATCH('County Scaled Consumption '!$B120,Production_Consumption!$AA$83:$AA$99,0),MATCH('County Scaled Consumption '!G$2,Production_Consumption!$AA$83:$AJ$83,0)))*'CA Population'!$L120*10^6</f>
        <v>1372518.1939920243</v>
      </c>
      <c r="H120" s="143">
        <f>(INDEX(Production_Consumption!$AA$83:$AJ$99,MATCH('County Scaled Consumption '!$B120,Production_Consumption!$AA$83:$AA$99,0),MATCH('County Scaled Consumption '!H$2,Production_Consumption!$AA$83:$AJ$83,0)))*'CA Population'!$L120*10^6</f>
        <v>37059.042184088823</v>
      </c>
      <c r="I120" s="143">
        <f>(INDEX(Production_Consumption!$AA$83:$AJ$99,MATCH('County Scaled Consumption '!$B120,Production_Consumption!$AA$83:$AA$99,0),MATCH('County Scaled Consumption '!I$2,Production_Consumption!$AA$83:$AJ$83,0)))*'CA Population'!$L120*10^6</f>
        <v>607161.02142235881</v>
      </c>
      <c r="J120" s="143">
        <f>(INDEX(Production_Consumption!$AA$83:$AJ$99,MATCH('County Scaled Consumption '!$B120,Production_Consumption!$AA$83:$AA$99,0),MATCH('County Scaled Consumption '!J$2,Production_Consumption!$AA$83:$AJ$83,0)))*'CA Population'!$L120*10^6</f>
        <v>482044.74073196627</v>
      </c>
      <c r="K120" s="143">
        <f>(INDEX(Production_Consumption!$AA$83:$AJ$99,MATCH('County Scaled Consumption '!$B120,Production_Consumption!$AA$83:$AA$99,0),MATCH('County Scaled Consumption '!K$2,Production_Consumption!$AA$83:$AJ$83,0)))*'CA Population'!$L120*10^6</f>
        <v>6637694.3595477734</v>
      </c>
      <c r="L120" s="131">
        <f t="shared" si="1"/>
        <v>0</v>
      </c>
    </row>
    <row r="121" spans="1:12" x14ac:dyDescent="0.2">
      <c r="A121" s="132" t="s">
        <v>305</v>
      </c>
      <c r="B121" s="129">
        <v>2018</v>
      </c>
      <c r="C121" s="143">
        <f>(INDEX(Production_Consumption!$AA$83:$AJ$99,MATCH('County Scaled Consumption '!$B121,Production_Consumption!$AA$83:$AA$99,0),MATCH('County Scaled Consumption '!C$2,Production_Consumption!$AA$83:$AJ$83,0)))*'CA Population'!$L121*10^6</f>
        <v>21404.098848748708</v>
      </c>
      <c r="D121" s="143">
        <f>(INDEX(Production_Consumption!$AA$83:$AJ$99,MATCH('County Scaled Consumption '!$B121,Production_Consumption!$AA$83:$AA$99,0),MATCH('County Scaled Consumption '!D$2,Production_Consumption!$AA$83:$AJ$83,0)))*'CA Population'!$L121*10^6</f>
        <v>82213.654622917646</v>
      </c>
      <c r="E121" s="143">
        <f>(INDEX(Production_Consumption!$AA$83:$AJ$99,MATCH('County Scaled Consumption '!$B121,Production_Consumption!$AA$83:$AA$99,0),MATCH('County Scaled Consumption '!E$2,Production_Consumption!$AA$83:$AJ$83,0)))*'CA Population'!$L121*10^6</f>
        <v>49921.434008580116</v>
      </c>
      <c r="F121" s="143">
        <f>(INDEX(Production_Consumption!$AA$83:$AJ$99,MATCH('County Scaled Consumption '!$B121,Production_Consumption!$AA$83:$AA$99,0),MATCH('County Scaled Consumption '!F$2,Production_Consumption!$AA$83:$AJ$83,0)))*'CA Population'!$L121*10^6</f>
        <v>14733.578887632999</v>
      </c>
      <c r="G121" s="143">
        <f>(INDEX(Production_Consumption!$AA$83:$AJ$99,MATCH('County Scaled Consumption '!$B121,Production_Consumption!$AA$83:$AA$99,0),MATCH('County Scaled Consumption '!G$2,Production_Consumption!$AA$83:$AJ$83,0)))*'CA Population'!$L121*10^6</f>
        <v>55481.780112307541</v>
      </c>
      <c r="H121" s="143">
        <f>(INDEX(Production_Consumption!$AA$83:$AJ$99,MATCH('County Scaled Consumption '!$B121,Production_Consumption!$AA$83:$AA$99,0),MATCH('County Scaled Consumption '!H$2,Production_Consumption!$AA$83:$AJ$83,0)))*'CA Population'!$L121*10^6</f>
        <v>1509.2865010017038</v>
      </c>
      <c r="I121" s="143">
        <f>(INDEX(Production_Consumption!$AA$83:$AJ$99,MATCH('County Scaled Consumption '!$B121,Production_Consumption!$AA$83:$AA$99,0),MATCH('County Scaled Consumption '!I$2,Production_Consumption!$AA$83:$AJ$83,0)))*'CA Population'!$L121*10^6</f>
        <v>28807.115811253865</v>
      </c>
      <c r="J121" s="143">
        <f>(INDEX(Production_Consumption!$AA$83:$AJ$99,MATCH('County Scaled Consumption '!$B121,Production_Consumption!$AA$83:$AA$99,0),MATCH('County Scaled Consumption '!J$2,Production_Consumption!$AA$83:$AJ$83,0)))*'CA Population'!$L121*10^6</f>
        <v>19626.247339577152</v>
      </c>
      <c r="K121" s="143">
        <f>(INDEX(Production_Consumption!$AA$83:$AJ$99,MATCH('County Scaled Consumption '!$B121,Production_Consumption!$AA$83:$AA$99,0),MATCH('County Scaled Consumption '!K$2,Production_Consumption!$AA$83:$AJ$83,0)))*'CA Population'!$L121*10^6</f>
        <v>273697.19613201974</v>
      </c>
      <c r="L121" s="131">
        <f t="shared" si="1"/>
        <v>0</v>
      </c>
    </row>
    <row r="122" spans="1:12" x14ac:dyDescent="0.2">
      <c r="A122" s="132" t="s">
        <v>306</v>
      </c>
      <c r="B122" s="129">
        <v>2018</v>
      </c>
      <c r="C122" s="143">
        <f>(INDEX(Production_Consumption!$AA$83:$AJ$99,MATCH('County Scaled Consumption '!$B122,Production_Consumption!$AA$83:$AA$99,0),MATCH('County Scaled Consumption '!C$2,Production_Consumption!$AA$83:$AJ$83,0)))*'CA Population'!$L122*10^6</f>
        <v>15.018737931479</v>
      </c>
      <c r="D122" s="143">
        <f>(INDEX(Production_Consumption!$AA$83:$AJ$99,MATCH('County Scaled Consumption '!$B122,Production_Consumption!$AA$83:$AA$99,0),MATCH('County Scaled Consumption '!D$2,Production_Consumption!$AA$83:$AJ$83,0)))*'CA Population'!$L122*10^6</f>
        <v>57.687330912457952</v>
      </c>
      <c r="E122" s="143">
        <f>(INDEX(Production_Consumption!$AA$83:$AJ$99,MATCH('County Scaled Consumption '!$B122,Production_Consumption!$AA$83:$AA$99,0),MATCH('County Scaled Consumption '!E$2,Production_Consumption!$AA$83:$AJ$83,0)))*'CA Population'!$L122*10^6</f>
        <v>35.028661558546247</v>
      </c>
      <c r="F122" s="143">
        <f>(INDEX(Production_Consumption!$AA$83:$AJ$99,MATCH('County Scaled Consumption '!$B122,Production_Consumption!$AA$83:$AA$99,0),MATCH('County Scaled Consumption '!F$2,Production_Consumption!$AA$83:$AJ$83,0)))*'CA Population'!$L122*10^6</f>
        <v>10.338195579725047</v>
      </c>
      <c r="G122" s="143">
        <f>(INDEX(Production_Consumption!$AA$83:$AJ$99,MATCH('County Scaled Consumption '!$B122,Production_Consumption!$AA$83:$AA$99,0),MATCH('County Scaled Consumption '!G$2,Production_Consumption!$AA$83:$AJ$83,0)))*'CA Population'!$L122*10^6</f>
        <v>38.930221793822618</v>
      </c>
      <c r="H122" s="143">
        <f>(INDEX(Production_Consumption!$AA$83:$AJ$99,MATCH('County Scaled Consumption '!$B122,Production_Consumption!$AA$83:$AA$99,0),MATCH('County Scaled Consumption '!H$2,Production_Consumption!$AA$83:$AJ$83,0)))*'CA Population'!$L122*10^6</f>
        <v>1.0590297952856194</v>
      </c>
      <c r="I122" s="143">
        <f>(INDEX(Production_Consumption!$AA$83:$AJ$99,MATCH('County Scaled Consumption '!$B122,Production_Consumption!$AA$83:$AA$99,0),MATCH('County Scaled Consumption '!I$2,Production_Consumption!$AA$83:$AJ$83,0)))*'CA Population'!$L122*10^6</f>
        <v>20.21325569407373</v>
      </c>
      <c r="J122" s="143">
        <f>(INDEX(Production_Consumption!$AA$83:$AJ$99,MATCH('County Scaled Consumption '!$B122,Production_Consumption!$AA$83:$AA$99,0),MATCH('County Scaled Consumption '!J$2,Production_Consumption!$AA$83:$AJ$83,0)))*'CA Population'!$L122*10^6</f>
        <v>13.771262572389402</v>
      </c>
      <c r="K122" s="143">
        <f>(INDEX(Production_Consumption!$AA$83:$AJ$99,MATCH('County Scaled Consumption '!$B122,Production_Consumption!$AA$83:$AA$99,0),MATCH('County Scaled Consumption '!K$2,Production_Consumption!$AA$83:$AJ$83,0)))*'CA Population'!$L122*10^6</f>
        <v>192.04669583777962</v>
      </c>
      <c r="L122" s="131">
        <f t="shared" si="1"/>
        <v>0</v>
      </c>
    </row>
    <row r="123" spans="1:12" x14ac:dyDescent="0.2">
      <c r="A123" s="132" t="s">
        <v>307</v>
      </c>
      <c r="B123" s="129">
        <v>2018</v>
      </c>
      <c r="C123" s="143">
        <f>(INDEX(Production_Consumption!$AA$83:$AJ$99,MATCH('County Scaled Consumption '!$B123,Production_Consumption!$AA$83:$AA$99,0),MATCH('County Scaled Consumption '!C$2,Production_Consumption!$AA$83:$AJ$83,0)))*'CA Population'!$L123*10^6</f>
        <v>486.18466648072535</v>
      </c>
      <c r="D123" s="143">
        <f>(INDEX(Production_Consumption!$AA$83:$AJ$99,MATCH('County Scaled Consumption '!$B123,Production_Consumption!$AA$83:$AA$99,0),MATCH('County Scaled Consumption '!D$2,Production_Consumption!$AA$83:$AJ$83,0)))*'CA Population'!$L123*10^6</f>
        <v>1867.4469098399568</v>
      </c>
      <c r="E123" s="143">
        <f>(INDEX(Production_Consumption!$AA$83:$AJ$99,MATCH('County Scaled Consumption '!$B123,Production_Consumption!$AA$83:$AA$99,0),MATCH('County Scaled Consumption '!E$2,Production_Consumption!$AA$83:$AJ$83,0)))*'CA Population'!$L123*10^6</f>
        <v>1133.9433589431378</v>
      </c>
      <c r="F123" s="143">
        <f>(INDEX(Production_Consumption!$AA$83:$AJ$99,MATCH('County Scaled Consumption '!$B123,Production_Consumption!$AA$83:$AA$99,0),MATCH('County Scaled Consumption '!F$2,Production_Consumption!$AA$83:$AJ$83,0)))*'CA Population'!$L123*10^6</f>
        <v>334.66674715763941</v>
      </c>
      <c r="G123" s="143">
        <f>(INDEX(Production_Consumption!$AA$83:$AJ$99,MATCH('County Scaled Consumption '!$B123,Production_Consumption!$AA$83:$AA$99,0),MATCH('County Scaled Consumption '!G$2,Production_Consumption!$AA$83:$AJ$83,0)))*'CA Population'!$L123*10^6</f>
        <v>1260.2441686647376</v>
      </c>
      <c r="H123" s="143">
        <f>(INDEX(Production_Consumption!$AA$83:$AJ$99,MATCH('County Scaled Consumption '!$B123,Production_Consumption!$AA$83:$AA$99,0),MATCH('County Scaled Consumption '!H$2,Production_Consumption!$AA$83:$AJ$83,0)))*'CA Population'!$L123*10^6</f>
        <v>34.282777298810316</v>
      </c>
      <c r="I123" s="143">
        <f>(INDEX(Production_Consumption!$AA$83:$AJ$99,MATCH('County Scaled Consumption '!$B123,Production_Consumption!$AA$83:$AA$99,0),MATCH('County Scaled Consumption '!I$2,Production_Consumption!$AA$83:$AJ$83,0)))*'CA Population'!$L123*10^6</f>
        <v>654.3409321707959</v>
      </c>
      <c r="J123" s="143">
        <f>(INDEX(Production_Consumption!$AA$83:$AJ$99,MATCH('County Scaled Consumption '!$B123,Production_Consumption!$AA$83:$AA$99,0),MATCH('County Scaled Consumption '!J$2,Production_Consumption!$AA$83:$AJ$83,0)))*'CA Population'!$L123*10^6</f>
        <v>445.80155345425197</v>
      </c>
      <c r="K123" s="143">
        <f>(INDEX(Production_Consumption!$AA$83:$AJ$99,MATCH('County Scaled Consumption '!$B123,Production_Consumption!$AA$83:$AA$99,0),MATCH('County Scaled Consumption '!K$2,Production_Consumption!$AA$83:$AJ$83,0)))*'CA Population'!$L123*10^6</f>
        <v>6216.9111140100549</v>
      </c>
      <c r="L123" s="131">
        <f t="shared" si="1"/>
        <v>0</v>
      </c>
    </row>
    <row r="124" spans="1:12" x14ac:dyDescent="0.2">
      <c r="A124" s="132" t="s">
        <v>308</v>
      </c>
      <c r="B124" s="129">
        <v>2018</v>
      </c>
      <c r="C124" s="143">
        <f>(INDEX(Production_Consumption!$AA$83:$AJ$99,MATCH('County Scaled Consumption '!$B124,Production_Consumption!$AA$83:$AA$99,0),MATCH('County Scaled Consumption '!C$2,Production_Consumption!$AA$83:$AJ$83,0)))*'CA Population'!$L124*10^6</f>
        <v>2929.8590240134076</v>
      </c>
      <c r="D124" s="143">
        <f>(INDEX(Production_Consumption!$AA$83:$AJ$99,MATCH('County Scaled Consumption '!$B124,Production_Consumption!$AA$83:$AA$99,0),MATCH('County Scaled Consumption '!D$2,Production_Consumption!$AA$83:$AJ$83,0)))*'CA Population'!$L124*10^6</f>
        <v>11253.658450944709</v>
      </c>
      <c r="E124" s="143">
        <f>(INDEX(Production_Consumption!$AA$83:$AJ$99,MATCH('County Scaled Consumption '!$B124,Production_Consumption!$AA$83:$AA$99,0),MATCH('County Scaled Consumption '!E$2,Production_Consumption!$AA$83:$AJ$83,0)))*'CA Population'!$L124*10^6</f>
        <v>6833.3997593306212</v>
      </c>
      <c r="F124" s="143">
        <f>(INDEX(Production_Consumption!$AA$83:$AJ$99,MATCH('County Scaled Consumption '!$B124,Production_Consumption!$AA$83:$AA$99,0),MATCH('County Scaled Consumption '!F$2,Production_Consumption!$AA$83:$AJ$83,0)))*'CA Population'!$L124*10^6</f>
        <v>2016.7776912723675</v>
      </c>
      <c r="G124" s="143">
        <f>(INDEX(Production_Consumption!$AA$83:$AJ$99,MATCH('County Scaled Consumption '!$B124,Production_Consumption!$AA$83:$AA$99,0),MATCH('County Scaled Consumption '!G$2,Production_Consumption!$AA$83:$AJ$83,0)))*'CA Population'!$L124*10^6</f>
        <v>7594.5170725968128</v>
      </c>
      <c r="H124" s="143">
        <f>(INDEX(Production_Consumption!$AA$83:$AJ$99,MATCH('County Scaled Consumption '!$B124,Production_Consumption!$AA$83:$AA$99,0),MATCH('County Scaled Consumption '!H$2,Production_Consumption!$AA$83:$AJ$83,0)))*'CA Population'!$L124*10^6</f>
        <v>206.59578831275925</v>
      </c>
      <c r="I124" s="143">
        <f>(INDEX(Production_Consumption!$AA$83:$AJ$99,MATCH('County Scaled Consumption '!$B124,Production_Consumption!$AA$83:$AA$99,0),MATCH('County Scaled Consumption '!I$2,Production_Consumption!$AA$83:$AJ$83,0)))*'CA Population'!$L124*10^6</f>
        <v>3943.2068040713393</v>
      </c>
      <c r="J124" s="143">
        <f>(INDEX(Production_Consumption!$AA$83:$AJ$99,MATCH('County Scaled Consumption '!$B124,Production_Consumption!$AA$83:$AA$99,0),MATCH('County Scaled Consumption '!J$2,Production_Consumption!$AA$83:$AJ$83,0)))*'CA Population'!$L124*10^6</f>
        <v>2686.5012295876609</v>
      </c>
      <c r="K124" s="143">
        <f>(INDEX(Production_Consumption!$AA$83:$AJ$99,MATCH('County Scaled Consumption '!$B124,Production_Consumption!$AA$83:$AA$99,0),MATCH('County Scaled Consumption '!K$2,Production_Consumption!$AA$83:$AJ$83,0)))*'CA Population'!$L124*10^6</f>
        <v>37464.51582012968</v>
      </c>
      <c r="L124" s="131">
        <f t="shared" si="1"/>
        <v>0</v>
      </c>
    </row>
    <row r="125" spans="1:12" x14ac:dyDescent="0.2">
      <c r="A125" s="132" t="s">
        <v>309</v>
      </c>
      <c r="B125" s="129">
        <v>2018</v>
      </c>
      <c r="C125" s="143">
        <f>(INDEX(Production_Consumption!$AA$83:$AJ$99,MATCH('County Scaled Consumption '!$B125,Production_Consumption!$AA$83:$AA$99,0),MATCH('County Scaled Consumption '!C$2,Production_Consumption!$AA$83:$AJ$83,0)))*'CA Population'!$L125*10^6</f>
        <v>585.13469481961545</v>
      </c>
      <c r="D125" s="143">
        <f>(INDEX(Production_Consumption!$AA$83:$AJ$99,MATCH('County Scaled Consumption '!$B125,Production_Consumption!$AA$83:$AA$99,0),MATCH('County Scaled Consumption '!D$2,Production_Consumption!$AA$83:$AJ$83,0)))*'CA Population'!$L125*10^6</f>
        <v>2247.5163307610342</v>
      </c>
      <c r="E125" s="143">
        <f>(INDEX(Production_Consumption!$AA$83:$AJ$99,MATCH('County Scaled Consumption '!$B125,Production_Consumption!$AA$83:$AA$99,0),MATCH('County Scaled Consumption '!E$2,Production_Consumption!$AA$83:$AJ$83,0)))*'CA Population'!$L125*10^6</f>
        <v>1364.7275346645001</v>
      </c>
      <c r="F125" s="143">
        <f>(INDEX(Production_Consumption!$AA$83:$AJ$99,MATCH('County Scaled Consumption '!$B125,Production_Consumption!$AA$83:$AA$99,0),MATCH('County Scaled Consumption '!F$2,Production_Consumption!$AA$83:$AJ$83,0)))*'CA Population'!$L125*10^6</f>
        <v>402.77931095986582</v>
      </c>
      <c r="G125" s="143">
        <f>(INDEX(Production_Consumption!$AA$83:$AJ$99,MATCH('County Scaled Consumption '!$B125,Production_Consumption!$AA$83:$AA$99,0),MATCH('County Scaled Consumption '!G$2,Production_Consumption!$AA$83:$AJ$83,0)))*'CA Population'!$L125*10^6</f>
        <v>1516.7335333046249</v>
      </c>
      <c r="H125" s="143">
        <f>(INDEX(Production_Consumption!$AA$83:$AJ$99,MATCH('County Scaled Consumption '!$B125,Production_Consumption!$AA$83:$AA$99,0),MATCH('County Scaled Consumption '!H$2,Production_Consumption!$AA$83:$AJ$83,0)))*'CA Population'!$L125*10^6</f>
        <v>41.260129772322813</v>
      </c>
      <c r="I125" s="143">
        <f>(INDEX(Production_Consumption!$AA$83:$AJ$99,MATCH('County Scaled Consumption '!$B125,Production_Consumption!$AA$83:$AA$99,0),MATCH('County Scaled Consumption '!I$2,Production_Consumption!$AA$83:$AJ$83,0)))*'CA Population'!$L125*10^6</f>
        <v>787.51472033295886</v>
      </c>
      <c r="J125" s="143">
        <f>(INDEX(Production_Consumption!$AA$83:$AJ$99,MATCH('County Scaled Consumption '!$B125,Production_Consumption!$AA$83:$AA$99,0),MATCH('County Scaled Consumption '!J$2,Production_Consumption!$AA$83:$AJ$83,0)))*'CA Population'!$L125*10^6</f>
        <v>536.53266734792362</v>
      </c>
      <c r="K125" s="143">
        <f>(INDEX(Production_Consumption!$AA$83:$AJ$99,MATCH('County Scaled Consumption '!$B125,Production_Consumption!$AA$83:$AA$99,0),MATCH('County Scaled Consumption '!K$2,Production_Consumption!$AA$83:$AJ$83,0)))*'CA Population'!$L125*10^6</f>
        <v>7482.1989219628458</v>
      </c>
      <c r="L125" s="131">
        <f t="shared" si="1"/>
        <v>0</v>
      </c>
    </row>
    <row r="126" spans="1:12" x14ac:dyDescent="0.2">
      <c r="A126" s="132" t="s">
        <v>310</v>
      </c>
      <c r="B126" s="129">
        <v>2018</v>
      </c>
      <c r="C126" s="143">
        <f>(INDEX(Production_Consumption!$AA$83:$AJ$99,MATCH('County Scaled Consumption '!$B126,Production_Consumption!$AA$83:$AA$99,0),MATCH('County Scaled Consumption '!C$2,Production_Consumption!$AA$83:$AJ$83,0)))*'CA Population'!$L126*10^6</f>
        <v>284.85064470213234</v>
      </c>
      <c r="D126" s="143">
        <f>(INDEX(Production_Consumption!$AA$83:$AJ$99,MATCH('County Scaled Consumption '!$B126,Production_Consumption!$AA$83:$AA$99,0),MATCH('County Scaled Consumption '!D$2,Production_Consumption!$AA$83:$AJ$83,0)))*'CA Population'!$L126*10^6</f>
        <v>1094.1181260721748</v>
      </c>
      <c r="E126" s="143">
        <f>(INDEX(Production_Consumption!$AA$83:$AJ$99,MATCH('County Scaled Consumption '!$B126,Production_Consumption!$AA$83:$AA$99,0),MATCH('County Scaled Consumption '!E$2,Production_Consumption!$AA$83:$AJ$83,0)))*'CA Population'!$L126*10^6</f>
        <v>664.36586572904548</v>
      </c>
      <c r="F126" s="143">
        <f>(INDEX(Production_Consumption!$AA$83:$AJ$99,MATCH('County Scaled Consumption '!$B126,Production_Consumption!$AA$83:$AA$99,0),MATCH('County Scaled Consumption '!F$2,Production_Consumption!$AA$83:$AJ$83,0)))*'CA Population'!$L126*10^6</f>
        <v>196.07783885549267</v>
      </c>
      <c r="G126" s="143">
        <f>(INDEX(Production_Consumption!$AA$83:$AJ$99,MATCH('County Scaled Consumption '!$B126,Production_Consumption!$AA$83:$AA$99,0),MATCH('County Scaled Consumption '!G$2,Production_Consumption!$AA$83:$AJ$83,0)))*'CA Population'!$L126*10^6</f>
        <v>738.36422387559003</v>
      </c>
      <c r="H126" s="143">
        <f>(INDEX(Production_Consumption!$AA$83:$AJ$99,MATCH('County Scaled Consumption '!$B126,Production_Consumption!$AA$83:$AA$99,0),MATCH('County Scaled Consumption '!H$2,Production_Consumption!$AA$83:$AJ$83,0)))*'CA Population'!$L126*10^6</f>
        <v>20.08593007762596</v>
      </c>
      <c r="I126" s="143">
        <f>(INDEX(Production_Consumption!$AA$83:$AJ$99,MATCH('County Scaled Consumption '!$B126,Production_Consumption!$AA$83:$AA$99,0),MATCH('County Scaled Consumption '!I$2,Production_Consumption!$AA$83:$AJ$83,0)))*'CA Population'!$L126*10^6</f>
        <v>383.37168823738466</v>
      </c>
      <c r="J126" s="143">
        <f>(INDEX(Production_Consumption!$AA$83:$AJ$99,MATCH('County Scaled Consumption '!$B126,Production_Consumption!$AA$83:$AA$99,0),MATCH('County Scaled Consumption '!J$2,Production_Consumption!$AA$83:$AJ$83,0)))*'CA Population'!$L126*10^6</f>
        <v>261.19059004854518</v>
      </c>
      <c r="K126" s="143">
        <f>(INDEX(Production_Consumption!$AA$83:$AJ$99,MATCH('County Scaled Consumption '!$B126,Production_Consumption!$AA$83:$AA$99,0),MATCH('County Scaled Consumption '!K$2,Production_Consumption!$AA$83:$AJ$83,0)))*'CA Population'!$L126*10^6</f>
        <v>3642.4249075979915</v>
      </c>
      <c r="L126" s="131">
        <f t="shared" si="1"/>
        <v>0</v>
      </c>
    </row>
    <row r="127" spans="1:12" x14ac:dyDescent="0.2">
      <c r="A127" s="132" t="s">
        <v>311</v>
      </c>
      <c r="B127" s="129">
        <v>2018</v>
      </c>
      <c r="C127" s="143">
        <f>(INDEX(Production_Consumption!$AA$83:$AJ$99,MATCH('County Scaled Consumption '!$B127,Production_Consumption!$AA$83:$AA$99,0),MATCH('County Scaled Consumption '!C$2,Production_Consumption!$AA$83:$AJ$83,0)))*'CA Population'!$L127*10^6</f>
        <v>14813.840361010883</v>
      </c>
      <c r="D127" s="143">
        <f>(INDEX(Production_Consumption!$AA$83:$AJ$99,MATCH('County Scaled Consumption '!$B127,Production_Consumption!$AA$83:$AA$99,0),MATCH('County Scaled Consumption '!D$2,Production_Consumption!$AA$83:$AJ$83,0)))*'CA Population'!$L127*10^6</f>
        <v>56900.314453106977</v>
      </c>
      <c r="E127" s="143">
        <f>(INDEX(Production_Consumption!$AA$83:$AJ$99,MATCH('County Scaled Consumption '!$B127,Production_Consumption!$AA$83:$AA$99,0),MATCH('County Scaled Consumption '!E$2,Production_Consumption!$AA$83:$AJ$83,0)))*'CA Population'!$L127*10^6</f>
        <v>34550.772691795828</v>
      </c>
      <c r="F127" s="143">
        <f>(INDEX(Production_Consumption!$AA$83:$AJ$99,MATCH('County Scaled Consumption '!$B127,Production_Consumption!$AA$83:$AA$99,0),MATCH('County Scaled Consumption '!F$2,Production_Consumption!$AA$83:$AJ$83,0)))*'CA Population'!$L127*10^6</f>
        <v>10197.153691453595</v>
      </c>
      <c r="G127" s="143">
        <f>(INDEX(Production_Consumption!$AA$83:$AJ$99,MATCH('County Scaled Consumption '!$B127,Production_Consumption!$AA$83:$AA$99,0),MATCH('County Scaled Consumption '!G$2,Production_Consumption!$AA$83:$AJ$83,0)))*'CA Population'!$L127*10^6</f>
        <v>38399.104738599213</v>
      </c>
      <c r="H127" s="143">
        <f>(INDEX(Production_Consumption!$AA$83:$AJ$99,MATCH('County Scaled Consumption '!$B127,Production_Consumption!$AA$83:$AA$99,0),MATCH('County Scaled Consumption '!H$2,Production_Consumption!$AA$83:$AJ$83,0)))*'CA Population'!$L127*10^6</f>
        <v>1044.5816683459677</v>
      </c>
      <c r="I127" s="143">
        <f>(INDEX(Production_Consumption!$AA$83:$AJ$99,MATCH('County Scaled Consumption '!$B127,Production_Consumption!$AA$83:$AA$99,0),MATCH('County Scaled Consumption '!I$2,Production_Consumption!$AA$83:$AJ$83,0)))*'CA Population'!$L127*10^6</f>
        <v>19937.49037997995</v>
      </c>
      <c r="J127" s="143">
        <f>(INDEX(Production_Consumption!$AA$83:$AJ$99,MATCH('County Scaled Consumption '!$B127,Production_Consumption!$AA$83:$AA$99,0),MATCH('County Scaled Consumption '!J$2,Production_Consumption!$AA$83:$AJ$83,0)))*'CA Population'!$L127*10^6</f>
        <v>13583.384053153317</v>
      </c>
      <c r="K127" s="143">
        <f>(INDEX(Production_Consumption!$AA$83:$AJ$99,MATCH('County Scaled Consumption '!$B127,Production_Consumption!$AA$83:$AA$99,0),MATCH('County Scaled Consumption '!K$2,Production_Consumption!$AA$83:$AJ$83,0)))*'CA Population'!$L127*10^6</f>
        <v>189426.64203744574</v>
      </c>
      <c r="L127" s="131">
        <f t="shared" si="1"/>
        <v>0</v>
      </c>
    </row>
    <row r="128" spans="1:12" x14ac:dyDescent="0.2">
      <c r="A128" s="132" t="s">
        <v>312</v>
      </c>
      <c r="B128" s="129">
        <v>2018</v>
      </c>
      <c r="C128" s="143">
        <f>(INDEX(Production_Consumption!$AA$83:$AJ$99,MATCH('County Scaled Consumption '!$B128,Production_Consumption!$AA$83:$AA$99,0),MATCH('County Scaled Consumption '!C$2,Production_Consumption!$AA$83:$AJ$83,0)))*'CA Population'!$L128*10^6</f>
        <v>348.51506183531296</v>
      </c>
      <c r="D128" s="143">
        <f>(INDEX(Production_Consumption!$AA$83:$AJ$99,MATCH('County Scaled Consumption '!$B128,Production_Consumption!$AA$83:$AA$99,0),MATCH('County Scaled Consumption '!D$2,Production_Consumption!$AA$83:$AJ$83,0)))*'CA Population'!$L128*10^6</f>
        <v>1338.6546720367185</v>
      </c>
      <c r="E128" s="143">
        <f>(INDEX(Production_Consumption!$AA$83:$AJ$99,MATCH('County Scaled Consumption '!$B128,Production_Consumption!$AA$83:$AA$99,0),MATCH('County Scaled Consumption '!E$2,Production_Consumption!$AA$83:$AJ$83,0)))*'CA Population'!$L128*10^6</f>
        <v>812.85233185254651</v>
      </c>
      <c r="F128" s="143">
        <f>(INDEX(Production_Consumption!$AA$83:$AJ$99,MATCH('County Scaled Consumption '!$B128,Production_Consumption!$AA$83:$AA$99,0),MATCH('County Scaled Consumption '!F$2,Production_Consumption!$AA$83:$AJ$83,0)))*'CA Population'!$L128*10^6</f>
        <v>239.90144099802001</v>
      </c>
      <c r="G128" s="143">
        <f>(INDEX(Production_Consumption!$AA$83:$AJ$99,MATCH('County Scaled Consumption '!$B128,Production_Consumption!$AA$83:$AA$99,0),MATCH('County Scaled Consumption '!G$2,Production_Consumption!$AA$83:$AJ$83,0)))*'CA Population'!$L128*10^6</f>
        <v>903.38940047011147</v>
      </c>
      <c r="H128" s="143">
        <f>(INDEX(Production_Consumption!$AA$83:$AJ$99,MATCH('County Scaled Consumption '!$B128,Production_Consumption!$AA$83:$AA$99,0),MATCH('County Scaled Consumption '!H$2,Production_Consumption!$AA$83:$AJ$83,0)))*'CA Population'!$L128*10^6</f>
        <v>24.575156466097269</v>
      </c>
      <c r="I128" s="143">
        <f>(INDEX(Production_Consumption!$AA$83:$AJ$99,MATCH('County Scaled Consumption '!$B128,Production_Consumption!$AA$83:$AA$99,0),MATCH('County Scaled Consumption '!I$2,Production_Consumption!$AA$83:$AJ$83,0)))*'CA Population'!$L128*10^6</f>
        <v>469.05566168430806</v>
      </c>
      <c r="J128" s="143">
        <f>(INDEX(Production_Consumption!$AA$83:$AJ$99,MATCH('County Scaled Consumption '!$B128,Production_Consumption!$AA$83:$AA$99,0),MATCH('County Scaled Consumption '!J$2,Production_Consumption!$AA$83:$AJ$83,0)))*'CA Population'!$L128*10^6</f>
        <v>319.5669602108826</v>
      </c>
      <c r="K128" s="143">
        <f>(INDEX(Production_Consumption!$AA$83:$AJ$99,MATCH('County Scaled Consumption '!$B128,Production_Consumption!$AA$83:$AA$99,0),MATCH('County Scaled Consumption '!K$2,Production_Consumption!$AA$83:$AJ$83,0)))*'CA Population'!$L128*10^6</f>
        <v>4456.510685553998</v>
      </c>
      <c r="L128" s="131">
        <f t="shared" si="1"/>
        <v>0</v>
      </c>
    </row>
    <row r="129" spans="1:12" x14ac:dyDescent="0.2">
      <c r="A129" s="132" t="s">
        <v>313</v>
      </c>
      <c r="B129" s="129">
        <v>2018</v>
      </c>
      <c r="C129" s="143">
        <f>(INDEX(Production_Consumption!$AA$83:$AJ$99,MATCH('County Scaled Consumption '!$B129,Production_Consumption!$AA$83:$AA$99,0),MATCH('County Scaled Consumption '!C$2,Production_Consumption!$AA$83:$AJ$83,0)))*'CA Population'!$L129*10^6</f>
        <v>2435.3939662141188</v>
      </c>
      <c r="D129" s="143">
        <f>(INDEX(Production_Consumption!$AA$83:$AJ$99,MATCH('County Scaled Consumption '!$B129,Production_Consumption!$AA$83:$AA$99,0),MATCH('County Scaled Consumption '!D$2,Production_Consumption!$AA$83:$AJ$83,0)))*'CA Population'!$L129*10^6</f>
        <v>9354.4063603859777</v>
      </c>
      <c r="E129" s="143">
        <f>(INDEX(Production_Consumption!$AA$83:$AJ$99,MATCH('County Scaled Consumption '!$B129,Production_Consumption!$AA$83:$AA$99,0),MATCH('County Scaled Consumption '!E$2,Production_Consumption!$AA$83:$AJ$83,0)))*'CA Population'!$L129*10^6</f>
        <v>5680.1437906067149</v>
      </c>
      <c r="F129" s="143">
        <f>(INDEX(Production_Consumption!$AA$83:$AJ$99,MATCH('County Scaled Consumption '!$B129,Production_Consumption!$AA$83:$AA$99,0),MATCH('County Scaled Consumption '!F$2,Production_Consumption!$AA$83:$AJ$83,0)))*'CA Population'!$L129*10^6</f>
        <v>1676.4111106587798</v>
      </c>
      <c r="G129" s="143">
        <f>(INDEX(Production_Consumption!$AA$83:$AJ$99,MATCH('County Scaled Consumption '!$B129,Production_Consumption!$AA$83:$AA$99,0),MATCH('County Scaled Consumption '!G$2,Production_Consumption!$AA$83:$AJ$83,0)))*'CA Population'!$L129*10^6</f>
        <v>6312.8092182321152</v>
      </c>
      <c r="H129" s="143">
        <f>(INDEX(Production_Consumption!$AA$83:$AJ$99,MATCH('County Scaled Consumption '!$B129,Production_Consumption!$AA$83:$AA$99,0),MATCH('County Scaled Consumption '!H$2,Production_Consumption!$AA$83:$AJ$83,0)))*'CA Population'!$L129*10^6</f>
        <v>171.72912832267411</v>
      </c>
      <c r="I129" s="143">
        <f>(INDEX(Production_Consumption!$AA$83:$AJ$99,MATCH('County Scaled Consumption '!$B129,Production_Consumption!$AA$83:$AA$99,0),MATCH('County Scaled Consumption '!I$2,Production_Consumption!$AA$83:$AJ$83,0)))*'CA Population'!$L129*10^6</f>
        <v>3277.7215488733541</v>
      </c>
      <c r="J129" s="143">
        <f>(INDEX(Production_Consumption!$AA$83:$AJ$99,MATCH('County Scaled Consumption '!$B129,Production_Consumption!$AA$83:$AA$99,0),MATCH('County Scaled Consumption '!J$2,Production_Consumption!$AA$83:$AJ$83,0)))*'CA Population'!$L129*10^6</f>
        <v>2233.107064585733</v>
      </c>
      <c r="K129" s="143">
        <f>(INDEX(Production_Consumption!$AA$83:$AJ$99,MATCH('County Scaled Consumption '!$B129,Production_Consumption!$AA$83:$AA$99,0),MATCH('County Scaled Consumption '!K$2,Production_Consumption!$AA$83:$AJ$83,0)))*'CA Population'!$L129*10^6</f>
        <v>31141.72218787947</v>
      </c>
      <c r="L129" s="131">
        <f t="shared" si="1"/>
        <v>0</v>
      </c>
    </row>
    <row r="130" spans="1:12" x14ac:dyDescent="0.2">
      <c r="A130" s="132" t="s">
        <v>314</v>
      </c>
      <c r="B130" s="129">
        <v>2018</v>
      </c>
      <c r="C130" s="143">
        <f>(INDEX(Production_Consumption!$AA$83:$AJ$99,MATCH('County Scaled Consumption '!$B130,Production_Consumption!$AA$83:$AA$99,0),MATCH('County Scaled Consumption '!C$2,Production_Consumption!$AA$83:$AJ$83,0)))*'CA Population'!$L130*10^6</f>
        <v>12997.3894479108</v>
      </c>
      <c r="D130" s="143">
        <f>(INDEX(Production_Consumption!$AA$83:$AJ$99,MATCH('County Scaled Consumption '!$B130,Production_Consumption!$AA$83:$AA$99,0),MATCH('County Scaled Consumption '!D$2,Production_Consumption!$AA$83:$AJ$83,0)))*'CA Population'!$L130*10^6</f>
        <v>49923.283134742262</v>
      </c>
      <c r="E130" s="143">
        <f>(INDEX(Production_Consumption!$AA$83:$AJ$99,MATCH('County Scaled Consumption '!$B130,Production_Consumption!$AA$83:$AA$99,0),MATCH('County Scaled Consumption '!E$2,Production_Consumption!$AA$83:$AJ$83,0)))*'CA Population'!$L130*10^6</f>
        <v>30314.208703330969</v>
      </c>
      <c r="F130" s="143">
        <f>(INDEX(Production_Consumption!$AA$83:$AJ$99,MATCH('County Scaled Consumption '!$B130,Production_Consumption!$AA$83:$AA$99,0),MATCH('County Scaled Consumption '!F$2,Production_Consumption!$AA$83:$AJ$83,0)))*'CA Population'!$L130*10^6</f>
        <v>8946.7939817180159</v>
      </c>
      <c r="G130" s="143">
        <f>(INDEX(Production_Consumption!$AA$83:$AJ$99,MATCH('County Scaled Consumption '!$B130,Production_Consumption!$AA$83:$AA$99,0),MATCH('County Scaled Consumption '!G$2,Production_Consumption!$AA$83:$AJ$83,0)))*'CA Population'!$L130*10^6</f>
        <v>33690.664039573436</v>
      </c>
      <c r="H130" s="143">
        <f>(INDEX(Production_Consumption!$AA$83:$AJ$99,MATCH('County Scaled Consumption '!$B130,Production_Consumption!$AA$83:$AA$99,0),MATCH('County Scaled Consumption '!H$2,Production_Consumption!$AA$83:$AJ$83,0)))*'CA Population'!$L130*10^6</f>
        <v>916.49662901554768</v>
      </c>
      <c r="I130" s="143">
        <f>(INDEX(Production_Consumption!$AA$83:$AJ$99,MATCH('County Scaled Consumption '!$B130,Production_Consumption!$AA$83:$AA$99,0),MATCH('County Scaled Consumption '!I$2,Production_Consumption!$AA$83:$AJ$83,0)))*'CA Population'!$L130*10^6</f>
        <v>17492.785177070135</v>
      </c>
      <c r="J130" s="143">
        <f>(INDEX(Production_Consumption!$AA$83:$AJ$99,MATCH('County Scaled Consumption '!$B130,Production_Consumption!$AA$83:$AA$99,0),MATCH('County Scaled Consumption '!J$2,Production_Consumption!$AA$83:$AJ$83,0)))*'CA Population'!$L130*10^6</f>
        <v>11917.809849229887</v>
      </c>
      <c r="K130" s="143">
        <f>(INDEX(Production_Consumption!$AA$83:$AJ$99,MATCH('County Scaled Consumption '!$B130,Production_Consumption!$AA$83:$AA$99,0),MATCH('County Scaled Consumption '!K$2,Production_Consumption!$AA$83:$AJ$83,0)))*'CA Population'!$L130*10^6</f>
        <v>166199.43096259108</v>
      </c>
      <c r="L130" s="131">
        <f t="shared" si="1"/>
        <v>0</v>
      </c>
    </row>
    <row r="131" spans="1:12" x14ac:dyDescent="0.2">
      <c r="A131" s="132" t="s">
        <v>315</v>
      </c>
      <c r="B131" s="129">
        <v>2018</v>
      </c>
      <c r="C131" s="143">
        <f>(INDEX(Production_Consumption!$AA$83:$AJ$99,MATCH('County Scaled Consumption '!$B131,Production_Consumption!$AA$83:$AA$99,0),MATCH('County Scaled Consumption '!C$2,Production_Consumption!$AA$83:$AJ$83,0)))*'CA Population'!$L131*10^6</f>
        <v>369.00222721035033</v>
      </c>
      <c r="D131" s="143">
        <f>(INDEX(Production_Consumption!$AA$83:$AJ$99,MATCH('County Scaled Consumption '!$B131,Production_Consumption!$AA$83:$AA$99,0),MATCH('County Scaled Consumption '!D$2,Production_Consumption!$AA$83:$AJ$83,0)))*'CA Population'!$L131*10^6</f>
        <v>1417.346363298665</v>
      </c>
      <c r="E131" s="143">
        <f>(INDEX(Production_Consumption!$AA$83:$AJ$99,MATCH('County Scaled Consumption '!$B131,Production_Consumption!$AA$83:$AA$99,0),MATCH('County Scaled Consumption '!E$2,Production_Consumption!$AA$83:$AJ$83,0)))*'CA Population'!$L131*10^6</f>
        <v>860.635173892289</v>
      </c>
      <c r="F131" s="143">
        <f>(INDEX(Production_Consumption!$AA$83:$AJ$99,MATCH('County Scaled Consumption '!$B131,Production_Consumption!$AA$83:$AA$99,0),MATCH('County Scaled Consumption '!F$2,Production_Consumption!$AA$83:$AJ$83,0)))*'CA Population'!$L131*10^6</f>
        <v>254.00384583973292</v>
      </c>
      <c r="G131" s="143">
        <f>(INDEX(Production_Consumption!$AA$83:$AJ$99,MATCH('County Scaled Consumption '!$B131,Production_Consumption!$AA$83:$AA$99,0),MATCH('County Scaled Consumption '!G$2,Production_Consumption!$AA$83:$AJ$83,0)))*'CA Population'!$L131*10^6</f>
        <v>956.49438809395417</v>
      </c>
      <c r="H131" s="143">
        <f>(INDEX(Production_Consumption!$AA$83:$AJ$99,MATCH('County Scaled Consumption '!$B131,Production_Consumption!$AA$83:$AA$99,0),MATCH('County Scaled Consumption '!H$2,Production_Consumption!$AA$83:$AJ$83,0)))*'CA Population'!$L131*10^6</f>
        <v>26.01978641117627</v>
      </c>
      <c r="I131" s="143">
        <f>(INDEX(Production_Consumption!$AA$83:$AJ$99,MATCH('County Scaled Consumption '!$B131,Production_Consumption!$AA$83:$AA$99,0),MATCH('County Scaled Consumption '!I$2,Production_Consumption!$AA$83:$AJ$83,0)))*'CA Population'!$L131*10^6</f>
        <v>496.62870504266056</v>
      </c>
      <c r="J131" s="143">
        <f>(INDEX(Production_Consumption!$AA$83:$AJ$99,MATCH('County Scaled Consumption '!$B131,Production_Consumption!$AA$83:$AA$99,0),MATCH('County Scaled Consumption '!J$2,Production_Consumption!$AA$83:$AJ$83,0)))*'CA Population'!$L131*10^6</f>
        <v>338.35243573025076</v>
      </c>
      <c r="K131" s="143">
        <f>(INDEX(Production_Consumption!$AA$83:$AJ$99,MATCH('County Scaled Consumption '!$B131,Production_Consumption!$AA$83:$AA$99,0),MATCH('County Scaled Consumption '!K$2,Production_Consumption!$AA$83:$AJ$83,0)))*'CA Population'!$L131*10^6</f>
        <v>4718.4829255190789</v>
      </c>
      <c r="L131" s="131">
        <f t="shared" si="1"/>
        <v>0</v>
      </c>
    </row>
    <row r="132" spans="1:12" x14ac:dyDescent="0.2">
      <c r="A132" s="132" t="s">
        <v>316</v>
      </c>
      <c r="B132" s="129">
        <v>2018</v>
      </c>
      <c r="C132" s="143">
        <f>(INDEX(Production_Consumption!$AA$83:$AJ$99,MATCH('County Scaled Consumption '!$B132,Production_Consumption!$AA$83:$AA$99,0),MATCH('County Scaled Consumption '!C$2,Production_Consumption!$AA$83:$AJ$83,0)))*'CA Population'!$L132*10^6</f>
        <v>1748.4972791806081</v>
      </c>
      <c r="D132" s="143">
        <f>(INDEX(Production_Consumption!$AA$83:$AJ$99,MATCH('County Scaled Consumption '!$B132,Production_Consumption!$AA$83:$AA$99,0),MATCH('County Scaled Consumption '!D$2,Production_Consumption!$AA$83:$AJ$83,0)))*'CA Population'!$L132*10^6</f>
        <v>6716.0197883345791</v>
      </c>
      <c r="E132" s="143">
        <f>(INDEX(Production_Consumption!$AA$83:$AJ$99,MATCH('County Scaled Consumption '!$B132,Production_Consumption!$AA$83:$AA$99,0),MATCH('County Scaled Consumption '!E$2,Production_Consumption!$AA$83:$AJ$83,0)))*'CA Population'!$L132*10^6</f>
        <v>4078.0736509212793</v>
      </c>
      <c r="F132" s="143">
        <f>(INDEX(Production_Consumption!$AA$83:$AJ$99,MATCH('County Scaled Consumption '!$B132,Production_Consumption!$AA$83:$AA$99,0),MATCH('County Scaled Consumption '!F$2,Production_Consumption!$AA$83:$AJ$83,0)))*'CA Population'!$L132*10^6</f>
        <v>1203.5836117027268</v>
      </c>
      <c r="G132" s="143">
        <f>(INDEX(Production_Consumption!$AA$83:$AJ$99,MATCH('County Scaled Consumption '!$B132,Production_Consumption!$AA$83:$AA$99,0),MATCH('County Scaled Consumption '!G$2,Production_Consumption!$AA$83:$AJ$83,0)))*'CA Population'!$L132*10^6</f>
        <v>4532.2974004176649</v>
      </c>
      <c r="H132" s="143">
        <f>(INDEX(Production_Consumption!$AA$83:$AJ$99,MATCH('County Scaled Consumption '!$B132,Production_Consumption!$AA$83:$AA$99,0),MATCH('County Scaled Consumption '!H$2,Production_Consumption!$AA$83:$AJ$83,0)))*'CA Population'!$L132*10^6</f>
        <v>123.29336353535737</v>
      </c>
      <c r="I132" s="143">
        <f>(INDEX(Production_Consumption!$AA$83:$AJ$99,MATCH('County Scaled Consumption '!$B132,Production_Consumption!$AA$83:$AA$99,0),MATCH('County Scaled Consumption '!I$2,Production_Consumption!$AA$83:$AJ$83,0)))*'CA Population'!$L132*10^6</f>
        <v>2353.2485050153209</v>
      </c>
      <c r="J132" s="143">
        <f>(INDEX(Production_Consumption!$AA$83:$AJ$99,MATCH('County Scaled Consumption '!$B132,Production_Consumption!$AA$83:$AA$99,0),MATCH('County Scaled Consumption '!J$2,Production_Consumption!$AA$83:$AJ$83,0)))*'CA Population'!$L132*10^6</f>
        <v>1603.2648847434398</v>
      </c>
      <c r="K132" s="143">
        <f>(INDEX(Production_Consumption!$AA$83:$AJ$99,MATCH('County Scaled Consumption '!$B132,Production_Consumption!$AA$83:$AA$99,0),MATCH('County Scaled Consumption '!K$2,Production_Consumption!$AA$83:$AJ$83,0)))*'CA Population'!$L132*10^6</f>
        <v>22358.278483850976</v>
      </c>
      <c r="L132" s="131">
        <f t="shared" ref="L132:L195" si="2">K132-SUM(C132:J132)</f>
        <v>0</v>
      </c>
    </row>
    <row r="133" spans="1:12" x14ac:dyDescent="0.2">
      <c r="A133" s="132" t="s">
        <v>317</v>
      </c>
      <c r="B133" s="129">
        <v>2018</v>
      </c>
      <c r="C133" s="143">
        <f>(INDEX(Production_Consumption!$AA$83:$AJ$99,MATCH('County Scaled Consumption '!$B133,Production_Consumption!$AA$83:$AA$99,0),MATCH('County Scaled Consumption '!C$2,Production_Consumption!$AA$83:$AJ$83,0)))*'CA Population'!$L133*10^6</f>
        <v>2436.7157188189594</v>
      </c>
      <c r="D133" s="143">
        <f>(INDEX(Production_Consumption!$AA$83:$AJ$99,MATCH('County Scaled Consumption '!$B133,Production_Consumption!$AA$83:$AA$99,0),MATCH('County Scaled Consumption '!D$2,Production_Consumption!$AA$83:$AJ$83,0)))*'CA Population'!$L133*10^6</f>
        <v>9359.4832436931993</v>
      </c>
      <c r="E133" s="143">
        <f>(INDEX(Production_Consumption!$AA$83:$AJ$99,MATCH('County Scaled Consumption '!$B133,Production_Consumption!$AA$83:$AA$99,0),MATCH('County Scaled Consumption '!E$2,Production_Consumption!$AA$83:$AJ$83,0)))*'CA Population'!$L133*10^6</f>
        <v>5683.2265546092785</v>
      </c>
      <c r="F133" s="143">
        <f>(INDEX(Production_Consumption!$AA$83:$AJ$99,MATCH('County Scaled Consumption '!$B133,Production_Consumption!$AA$83:$AA$99,0),MATCH('County Scaled Consumption '!F$2,Production_Consumption!$AA$83:$AJ$83,0)))*'CA Population'!$L133*10^6</f>
        <v>1677.3209432292128</v>
      </c>
      <c r="G133" s="143">
        <f>(INDEX(Production_Consumption!$AA$83:$AJ$99,MATCH('County Scaled Consumption '!$B133,Production_Consumption!$AA$83:$AA$99,0),MATCH('County Scaled Consumption '!G$2,Production_Consumption!$AA$83:$AJ$83,0)))*'CA Population'!$L133*10^6</f>
        <v>6316.2353464659118</v>
      </c>
      <c r="H133" s="143">
        <f>(INDEX(Production_Consumption!$AA$83:$AJ$99,MATCH('County Scaled Consumption '!$B133,Production_Consumption!$AA$83:$AA$99,0),MATCH('County Scaled Consumption '!H$2,Production_Consumption!$AA$83:$AJ$83,0)))*'CA Population'!$L133*10^6</f>
        <v>171.82233025461468</v>
      </c>
      <c r="I133" s="143">
        <f>(INDEX(Production_Consumption!$AA$83:$AJ$99,MATCH('County Scaled Consumption '!$B133,Production_Consumption!$AA$83:$AA$99,0),MATCH('County Scaled Consumption '!I$2,Production_Consumption!$AA$83:$AJ$83,0)))*'CA Population'!$L133*10^6</f>
        <v>3279.500454896473</v>
      </c>
      <c r="J133" s="143">
        <f>(INDEX(Production_Consumption!$AA$83:$AJ$99,MATCH('County Scaled Consumption '!$B133,Production_Consumption!$AA$83:$AA$99,0),MATCH('County Scaled Consumption '!J$2,Production_Consumption!$AA$83:$AJ$83,0)))*'CA Population'!$L133*10^6</f>
        <v>2234.3190307482728</v>
      </c>
      <c r="K133" s="143">
        <f>(INDEX(Production_Consumption!$AA$83:$AJ$99,MATCH('County Scaled Consumption '!$B133,Production_Consumption!$AA$83:$AA$99,0),MATCH('County Scaled Consumption '!K$2,Production_Consumption!$AA$83:$AJ$83,0)))*'CA Population'!$L133*10^6</f>
        <v>31158.623622715924</v>
      </c>
      <c r="L133" s="131">
        <f t="shared" si="2"/>
        <v>0</v>
      </c>
    </row>
    <row r="134" spans="1:12" x14ac:dyDescent="0.2">
      <c r="A134" s="132" t="s">
        <v>318</v>
      </c>
      <c r="B134" s="129">
        <v>2018</v>
      </c>
      <c r="C134" s="143">
        <f>(INDEX(Production_Consumption!$AA$83:$AJ$99,MATCH('County Scaled Consumption '!$B134,Production_Consumption!$AA$83:$AA$99,0),MATCH('County Scaled Consumption '!C$2,Production_Consumption!$AA$83:$AJ$83,0)))*'CA Population'!$L134*10^6</f>
        <v>240.75334946414873</v>
      </c>
      <c r="D134" s="143">
        <f>(INDEX(Production_Consumption!$AA$83:$AJ$99,MATCH('County Scaled Consumption '!$B134,Production_Consumption!$AA$83:$AA$99,0),MATCH('County Scaled Consumption '!D$2,Production_Consumption!$AA$83:$AJ$83,0)))*'CA Population'!$L134*10^6</f>
        <v>924.73936240082514</v>
      </c>
      <c r="E134" s="143">
        <f>(INDEX(Production_Consumption!$AA$83:$AJ$99,MATCH('County Scaled Consumption '!$B134,Production_Consumption!$AA$83:$AA$99,0),MATCH('County Scaled Consumption '!E$2,Production_Consumption!$AA$83:$AJ$83,0)))*'CA Population'!$L134*10^6</f>
        <v>561.51639611409041</v>
      </c>
      <c r="F134" s="143">
        <f>(INDEX(Production_Consumption!$AA$83:$AJ$99,MATCH('County Scaled Consumption '!$B134,Production_Consumption!$AA$83:$AA$99,0),MATCH('County Scaled Consumption '!F$2,Production_Consumption!$AA$83:$AJ$83,0)))*'CA Population'!$L134*10^6</f>
        <v>165.72332672623961</v>
      </c>
      <c r="G134" s="143">
        <f>(INDEX(Production_Consumption!$AA$83:$AJ$99,MATCH('County Scaled Consumption '!$B134,Production_Consumption!$AA$83:$AA$99,0),MATCH('County Scaled Consumption '!G$2,Production_Consumption!$AA$83:$AJ$83,0)))*'CA Population'!$L134*10^6</f>
        <v>624.0591809382488</v>
      </c>
      <c r="H134" s="143">
        <f>(INDEX(Production_Consumption!$AA$83:$AJ$99,MATCH('County Scaled Consumption '!$B134,Production_Consumption!$AA$83:$AA$99,0),MATCH('County Scaled Consumption '!H$2,Production_Consumption!$AA$83:$AJ$83,0)))*'CA Population'!$L134*10^6</f>
        <v>16.976457779647561</v>
      </c>
      <c r="I134" s="143">
        <f>(INDEX(Production_Consumption!$AA$83:$AJ$99,MATCH('County Scaled Consumption '!$B134,Production_Consumption!$AA$83:$AA$99,0),MATCH('County Scaled Consumption '!I$2,Production_Consumption!$AA$83:$AJ$83,0)))*'CA Population'!$L134*10^6</f>
        <v>324.02250003468151</v>
      </c>
      <c r="J134" s="143">
        <f>(INDEX(Production_Consumption!$AA$83:$AJ$99,MATCH('County Scaled Consumption '!$B134,Production_Consumption!$AA$83:$AA$99,0),MATCH('County Scaled Consumption '!J$2,Production_Consumption!$AA$83:$AJ$83,0)))*'CA Population'!$L134*10^6</f>
        <v>220.75607190027844</v>
      </c>
      <c r="K134" s="143">
        <f>(INDEX(Production_Consumption!$AA$83:$AJ$99,MATCH('County Scaled Consumption '!$B134,Production_Consumption!$AA$83:$AA$99,0),MATCH('County Scaled Consumption '!K$2,Production_Consumption!$AA$83:$AJ$83,0)))*'CA Population'!$L134*10^6</f>
        <v>3078.5466453581603</v>
      </c>
      <c r="L134" s="131">
        <f t="shared" si="2"/>
        <v>0</v>
      </c>
    </row>
    <row r="135" spans="1:12" x14ac:dyDescent="0.2">
      <c r="A135" s="132" t="s">
        <v>319</v>
      </c>
      <c r="B135" s="129">
        <v>2018</v>
      </c>
      <c r="C135" s="143">
        <f>(INDEX(Production_Consumption!$AA$83:$AJ$99,MATCH('County Scaled Consumption '!$B135,Production_Consumption!$AA$83:$AA$99,0),MATCH('County Scaled Consumption '!C$2,Production_Consumption!$AA$83:$AJ$83,0)))*'CA Population'!$L135*10^6</f>
        <v>11647.283953859949</v>
      </c>
      <c r="D135" s="143">
        <f>(INDEX(Production_Consumption!$AA$83:$AJ$99,MATCH('County Scaled Consumption '!$B135,Production_Consumption!$AA$83:$AA$99,0),MATCH('County Scaled Consumption '!D$2,Production_Consumption!$AA$83:$AJ$83,0)))*'CA Population'!$L135*10^6</f>
        <v>44737.495703243403</v>
      </c>
      <c r="E135" s="143">
        <f>(INDEX(Production_Consumption!$AA$83:$AJ$99,MATCH('County Scaled Consumption '!$B135,Production_Consumption!$AA$83:$AA$99,0),MATCH('County Scaled Consumption '!E$2,Production_Consumption!$AA$83:$AJ$83,0)))*'CA Population'!$L135*10^6</f>
        <v>27165.316390594282</v>
      </c>
      <c r="F135" s="143">
        <f>(INDEX(Production_Consumption!$AA$83:$AJ$99,MATCH('County Scaled Consumption '!$B135,Production_Consumption!$AA$83:$AA$99,0),MATCH('County Scaled Consumption '!F$2,Production_Consumption!$AA$83:$AJ$83,0)))*'CA Population'!$L135*10^6</f>
        <v>8017.4446106564164</v>
      </c>
      <c r="G135" s="143">
        <f>(INDEX(Production_Consumption!$AA$83:$AJ$99,MATCH('County Scaled Consumption '!$B135,Production_Consumption!$AA$83:$AA$99,0),MATCH('County Scaled Consumption '!G$2,Production_Consumption!$AA$83:$AJ$83,0)))*'CA Population'!$L135*10^6</f>
        <v>30191.041996212953</v>
      </c>
      <c r="H135" s="143">
        <f>(INDEX(Production_Consumption!$AA$83:$AJ$99,MATCH('County Scaled Consumption '!$B135,Production_Consumption!$AA$83:$AA$99,0),MATCH('County Scaled Consumption '!H$2,Production_Consumption!$AA$83:$AJ$83,0)))*'CA Population'!$L135*10^6</f>
        <v>821.29542426039814</v>
      </c>
      <c r="I135" s="143">
        <f>(INDEX(Production_Consumption!$AA$83:$AJ$99,MATCH('County Scaled Consumption '!$B135,Production_Consumption!$AA$83:$AA$99,0),MATCH('County Scaled Consumption '!I$2,Production_Consumption!$AA$83:$AJ$83,0)))*'CA Population'!$L135*10^6</f>
        <v>15675.719875729188</v>
      </c>
      <c r="J135" s="143">
        <f>(INDEX(Production_Consumption!$AA$83:$AJ$99,MATCH('County Scaled Consumption '!$B135,Production_Consumption!$AA$83:$AA$99,0),MATCH('County Scaled Consumption '!J$2,Production_Consumption!$AA$83:$AJ$83,0)))*'CA Population'!$L135*10^6</f>
        <v>10679.845824301407</v>
      </c>
      <c r="K135" s="143">
        <f>(INDEX(Production_Consumption!$AA$83:$AJ$99,MATCH('County Scaled Consumption '!$B135,Production_Consumption!$AA$83:$AA$99,0),MATCH('County Scaled Consumption '!K$2,Production_Consumption!$AA$83:$AJ$83,0)))*'CA Population'!$L135*10^6</f>
        <v>148935.443778858</v>
      </c>
      <c r="L135" s="131">
        <f t="shared" si="2"/>
        <v>0</v>
      </c>
    </row>
    <row r="136" spans="1:12" x14ac:dyDescent="0.2">
      <c r="A136" s="132" t="s">
        <v>320</v>
      </c>
      <c r="B136" s="129">
        <v>2018</v>
      </c>
      <c r="C136" s="143">
        <f>(INDEX(Production_Consumption!$AA$83:$AJ$99,MATCH('County Scaled Consumption '!$B136,Production_Consumption!$AA$83:$AA$99,0),MATCH('County Scaled Consumption '!C$2,Production_Consumption!$AA$83:$AJ$83,0)))*'CA Population'!$L136*10^6</f>
        <v>1954.2112262575959</v>
      </c>
      <c r="D136" s="143">
        <f>(INDEX(Production_Consumption!$AA$83:$AJ$99,MATCH('County Scaled Consumption '!$B136,Production_Consumption!$AA$83:$AA$99,0),MATCH('County Scaled Consumption '!D$2,Production_Consumption!$AA$83:$AJ$83,0)))*'CA Population'!$L136*10^6</f>
        <v>7506.1719697282551</v>
      </c>
      <c r="E136" s="143">
        <f>(INDEX(Production_Consumption!$AA$83:$AJ$99,MATCH('County Scaled Consumption '!$B136,Production_Consumption!$AA$83:$AA$99,0),MATCH('County Scaled Consumption '!E$2,Production_Consumption!$AA$83:$AJ$83,0)))*'CA Population'!$L136*10^6</f>
        <v>4557.8665777909282</v>
      </c>
      <c r="F136" s="143">
        <f>(INDEX(Production_Consumption!$AA$83:$AJ$99,MATCH('County Scaled Consumption '!$B136,Production_Consumption!$AA$83:$AA$99,0),MATCH('County Scaled Consumption '!F$2,Production_Consumption!$AA$83:$AJ$83,0)))*'CA Population'!$L136*10^6</f>
        <v>1345.1874553853283</v>
      </c>
      <c r="G136" s="143">
        <f>(INDEX(Production_Consumption!$AA$83:$AJ$99,MATCH('County Scaled Consumption '!$B136,Production_Consumption!$AA$83:$AA$99,0),MATCH('County Scaled Consumption '!G$2,Production_Consumption!$AA$83:$AJ$83,0)))*'CA Population'!$L136*10^6</f>
        <v>5065.5305936678233</v>
      </c>
      <c r="H136" s="143">
        <f>(INDEX(Production_Consumption!$AA$83:$AJ$99,MATCH('County Scaled Consumption '!$B136,Production_Consumption!$AA$83:$AA$99,0),MATCH('County Scaled Consumption '!H$2,Production_Consumption!$AA$83:$AJ$83,0)))*'CA Population'!$L136*10^6</f>
        <v>137.79905637414876</v>
      </c>
      <c r="I136" s="143">
        <f>(INDEX(Production_Consumption!$AA$83:$AJ$99,MATCH('County Scaled Consumption '!$B136,Production_Consumption!$AA$83:$AA$99,0),MATCH('County Scaled Consumption '!I$2,Production_Consumption!$AA$83:$AJ$83,0)))*'CA Population'!$L136*10^6</f>
        <v>2630.1125551822065</v>
      </c>
      <c r="J136" s="143">
        <f>(INDEX(Production_Consumption!$AA$83:$AJ$99,MATCH('County Scaled Consumption '!$B136,Production_Consumption!$AA$83:$AA$99,0),MATCH('County Scaled Consumption '!J$2,Production_Consumption!$AA$83:$AJ$83,0)))*'CA Population'!$L136*10^6</f>
        <v>1791.8919713152102</v>
      </c>
      <c r="K136" s="143">
        <f>(INDEX(Production_Consumption!$AA$83:$AJ$99,MATCH('County Scaled Consumption '!$B136,Production_Consumption!$AA$83:$AA$99,0),MATCH('County Scaled Consumption '!K$2,Production_Consumption!$AA$83:$AJ$83,0)))*'CA Population'!$L136*10^6</f>
        <v>24988.771405701496</v>
      </c>
      <c r="L136" s="131">
        <f t="shared" si="2"/>
        <v>0</v>
      </c>
    </row>
    <row r="137" spans="1:12" x14ac:dyDescent="0.2">
      <c r="A137" s="132" t="s">
        <v>321</v>
      </c>
      <c r="B137" s="129">
        <v>2018</v>
      </c>
      <c r="C137" s="143">
        <f>(INDEX(Production_Consumption!$AA$83:$AJ$99,MATCH('County Scaled Consumption '!$B137,Production_Consumption!$AA$83:$AA$99,0),MATCH('County Scaled Consumption '!C$2,Production_Consumption!$AA$83:$AJ$83,0)))*'CA Population'!$L137*10^6</f>
        <v>837.09702470717173</v>
      </c>
      <c r="D137" s="143">
        <f>(INDEX(Production_Consumption!$AA$83:$AJ$99,MATCH('County Scaled Consumption '!$B137,Production_Consumption!$AA$83:$AA$99,0),MATCH('County Scaled Consumption '!D$2,Production_Consumption!$AA$83:$AJ$83,0)))*'CA Population'!$L137*10^6</f>
        <v>3215.3096545417357</v>
      </c>
      <c r="E137" s="143">
        <f>(INDEX(Production_Consumption!$AA$83:$AJ$99,MATCH('County Scaled Consumption '!$B137,Production_Consumption!$AA$83:$AA$99,0),MATCH('County Scaled Consumption '!E$2,Production_Consumption!$AA$83:$AJ$83,0)))*'CA Population'!$L137*10^6</f>
        <v>1952.3869784473939</v>
      </c>
      <c r="F137" s="143">
        <f>(INDEX(Production_Consumption!$AA$83:$AJ$99,MATCH('County Scaled Consumption '!$B137,Production_Consumption!$AA$83:$AA$99,0),MATCH('County Scaled Consumption '!F$2,Production_Consumption!$AA$83:$AJ$83,0)))*'CA Population'!$L137*10^6</f>
        <v>576.21837468046454</v>
      </c>
      <c r="G137" s="143">
        <f>(INDEX(Production_Consumption!$AA$83:$AJ$99,MATCH('County Scaled Consumption '!$B137,Production_Consumption!$AA$83:$AA$99,0),MATCH('County Scaled Consumption '!G$2,Production_Consumption!$AA$83:$AJ$83,0)))*'CA Population'!$L137*10^6</f>
        <v>2169.847625245166</v>
      </c>
      <c r="H137" s="143">
        <f>(INDEX(Production_Consumption!$AA$83:$AJ$99,MATCH('County Scaled Consumption '!$B137,Production_Consumption!$AA$83:$AA$99,0),MATCH('County Scaled Consumption '!H$2,Production_Consumption!$AA$83:$AJ$83,0)))*'CA Population'!$L137*10^6</f>
        <v>59.026976484603743</v>
      </c>
      <c r="I137" s="143">
        <f>(INDEX(Production_Consumption!$AA$83:$AJ$99,MATCH('County Scaled Consumption '!$B137,Production_Consumption!$AA$83:$AA$99,0),MATCH('County Scaled Consumption '!I$2,Production_Consumption!$AA$83:$AJ$83,0)))*'CA Population'!$L137*10^6</f>
        <v>1126.6230410538992</v>
      </c>
      <c r="J137" s="143">
        <f>(INDEX(Production_Consumption!$AA$83:$AJ$99,MATCH('County Scaled Consumption '!$B137,Production_Consumption!$AA$83:$AA$99,0),MATCH('County Scaled Consumption '!J$2,Production_Consumption!$AA$83:$AJ$83,0)))*'CA Population'!$L137*10^6</f>
        <v>767.56668758738829</v>
      </c>
      <c r="K137" s="143">
        <f>(INDEX(Production_Consumption!$AA$83:$AJ$99,MATCH('County Scaled Consumption '!$B137,Production_Consumption!$AA$83:$AA$99,0),MATCH('County Scaled Consumption '!K$2,Production_Consumption!$AA$83:$AJ$83,0)))*'CA Population'!$L137*10^6</f>
        <v>10704.076362747823</v>
      </c>
      <c r="L137" s="131">
        <f t="shared" si="2"/>
        <v>0</v>
      </c>
    </row>
    <row r="138" spans="1:12" x14ac:dyDescent="0.2">
      <c r="A138" s="132" t="s">
        <v>322</v>
      </c>
      <c r="B138" s="129">
        <v>2018</v>
      </c>
      <c r="C138" s="143">
        <f>(INDEX(Production_Consumption!$AA$83:$AJ$99,MATCH('County Scaled Consumption '!$B138,Production_Consumption!$AA$83:$AA$99,0),MATCH('County Scaled Consumption '!C$2,Production_Consumption!$AA$83:$AJ$83,0)))*'CA Population'!$L138*10^6</f>
        <v>383.94321498860342</v>
      </c>
      <c r="D138" s="143">
        <f>(INDEX(Production_Consumption!$AA$83:$AJ$99,MATCH('County Scaled Consumption '!$B138,Production_Consumption!$AA$83:$AA$99,0),MATCH('County Scaled Consumption '!D$2,Production_Consumption!$AA$83:$AJ$83,0)))*'CA Population'!$L138*10^6</f>
        <v>1474.7350540165805</v>
      </c>
      <c r="E138" s="143">
        <f>(INDEX(Production_Consumption!$AA$83:$AJ$99,MATCH('County Scaled Consumption '!$B138,Production_Consumption!$AA$83:$AA$99,0),MATCH('County Scaled Consumption '!E$2,Production_Consumption!$AA$83:$AJ$83,0)))*'CA Population'!$L138*10^6</f>
        <v>895.48249639186099</v>
      </c>
      <c r="F138" s="143">
        <f>(INDEX(Production_Consumption!$AA$83:$AJ$99,MATCH('County Scaled Consumption '!$B138,Production_Consumption!$AA$83:$AA$99,0),MATCH('County Scaled Consumption '!F$2,Production_Consumption!$AA$83:$AJ$83,0)))*'CA Population'!$L138*10^6</f>
        <v>264.28852185649134</v>
      </c>
      <c r="G138" s="143">
        <f>(INDEX(Production_Consumption!$AA$83:$AJ$99,MATCH('County Scaled Consumption '!$B138,Production_Consumption!$AA$83:$AA$99,0),MATCH('County Scaled Consumption '!G$2,Production_Consumption!$AA$83:$AJ$83,0)))*'CA Population'!$L138*10^6</f>
        <v>995.22307293284746</v>
      </c>
      <c r="H138" s="143">
        <f>(INDEX(Production_Consumption!$AA$83:$AJ$99,MATCH('County Scaled Consumption '!$B138,Production_Consumption!$AA$83:$AA$99,0),MATCH('County Scaled Consumption '!H$2,Production_Consumption!$AA$83:$AJ$83,0)))*'CA Population'!$L138*10^6</f>
        <v>27.07333373987715</v>
      </c>
      <c r="I138" s="143">
        <f>(INDEX(Production_Consumption!$AA$83:$AJ$99,MATCH('County Scaled Consumption '!$B138,Production_Consumption!$AA$83:$AA$99,0),MATCH('County Scaled Consumption '!I$2,Production_Consumption!$AA$83:$AJ$83,0)))*'CA Population'!$L138*10^6</f>
        <v>516.73731920596254</v>
      </c>
      <c r="J138" s="143">
        <f>(INDEX(Production_Consumption!$AA$83:$AJ$99,MATCH('County Scaled Consumption '!$B138,Production_Consumption!$AA$83:$AA$99,0),MATCH('County Scaled Consumption '!J$2,Production_Consumption!$AA$83:$AJ$83,0)))*'CA Population'!$L138*10^6</f>
        <v>352.05240617543194</v>
      </c>
      <c r="K138" s="143">
        <f>(INDEX(Production_Consumption!$AA$83:$AJ$99,MATCH('County Scaled Consumption '!$B138,Production_Consumption!$AA$83:$AA$99,0),MATCH('County Scaled Consumption '!K$2,Production_Consumption!$AA$83:$AJ$83,0)))*'CA Population'!$L138*10^6</f>
        <v>4909.5354193076555</v>
      </c>
      <c r="L138" s="131">
        <f t="shared" si="2"/>
        <v>0</v>
      </c>
    </row>
    <row r="139" spans="1:12" x14ac:dyDescent="0.2">
      <c r="A139" s="132" t="s">
        <v>323</v>
      </c>
      <c r="B139" s="129">
        <v>2018</v>
      </c>
      <c r="C139" s="143">
        <f>(INDEX(Production_Consumption!$AA$83:$AJ$99,MATCH('County Scaled Consumption '!$B139,Production_Consumption!$AA$83:$AA$99,0),MATCH('County Scaled Consumption '!C$2,Production_Consumption!$AA$83:$AJ$83,0)))*'CA Population'!$L139*10^6</f>
        <v>132079.27791995459</v>
      </c>
      <c r="D139" s="143">
        <f>(INDEX(Production_Consumption!$AA$83:$AJ$99,MATCH('County Scaled Consumption '!$B139,Production_Consumption!$AA$83:$AA$99,0),MATCH('County Scaled Consumption '!D$2,Production_Consumption!$AA$83:$AJ$83,0)))*'CA Population'!$L139*10^6</f>
        <v>507319.6594020729</v>
      </c>
      <c r="E139" s="143">
        <f>(INDEX(Production_Consumption!$AA$83:$AJ$99,MATCH('County Scaled Consumption '!$B139,Production_Consumption!$AA$83:$AA$99,0),MATCH('County Scaled Consumption '!E$2,Production_Consumption!$AA$83:$AJ$83,0)))*'CA Population'!$L139*10^6</f>
        <v>308052.5371880997</v>
      </c>
      <c r="F139" s="143">
        <f>(INDEX(Production_Consumption!$AA$83:$AJ$99,MATCH('County Scaled Consumption '!$B139,Production_Consumption!$AA$83:$AA$99,0),MATCH('County Scaled Consumption '!F$2,Production_Consumption!$AA$83:$AJ$83,0)))*'CA Population'!$L139*10^6</f>
        <v>90917.187142826981</v>
      </c>
      <c r="G139" s="143">
        <f>(INDEX(Production_Consumption!$AA$83:$AJ$99,MATCH('County Scaled Consumption '!$B139,Production_Consumption!$AA$83:$AA$99,0),MATCH('County Scaled Consumption '!G$2,Production_Consumption!$AA$83:$AJ$83,0)))*'CA Population'!$L139*10^6</f>
        <v>342364.02600876946</v>
      </c>
      <c r="H139" s="143">
        <f>(INDEX(Production_Consumption!$AA$83:$AJ$99,MATCH('County Scaled Consumption '!$B139,Production_Consumption!$AA$83:$AA$99,0),MATCH('County Scaled Consumption '!H$2,Production_Consumption!$AA$83:$AJ$83,0)))*'CA Population'!$L139*10^6</f>
        <v>9313.4250890592211</v>
      </c>
      <c r="I139" s="143">
        <f>(INDEX(Production_Consumption!$AA$83:$AJ$99,MATCH('County Scaled Consumption '!$B139,Production_Consumption!$AA$83:$AA$99,0),MATCH('County Scaled Consumption '!I$2,Production_Consumption!$AA$83:$AJ$83,0)))*'CA Population'!$L139*10^6</f>
        <v>177761.42234221403</v>
      </c>
      <c r="J139" s="143">
        <f>(INDEX(Production_Consumption!$AA$83:$AJ$99,MATCH('County Scaled Consumption '!$B139,Production_Consumption!$AA$83:$AA$99,0),MATCH('County Scaled Consumption '!J$2,Production_Consumption!$AA$83:$AJ$83,0)))*'CA Population'!$L139*10^6</f>
        <v>121108.60612294928</v>
      </c>
      <c r="K139" s="143">
        <f>(INDEX(Production_Consumption!$AA$83:$AJ$99,MATCH('County Scaled Consumption '!$B139,Production_Consumption!$AA$83:$AA$99,0),MATCH('County Scaled Consumption '!K$2,Production_Consumption!$AA$83:$AJ$83,0)))*'CA Population'!$L139*10^6</f>
        <v>1688916.1412159463</v>
      </c>
      <c r="L139" s="131">
        <f t="shared" si="2"/>
        <v>0</v>
      </c>
    </row>
    <row r="140" spans="1:12" x14ac:dyDescent="0.2">
      <c r="A140" s="132" t="s">
        <v>324</v>
      </c>
      <c r="B140" s="129">
        <v>2018</v>
      </c>
      <c r="C140" s="143">
        <f>(INDEX(Production_Consumption!$AA$83:$AJ$99,MATCH('County Scaled Consumption '!$B140,Production_Consumption!$AA$83:$AA$99,0),MATCH('County Scaled Consumption '!C$2,Production_Consumption!$AA$83:$AJ$83,0)))*'CA Population'!$L140*10^6</f>
        <v>2036.9892227254891</v>
      </c>
      <c r="D140" s="143">
        <f>(INDEX(Production_Consumption!$AA$83:$AJ$99,MATCH('County Scaled Consumption '!$B140,Production_Consumption!$AA$83:$AA$99,0),MATCH('County Scaled Consumption '!D$2,Production_Consumption!$AA$83:$AJ$83,0)))*'CA Population'!$L140*10^6</f>
        <v>7824.1242301844932</v>
      </c>
      <c r="E140" s="143">
        <f>(INDEX(Production_Consumption!$AA$83:$AJ$99,MATCH('County Scaled Consumption '!$B140,Production_Consumption!$AA$83:$AA$99,0),MATCH('County Scaled Consumption '!E$2,Production_Consumption!$AA$83:$AJ$83,0)))*'CA Population'!$L140*10^6</f>
        <v>4750.9322292456236</v>
      </c>
      <c r="F140" s="143">
        <f>(INDEX(Production_Consumption!$AA$83:$AJ$99,MATCH('County Scaled Consumption '!$B140,Production_Consumption!$AA$83:$AA$99,0),MATCH('County Scaled Consumption '!F$2,Production_Consumption!$AA$83:$AJ$83,0)))*'CA Population'!$L140*10^6</f>
        <v>1402.1679500904911</v>
      </c>
      <c r="G140" s="143">
        <f>(INDEX(Production_Consumption!$AA$83:$AJ$99,MATCH('County Scaled Consumption '!$B140,Production_Consumption!$AA$83:$AA$99,0),MATCH('County Scaled Consumption '!G$2,Production_Consumption!$AA$83:$AJ$83,0)))*'CA Population'!$L140*10^6</f>
        <v>5280.1002716824378</v>
      </c>
      <c r="H140" s="143">
        <f>(INDEX(Production_Consumption!$AA$83:$AJ$99,MATCH('County Scaled Consumption '!$B140,Production_Consumption!$AA$83:$AA$99,0),MATCH('County Scaled Consumption '!H$2,Production_Consumption!$AA$83:$AJ$83,0)))*'CA Population'!$L140*10^6</f>
        <v>143.63605579803533</v>
      </c>
      <c r="I140" s="143">
        <f>(INDEX(Production_Consumption!$AA$83:$AJ$99,MATCH('County Scaled Consumption '!$B140,Production_Consumption!$AA$83:$AA$99,0),MATCH('County Scaled Consumption '!I$2,Production_Consumption!$AA$83:$AJ$83,0)))*'CA Population'!$L140*10^6</f>
        <v>2741.5209049438486</v>
      </c>
      <c r="J140" s="143">
        <f>(INDEX(Production_Consumption!$AA$83:$AJ$99,MATCH('County Scaled Consumption '!$B140,Production_Consumption!$AA$83:$AA$99,0),MATCH('County Scaled Consumption '!J$2,Production_Consumption!$AA$83:$AJ$83,0)))*'CA Population'!$L140*10^6</f>
        <v>1867.7943227495705</v>
      </c>
      <c r="K140" s="143">
        <f>(INDEX(Production_Consumption!$AA$83:$AJ$99,MATCH('County Scaled Consumption '!$B140,Production_Consumption!$AA$83:$AA$99,0),MATCH('County Scaled Consumption '!K$2,Production_Consumption!$AA$83:$AJ$83,0)))*'CA Population'!$L140*10^6</f>
        <v>26047.265187419991</v>
      </c>
      <c r="L140" s="131">
        <f t="shared" si="2"/>
        <v>0</v>
      </c>
    </row>
    <row r="141" spans="1:12" x14ac:dyDescent="0.2">
      <c r="A141" s="132" t="s">
        <v>325</v>
      </c>
      <c r="B141" s="129">
        <v>2018</v>
      </c>
      <c r="C141" s="143">
        <f>(INDEX(Production_Consumption!$AA$83:$AJ$99,MATCH('County Scaled Consumption '!$B141,Production_Consumption!$AA$83:$AA$99,0),MATCH('County Scaled Consumption '!C$2,Production_Consumption!$AA$83:$AJ$83,0)))*'CA Population'!$L141*10^6</f>
        <v>3397.4095704376473</v>
      </c>
      <c r="D141" s="143">
        <f>(INDEX(Production_Consumption!$AA$83:$AJ$99,MATCH('County Scaled Consumption '!$B141,Production_Consumption!$AA$83:$AA$99,0),MATCH('County Scaled Consumption '!D$2,Production_Consumption!$AA$83:$AJ$83,0)))*'CA Population'!$L141*10^6</f>
        <v>13049.531260825983</v>
      </c>
      <c r="E141" s="143">
        <f>(INDEX(Production_Consumption!$AA$83:$AJ$99,MATCH('County Scaled Consumption '!$B141,Production_Consumption!$AA$83:$AA$99,0),MATCH('County Scaled Consumption '!E$2,Production_Consumption!$AA$83:$AJ$83,0)))*'CA Population'!$L141*10^6</f>
        <v>7923.8821904729066</v>
      </c>
      <c r="F141" s="143">
        <f>(INDEX(Production_Consumption!$AA$83:$AJ$99,MATCH('County Scaled Consumption '!$B141,Production_Consumption!$AA$83:$AA$99,0),MATCH('County Scaled Consumption '!F$2,Production_Consumption!$AA$83:$AJ$83,0)))*'CA Population'!$L141*10^6</f>
        <v>2338.6175831723326</v>
      </c>
      <c r="G141" s="143">
        <f>(INDEX(Production_Consumption!$AA$83:$AJ$99,MATCH('County Scaled Consumption '!$B141,Production_Consumption!$AA$83:$AA$99,0),MATCH('County Scaled Consumption '!G$2,Production_Consumption!$AA$83:$AJ$83,0)))*'CA Population'!$L141*10^6</f>
        <v>8806.4595510635208</v>
      </c>
      <c r="H141" s="143">
        <f>(INDEX(Production_Consumption!$AA$83:$AJ$99,MATCH('County Scaled Consumption '!$B141,Production_Consumption!$AA$83:$AA$99,0),MATCH('County Scaled Consumption '!H$2,Production_Consumption!$AA$83:$AJ$83,0)))*'CA Population'!$L141*10^6</f>
        <v>239.56460112009356</v>
      </c>
      <c r="I141" s="143">
        <f>(INDEX(Production_Consumption!$AA$83:$AJ$99,MATCH('County Scaled Consumption '!$B141,Production_Consumption!$AA$83:$AA$99,0),MATCH('County Scaled Consumption '!I$2,Production_Consumption!$AA$83:$AJ$83,0)))*'CA Population'!$L141*10^6</f>
        <v>4572.468649367177</v>
      </c>
      <c r="J141" s="143">
        <f>(INDEX(Production_Consumption!$AA$83:$AJ$99,MATCH('County Scaled Consumption '!$B141,Production_Consumption!$AA$83:$AA$99,0),MATCH('County Scaled Consumption '!J$2,Production_Consumption!$AA$83:$AJ$83,0)))*'CA Population'!$L141*10^6</f>
        <v>3115.2164365543408</v>
      </c>
      <c r="K141" s="143">
        <f>(INDEX(Production_Consumption!$AA$83:$AJ$99,MATCH('County Scaled Consumption '!$B141,Production_Consumption!$AA$83:$AA$99,0),MATCH('County Scaled Consumption '!K$2,Production_Consumption!$AA$83:$AJ$83,0)))*'CA Population'!$L141*10^6</f>
        <v>43443.149843014005</v>
      </c>
      <c r="L141" s="131">
        <f t="shared" si="2"/>
        <v>0</v>
      </c>
    </row>
    <row r="142" spans="1:12" x14ac:dyDescent="0.2">
      <c r="A142" s="132" t="s">
        <v>326</v>
      </c>
      <c r="B142" s="129">
        <v>2018</v>
      </c>
      <c r="C142" s="143">
        <f>(INDEX(Production_Consumption!$AA$83:$AJ$99,MATCH('County Scaled Consumption '!$B142,Production_Consumption!$AA$83:$AA$99,0),MATCH('County Scaled Consumption '!C$2,Production_Consumption!$AA$83:$AJ$83,0)))*'CA Population'!$L142*10^6</f>
        <v>234.90912961333163</v>
      </c>
      <c r="D142" s="143">
        <f>(INDEX(Production_Consumption!$AA$83:$AJ$99,MATCH('County Scaled Consumption '!$B142,Production_Consumption!$AA$83:$AA$99,0),MATCH('County Scaled Consumption '!D$2,Production_Consumption!$AA$83:$AJ$83,0)))*'CA Population'!$L142*10^6</f>
        <v>902.29157444438124</v>
      </c>
      <c r="E142" s="143">
        <f>(INDEX(Production_Consumption!$AA$83:$AJ$99,MATCH('County Scaled Consumption '!$B142,Production_Consumption!$AA$83:$AA$99,0),MATCH('County Scaled Consumption '!E$2,Production_Consumption!$AA$83:$AJ$83,0)))*'CA Population'!$L142*10^6</f>
        <v>547.88574351451814</v>
      </c>
      <c r="F142" s="143">
        <f>(INDEX(Production_Consumption!$AA$83:$AJ$99,MATCH('County Scaled Consumption '!$B142,Production_Consumption!$AA$83:$AA$99,0),MATCH('County Scaled Consumption '!F$2,Production_Consumption!$AA$83:$AJ$83,0)))*'CA Population'!$L142*10^6</f>
        <v>161.70043957657953</v>
      </c>
      <c r="G142" s="143">
        <f>(INDEX(Production_Consumption!$AA$83:$AJ$99,MATCH('County Scaled Consumption '!$B142,Production_Consumption!$AA$83:$AA$99,0),MATCH('County Scaled Consumption '!G$2,Production_Consumption!$AA$83:$AJ$83,0)))*'CA Population'!$L142*10^6</f>
        <v>608.91031982607103</v>
      </c>
      <c r="H142" s="143">
        <f>(INDEX(Production_Consumption!$AA$83:$AJ$99,MATCH('County Scaled Consumption '!$B142,Production_Consumption!$AA$83:$AA$99,0),MATCH('County Scaled Consumption '!H$2,Production_Consumption!$AA$83:$AJ$83,0)))*'CA Population'!$L142*10^6</f>
        <v>16.564359041361268</v>
      </c>
      <c r="I142" s="143">
        <f>(INDEX(Production_Consumption!$AA$83:$AJ$99,MATCH('County Scaled Consumption '!$B142,Production_Consumption!$AA$83:$AA$99,0),MATCH('County Scaled Consumption '!I$2,Production_Consumption!$AA$83:$AJ$83,0)))*'CA Population'!$L142*10^6</f>
        <v>316.15694497167271</v>
      </c>
      <c r="J142" s="143">
        <f>(INDEX(Production_Consumption!$AA$83:$AJ$99,MATCH('County Scaled Consumption '!$B142,Production_Consumption!$AA$83:$AA$99,0),MATCH('County Scaled Consumption '!J$2,Production_Consumption!$AA$83:$AJ$83,0)))*'CA Population'!$L142*10^6</f>
        <v>215.39728033845995</v>
      </c>
      <c r="K142" s="143">
        <f>(INDEX(Production_Consumption!$AA$83:$AJ$99,MATCH('County Scaled Consumption '!$B142,Production_Consumption!$AA$83:$AA$99,0),MATCH('County Scaled Consumption '!K$2,Production_Consumption!$AA$83:$AJ$83,0)))*'CA Population'!$L142*10^6</f>
        <v>3003.8157913263753</v>
      </c>
      <c r="L142" s="131">
        <f t="shared" si="2"/>
        <v>0</v>
      </c>
    </row>
    <row r="143" spans="1:12" x14ac:dyDescent="0.2">
      <c r="A143" s="132" t="s">
        <v>327</v>
      </c>
      <c r="B143" s="129">
        <v>2018</v>
      </c>
      <c r="C143" s="143">
        <f>(INDEX(Production_Consumption!$AA$83:$AJ$99,MATCH('County Scaled Consumption '!$B143,Production_Consumption!$AA$83:$AA$99,0),MATCH('County Scaled Consumption '!C$2,Production_Consumption!$AA$83:$AJ$83,0)))*'CA Population'!$L143*10^6</f>
        <v>1147.3590111553181</v>
      </c>
      <c r="D143" s="143">
        <f>(INDEX(Production_Consumption!$AA$83:$AJ$99,MATCH('County Scaled Consumption '!$B143,Production_Consumption!$AA$83:$AA$99,0),MATCH('County Scaled Consumption '!D$2,Production_Consumption!$AA$83:$AJ$83,0)))*'CA Population'!$L143*10^6</f>
        <v>4407.0333508635485</v>
      </c>
      <c r="E143" s="143">
        <f>(INDEX(Production_Consumption!$AA$83:$AJ$99,MATCH('County Scaled Consumption '!$B143,Production_Consumption!$AA$83:$AA$99,0),MATCH('County Scaled Consumption '!E$2,Production_Consumption!$AA$83:$AJ$83,0)))*'CA Population'!$L143*10^6</f>
        <v>2676.0204932845577</v>
      </c>
      <c r="F143" s="143">
        <f>(INDEX(Production_Consumption!$AA$83:$AJ$99,MATCH('County Scaled Consumption '!$B143,Production_Consumption!$AA$83:$AA$99,0),MATCH('County Scaled Consumption '!F$2,Production_Consumption!$AA$83:$AJ$83,0)))*'CA Population'!$L143*10^6</f>
        <v>789.78819069889153</v>
      </c>
      <c r="G143" s="143">
        <f>(INDEX(Production_Consumption!$AA$83:$AJ$99,MATCH('County Scaled Consumption '!$B143,Production_Consumption!$AA$83:$AA$99,0),MATCH('County Scaled Consumption '!G$2,Production_Consumption!$AA$83:$AJ$83,0)))*'CA Population'!$L143*10^6</f>
        <v>2974.080843890114</v>
      </c>
      <c r="H143" s="143">
        <f>(INDEX(Production_Consumption!$AA$83:$AJ$99,MATCH('County Scaled Consumption '!$B143,Production_Consumption!$AA$83:$AA$99,0),MATCH('County Scaled Consumption '!H$2,Production_Consumption!$AA$83:$AJ$83,0)))*'CA Population'!$L143*10^6</f>
        <v>80.904759391008909</v>
      </c>
      <c r="I143" s="143">
        <f>(INDEX(Production_Consumption!$AA$83:$AJ$99,MATCH('County Scaled Consumption '!$B143,Production_Consumption!$AA$83:$AA$99,0),MATCH('County Scaled Consumption '!I$2,Production_Consumption!$AA$83:$AJ$83,0)))*'CA Population'!$L143*10^6</f>
        <v>1544.1950695985129</v>
      </c>
      <c r="J143" s="143">
        <f>(INDEX(Production_Consumption!$AA$83:$AJ$99,MATCH('County Scaled Consumption '!$B143,Production_Consumption!$AA$83:$AA$99,0),MATCH('County Scaled Consumption '!J$2,Production_Consumption!$AA$83:$AJ$83,0)))*'CA Population'!$L143*10^6</f>
        <v>1052.0579212118228</v>
      </c>
      <c r="K143" s="143">
        <f>(INDEX(Production_Consumption!$AA$83:$AJ$99,MATCH('County Scaled Consumption '!$B143,Production_Consumption!$AA$83:$AA$99,0),MATCH('County Scaled Consumption '!K$2,Production_Consumption!$AA$83:$AJ$83,0)))*'CA Population'!$L143*10^6</f>
        <v>14671.439640093775</v>
      </c>
      <c r="L143" s="131">
        <f t="shared" si="2"/>
        <v>0</v>
      </c>
    </row>
    <row r="144" spans="1:12" x14ac:dyDescent="0.2">
      <c r="A144" s="132" t="s">
        <v>328</v>
      </c>
      <c r="B144" s="129">
        <v>2018</v>
      </c>
      <c r="C144" s="143">
        <f>(INDEX(Production_Consumption!$AA$83:$AJ$99,MATCH('County Scaled Consumption '!$B144,Production_Consumption!$AA$83:$AA$99,0),MATCH('County Scaled Consumption '!C$2,Production_Consumption!$AA$83:$AJ$83,0)))*'CA Population'!$L144*10^6</f>
        <v>3592.0959541154216</v>
      </c>
      <c r="D144" s="143">
        <f>(INDEX(Production_Consumption!$AA$83:$AJ$99,MATCH('County Scaled Consumption '!$B144,Production_Consumption!$AA$83:$AA$99,0),MATCH('County Scaled Consumption '!D$2,Production_Consumption!$AA$83:$AJ$83,0)))*'CA Population'!$L144*10^6</f>
        <v>13797.326307960382</v>
      </c>
      <c r="E144" s="143">
        <f>(INDEX(Production_Consumption!$AA$83:$AJ$99,MATCH('County Scaled Consumption '!$B144,Production_Consumption!$AA$83:$AA$99,0),MATCH('County Scaled Consumption '!E$2,Production_Consumption!$AA$83:$AJ$83,0)))*'CA Population'!$L144*10^6</f>
        <v>8377.9551941446916</v>
      </c>
      <c r="F144" s="143">
        <f>(INDEX(Production_Consumption!$AA$83:$AJ$99,MATCH('County Scaled Consumption '!$B144,Production_Consumption!$AA$83:$AA$99,0),MATCH('County Scaled Consumption '!F$2,Production_Consumption!$AA$83:$AJ$83,0)))*'CA Population'!$L144*10^6</f>
        <v>2472.6305688408306</v>
      </c>
      <c r="G144" s="143">
        <f>(INDEX(Production_Consumption!$AA$83:$AJ$99,MATCH('County Scaled Consumption '!$B144,Production_Consumption!$AA$83:$AA$99,0),MATCH('County Scaled Consumption '!G$2,Production_Consumption!$AA$83:$AJ$83,0)))*'CA Population'!$L144*10^6</f>
        <v>9311.1080862062208</v>
      </c>
      <c r="H144" s="143">
        <f>(INDEX(Production_Consumption!$AA$83:$AJ$99,MATCH('County Scaled Consumption '!$B144,Production_Consumption!$AA$83:$AA$99,0),MATCH('County Scaled Consumption '!H$2,Production_Consumption!$AA$83:$AJ$83,0)))*'CA Population'!$L144*10^6</f>
        <v>253.29269744828264</v>
      </c>
      <c r="I144" s="143">
        <f>(INDEX(Production_Consumption!$AA$83:$AJ$99,MATCH('County Scaled Consumption '!$B144,Production_Consumption!$AA$83:$AA$99,0),MATCH('County Scaled Consumption '!I$2,Production_Consumption!$AA$83:$AJ$83,0)))*'CA Population'!$L144*10^6</f>
        <v>4834.4910424196041</v>
      </c>
      <c r="J144" s="143">
        <f>(INDEX(Production_Consumption!$AA$83:$AJ$99,MATCH('County Scaled Consumption '!$B144,Production_Consumption!$AA$83:$AA$99,0),MATCH('County Scaled Consumption '!J$2,Production_Consumption!$AA$83:$AJ$83,0)))*'CA Population'!$L144*10^6</f>
        <v>3293.7319230837443</v>
      </c>
      <c r="K144" s="143">
        <f>(INDEX(Production_Consumption!$AA$83:$AJ$99,MATCH('County Scaled Consumption '!$B144,Production_Consumption!$AA$83:$AA$99,0),MATCH('County Scaled Consumption '!K$2,Production_Consumption!$AA$83:$AJ$83,0)))*'CA Population'!$L144*10^6</f>
        <v>45932.631774219175</v>
      </c>
      <c r="L144" s="131">
        <f t="shared" si="2"/>
        <v>0</v>
      </c>
    </row>
    <row r="145" spans="1:12" x14ac:dyDescent="0.2">
      <c r="A145" s="132" t="s">
        <v>329</v>
      </c>
      <c r="B145" s="129">
        <v>2018</v>
      </c>
      <c r="C145" s="143">
        <f>(INDEX(Production_Consumption!$AA$83:$AJ$99,MATCH('County Scaled Consumption '!$B145,Production_Consumption!$AA$83:$AA$99,0),MATCH('County Scaled Consumption '!C$2,Production_Consumption!$AA$83:$AJ$83,0)))*'CA Population'!$L145*10^6</f>
        <v>124.55574546796907</v>
      </c>
      <c r="D145" s="143">
        <f>(INDEX(Production_Consumption!$AA$83:$AJ$99,MATCH('County Scaled Consumption '!$B145,Production_Consumption!$AA$83:$AA$99,0),MATCH('County Scaled Consumption '!D$2,Production_Consumption!$AA$83:$AJ$83,0)))*'CA Population'!$L145*10^6</f>
        <v>478.42159165707147</v>
      </c>
      <c r="E145" s="143">
        <f>(INDEX(Production_Consumption!$AA$83:$AJ$99,MATCH('County Scaled Consumption '!$B145,Production_Consumption!$AA$83:$AA$99,0),MATCH('County Scaled Consumption '!E$2,Production_Consumption!$AA$83:$AJ$83,0)))*'CA Population'!$L145*10^6</f>
        <v>290.50517247691681</v>
      </c>
      <c r="F145" s="143">
        <f>(INDEX(Production_Consumption!$AA$83:$AJ$99,MATCH('County Scaled Consumption '!$B145,Production_Consumption!$AA$83:$AA$99,0),MATCH('County Scaled Consumption '!F$2,Production_Consumption!$AA$83:$AJ$83,0)))*'CA Population'!$L145*10^6</f>
        <v>85.738339872577356</v>
      </c>
      <c r="G145" s="143">
        <f>(INDEX(Production_Consumption!$AA$83:$AJ$99,MATCH('County Scaled Consumption '!$B145,Production_Consumption!$AA$83:$AA$99,0),MATCH('County Scaled Consumption '!G$2,Production_Consumption!$AA$83:$AJ$83,0)))*'CA Population'!$L145*10^6</f>
        <v>322.86220179656851</v>
      </c>
      <c r="H145" s="143">
        <f>(INDEX(Production_Consumption!$AA$83:$AJ$99,MATCH('County Scaled Consumption '!$B145,Production_Consumption!$AA$83:$AA$99,0),MATCH('County Scaled Consumption '!H$2,Production_Consumption!$AA$83:$AJ$83,0)))*'CA Population'!$L145*10^6</f>
        <v>8.7829114687535572</v>
      </c>
      <c r="I145" s="143">
        <f>(INDEX(Production_Consumption!$AA$83:$AJ$99,MATCH('County Scaled Consumption '!$B145,Production_Consumption!$AA$83:$AA$99,0),MATCH('County Scaled Consumption '!I$2,Production_Consumption!$AA$83:$AJ$83,0)))*'CA Population'!$L145*10^6</f>
        <v>167.63573229632158</v>
      </c>
      <c r="J145" s="143">
        <f>(INDEX(Production_Consumption!$AA$83:$AJ$99,MATCH('County Scaled Consumption '!$B145,Production_Consumption!$AA$83:$AA$99,0),MATCH('County Scaled Consumption '!J$2,Production_Consumption!$AA$83:$AJ$83,0)))*'CA Population'!$L145*10^6</f>
        <v>114.20998778758147</v>
      </c>
      <c r="K145" s="143">
        <f>(INDEX(Production_Consumption!$AA$83:$AJ$99,MATCH('County Scaled Consumption '!$B145,Production_Consumption!$AA$83:$AA$99,0),MATCH('County Scaled Consumption '!K$2,Production_Consumption!$AA$83:$AJ$83,0)))*'CA Population'!$L145*10^6</f>
        <v>1592.7116828237599</v>
      </c>
      <c r="L145" s="131">
        <f t="shared" si="2"/>
        <v>0</v>
      </c>
    </row>
    <row r="146" spans="1:12" x14ac:dyDescent="0.2">
      <c r="A146" s="132" t="s">
        <v>330</v>
      </c>
      <c r="B146" s="129">
        <v>2018</v>
      </c>
      <c r="C146" s="143">
        <f>(INDEX(Production_Consumption!$AA$83:$AJ$99,MATCH('County Scaled Consumption '!$B146,Production_Consumption!$AA$83:$AA$99,0),MATCH('County Scaled Consumption '!C$2,Production_Consumption!$AA$83:$AJ$83,0)))*'CA Population'!$L146*10^6</f>
        <v>175.10630342370644</v>
      </c>
      <c r="D146" s="143">
        <f>(INDEX(Production_Consumption!$AA$83:$AJ$99,MATCH('County Scaled Consumption '!$B146,Production_Consumption!$AA$83:$AA$99,0),MATCH('County Scaled Consumption '!D$2,Production_Consumption!$AA$83:$AJ$83,0)))*'CA Population'!$L146*10^6</f>
        <v>672.58749147544813</v>
      </c>
      <c r="E146" s="143">
        <f>(INDEX(Production_Consumption!$AA$83:$AJ$99,MATCH('County Scaled Consumption '!$B146,Production_Consumption!$AA$83:$AA$99,0),MATCH('County Scaled Consumption '!E$2,Production_Consumption!$AA$83:$AJ$83,0)))*'CA Population'!$L146*10^6</f>
        <v>408.4057839867433</v>
      </c>
      <c r="F146" s="143">
        <f>(INDEX(Production_Consumption!$AA$83:$AJ$99,MATCH('County Scaled Consumption '!$B146,Production_Consumption!$AA$83:$AA$99,0),MATCH('County Scaled Consumption '!F$2,Production_Consumption!$AA$83:$AJ$83,0)))*'CA Population'!$L146*10^6</f>
        <v>120.53497572806262</v>
      </c>
      <c r="G146" s="143">
        <f>(INDEX(Production_Consumption!$AA$83:$AJ$99,MATCH('County Scaled Consumption '!$B146,Production_Consumption!$AA$83:$AA$99,0),MATCH('County Scaled Consumption '!G$2,Production_Consumption!$AA$83:$AJ$83,0)))*'CA Population'!$L146*10^6</f>
        <v>453.89481199303276</v>
      </c>
      <c r="H146" s="143">
        <f>(INDEX(Production_Consumption!$AA$83:$AJ$99,MATCH('County Scaled Consumption '!$B146,Production_Consumption!$AA$83:$AA$99,0),MATCH('County Scaled Consumption '!H$2,Production_Consumption!$AA$83:$AJ$83,0)))*'CA Population'!$L146*10^6</f>
        <v>12.34742849326538</v>
      </c>
      <c r="I146" s="143">
        <f>(INDEX(Production_Consumption!$AA$83:$AJ$99,MATCH('County Scaled Consumption '!$B146,Production_Consumption!$AA$83:$AA$99,0),MATCH('County Scaled Consumption '!I$2,Production_Consumption!$AA$83:$AJ$83,0)))*'CA Population'!$L146*10^6</f>
        <v>235.67016755307881</v>
      </c>
      <c r="J146" s="143">
        <f>(INDEX(Production_Consumption!$AA$83:$AJ$99,MATCH('County Scaled Consumption '!$B146,Production_Consumption!$AA$83:$AA$99,0),MATCH('County Scaled Consumption '!J$2,Production_Consumption!$AA$83:$AJ$83,0)))*'CA Population'!$L146*10^6</f>
        <v>160.56175249413116</v>
      </c>
      <c r="K146" s="143">
        <f>(INDEX(Production_Consumption!$AA$83:$AJ$99,MATCH('County Scaled Consumption '!$B146,Production_Consumption!$AA$83:$AA$99,0),MATCH('County Scaled Consumption '!K$2,Production_Consumption!$AA$83:$AJ$83,0)))*'CA Population'!$L146*10^6</f>
        <v>2239.1087151474685</v>
      </c>
      <c r="L146" s="131">
        <f t="shared" si="2"/>
        <v>0</v>
      </c>
    </row>
    <row r="147" spans="1:12" x14ac:dyDescent="0.2">
      <c r="A147" s="132" t="s">
        <v>331</v>
      </c>
      <c r="B147" s="129">
        <v>2018</v>
      </c>
      <c r="C147" s="143">
        <f>(INDEX(Production_Consumption!$AA$83:$AJ$99,MATCH('County Scaled Consumption '!$B147,Production_Consumption!$AA$83:$AA$99,0),MATCH('County Scaled Consumption '!C$2,Production_Consumption!$AA$83:$AJ$83,0)))*'CA Population'!$L147*10^6</f>
        <v>5684.041576812785</v>
      </c>
      <c r="D147" s="143">
        <f>(INDEX(Production_Consumption!$AA$83:$AJ$99,MATCH('County Scaled Consumption '!$B147,Production_Consumption!$AA$83:$AA$99,0),MATCH('County Scaled Consumption '!D$2,Production_Consumption!$AA$83:$AJ$83,0)))*'CA Population'!$L147*10^6</f>
        <v>21832.539382320658</v>
      </c>
      <c r="E147" s="143">
        <f>(INDEX(Production_Consumption!$AA$83:$AJ$99,MATCH('County Scaled Consumption '!$B147,Production_Consumption!$AA$83:$AA$99,0),MATCH('County Scaled Consumption '!E$2,Production_Consumption!$AA$83:$AJ$83,0)))*'CA Population'!$L147*10^6</f>
        <v>13257.063914908687</v>
      </c>
      <c r="F147" s="143">
        <f>(INDEX(Production_Consumption!$AA$83:$AJ$99,MATCH('County Scaled Consumption '!$B147,Production_Consumption!$AA$83:$AA$99,0),MATCH('County Scaled Consumption '!F$2,Production_Consumption!$AA$83:$AJ$83,0)))*'CA Population'!$L147*10^6</f>
        <v>3912.6279300215842</v>
      </c>
      <c r="G147" s="143">
        <f>(INDEX(Production_Consumption!$AA$83:$AJ$99,MATCH('County Scaled Consumption '!$B147,Production_Consumption!$AA$83:$AA$99,0),MATCH('County Scaled Consumption '!G$2,Production_Consumption!$AA$83:$AJ$83,0)))*'CA Population'!$L147*10^6</f>
        <v>14733.661395531111</v>
      </c>
      <c r="H147" s="143">
        <f>(INDEX(Production_Consumption!$AA$83:$AJ$99,MATCH('County Scaled Consumption '!$B147,Production_Consumption!$AA$83:$AA$99,0),MATCH('County Scaled Consumption '!H$2,Production_Consumption!$AA$83:$AJ$83,0)))*'CA Population'!$L147*10^6</f>
        <v>400.80394337729842</v>
      </c>
      <c r="I147" s="143">
        <f>(INDEX(Production_Consumption!$AA$83:$AJ$99,MATCH('County Scaled Consumption '!$B147,Production_Consumption!$AA$83:$AA$99,0),MATCH('County Scaled Consumption '!I$2,Production_Consumption!$AA$83:$AJ$83,0)))*'CA Population'!$L147*10^6</f>
        <v>7649.976069363941</v>
      </c>
      <c r="J147" s="143">
        <f>(INDEX(Production_Consumption!$AA$83:$AJ$99,MATCH('County Scaled Consumption '!$B147,Production_Consumption!$AA$83:$AA$99,0),MATCH('County Scaled Consumption '!J$2,Production_Consumption!$AA$83:$AJ$83,0)))*'CA Population'!$L147*10^6</f>
        <v>5211.9178977483307</v>
      </c>
      <c r="K147" s="143">
        <f>(INDEX(Production_Consumption!$AA$83:$AJ$99,MATCH('County Scaled Consumption '!$B147,Production_Consumption!$AA$83:$AA$99,0),MATCH('County Scaled Consumption '!K$2,Production_Consumption!$AA$83:$AJ$83,0)))*'CA Population'!$L147*10^6</f>
        <v>72682.632110084392</v>
      </c>
      <c r="L147" s="131">
        <f t="shared" si="2"/>
        <v>0</v>
      </c>
    </row>
    <row r="148" spans="1:12" x14ac:dyDescent="0.2">
      <c r="A148" s="132" t="s">
        <v>332</v>
      </c>
      <c r="B148" s="129">
        <v>2018</v>
      </c>
      <c r="C148" s="143">
        <f>(INDEX(Production_Consumption!$AA$83:$AJ$99,MATCH('County Scaled Consumption '!$B148,Production_Consumption!$AA$83:$AA$99,0),MATCH('County Scaled Consumption '!C$2,Production_Consumption!$AA$83:$AJ$83,0)))*'CA Population'!$L148*10^6</f>
        <v>1818.5760839549291</v>
      </c>
      <c r="D148" s="143">
        <f>(INDEX(Production_Consumption!$AA$83:$AJ$99,MATCH('County Scaled Consumption '!$B148,Production_Consumption!$AA$83:$AA$99,0),MATCH('County Scaled Consumption '!D$2,Production_Consumption!$AA$83:$AJ$83,0)))*'CA Population'!$L148*10^6</f>
        <v>6985.1941503488779</v>
      </c>
      <c r="E148" s="143">
        <f>(INDEX(Production_Consumption!$AA$83:$AJ$99,MATCH('County Scaled Consumption '!$B148,Production_Consumption!$AA$83:$AA$99,0),MATCH('County Scaled Consumption '!E$2,Production_Consumption!$AA$83:$AJ$83,0)))*'CA Population'!$L148*10^6</f>
        <v>4241.5205894101646</v>
      </c>
      <c r="F148" s="143">
        <f>(INDEX(Production_Consumption!$AA$83:$AJ$99,MATCH('County Scaled Consumption '!$B148,Production_Consumption!$AA$83:$AA$99,0),MATCH('County Scaled Consumption '!F$2,Production_Consumption!$AA$83:$AJ$83,0)))*'CA Population'!$L148*10^6</f>
        <v>1251.8225777900027</v>
      </c>
      <c r="G148" s="143">
        <f>(INDEX(Production_Consumption!$AA$83:$AJ$99,MATCH('County Scaled Consumption '!$B148,Production_Consumption!$AA$83:$AA$99,0),MATCH('County Scaled Consumption '!G$2,Production_Consumption!$AA$83:$AJ$83,0)))*'CA Population'!$L148*10^6</f>
        <v>4713.9493757938444</v>
      </c>
      <c r="H148" s="143">
        <f>(INDEX(Production_Consumption!$AA$83:$AJ$99,MATCH('County Scaled Consumption '!$B148,Production_Consumption!$AA$83:$AA$99,0),MATCH('County Scaled Consumption '!H$2,Production_Consumption!$AA$83:$AJ$83,0)))*'CA Population'!$L148*10^6</f>
        <v>128.23489341706974</v>
      </c>
      <c r="I148" s="143">
        <f>(INDEX(Production_Consumption!$AA$83:$AJ$99,MATCH('County Scaled Consumption '!$B148,Production_Consumption!$AA$83:$AA$99,0),MATCH('County Scaled Consumption '!I$2,Production_Consumption!$AA$83:$AJ$83,0)))*'CA Population'!$L148*10^6</f>
        <v>2447.5654047509124</v>
      </c>
      <c r="J148" s="143">
        <f>(INDEX(Production_Consumption!$AA$83:$AJ$99,MATCH('County Scaled Consumption '!$B148,Production_Consumption!$AA$83:$AA$99,0),MATCH('County Scaled Consumption '!J$2,Production_Consumption!$AA$83:$AJ$83,0)))*'CA Population'!$L148*10^6</f>
        <v>1667.5228554004561</v>
      </c>
      <c r="K148" s="143">
        <f>(INDEX(Production_Consumption!$AA$83:$AJ$99,MATCH('County Scaled Consumption '!$B148,Production_Consumption!$AA$83:$AA$99,0),MATCH('County Scaled Consumption '!K$2,Production_Consumption!$AA$83:$AJ$83,0)))*'CA Population'!$L148*10^6</f>
        <v>23254.385930866258</v>
      </c>
      <c r="L148" s="131">
        <f t="shared" si="2"/>
        <v>0</v>
      </c>
    </row>
    <row r="149" spans="1:12" x14ac:dyDescent="0.2">
      <c r="A149" s="132" t="s">
        <v>333</v>
      </c>
      <c r="B149" s="129">
        <v>2018</v>
      </c>
      <c r="C149" s="143">
        <f>(INDEX(Production_Consumption!$AA$83:$AJ$99,MATCH('County Scaled Consumption '!$B149,Production_Consumption!$AA$83:$AA$99,0),MATCH('County Scaled Consumption '!C$2,Production_Consumption!$AA$83:$AJ$83,0)))*'CA Population'!$L149*10^6</f>
        <v>1270.9040046313498</v>
      </c>
      <c r="D149" s="143">
        <f>(INDEX(Production_Consumption!$AA$83:$AJ$99,MATCH('County Scaled Consumption '!$B149,Production_Consumption!$AA$83:$AA$99,0),MATCH('County Scaled Consumption '!D$2,Production_Consumption!$AA$83:$AJ$83,0)))*'CA Population'!$L149*10^6</f>
        <v>4881.5726199915662</v>
      </c>
      <c r="E149" s="143">
        <f>(INDEX(Production_Consumption!$AA$83:$AJ$99,MATCH('County Scaled Consumption '!$B149,Production_Consumption!$AA$83:$AA$99,0),MATCH('County Scaled Consumption '!E$2,Production_Consumption!$AA$83:$AJ$83,0)))*'CA Population'!$L149*10^6</f>
        <v>2964.1682579948074</v>
      </c>
      <c r="F149" s="143">
        <f>(INDEX(Production_Consumption!$AA$83:$AJ$99,MATCH('County Scaled Consumption '!$B149,Production_Consumption!$AA$83:$AA$99,0),MATCH('County Scaled Consumption '!F$2,Production_Consumption!$AA$83:$AJ$83,0)))*'CA Population'!$L149*10^6</f>
        <v>874.83077625290241</v>
      </c>
      <c r="G149" s="143">
        <f>(INDEX(Production_Consumption!$AA$83:$AJ$99,MATCH('County Scaled Consumption '!$B149,Production_Consumption!$AA$83:$AA$99,0),MATCH('County Scaled Consumption '!G$2,Production_Consumption!$AA$83:$AJ$83,0)))*'CA Population'!$L149*10^6</f>
        <v>3294.3230652726029</v>
      </c>
      <c r="H149" s="143">
        <f>(INDEX(Production_Consumption!$AA$83:$AJ$99,MATCH('County Scaled Consumption '!$B149,Production_Consumption!$AA$83:$AA$99,0),MATCH('County Scaled Consumption '!H$2,Production_Consumption!$AA$83:$AJ$83,0)))*'CA Population'!$L149*10^6</f>
        <v>89.616398794160844</v>
      </c>
      <c r="I149" s="143">
        <f>(INDEX(Production_Consumption!$AA$83:$AJ$99,MATCH('County Scaled Consumption '!$B149,Production_Consumption!$AA$83:$AA$99,0),MATCH('County Scaled Consumption '!I$2,Production_Consumption!$AA$83:$AJ$83,0)))*'CA Population'!$L149*10^6</f>
        <v>1710.4704619948018</v>
      </c>
      <c r="J149" s="143">
        <f>(INDEX(Production_Consumption!$AA$83:$AJ$99,MATCH('County Scaled Consumption '!$B149,Production_Consumption!$AA$83:$AA$99,0),MATCH('County Scaled Consumption '!J$2,Production_Consumption!$AA$83:$AJ$83,0)))*'CA Population'!$L149*10^6</f>
        <v>1165.3411113456971</v>
      </c>
      <c r="K149" s="143">
        <f>(INDEX(Production_Consumption!$AA$83:$AJ$99,MATCH('County Scaled Consumption '!$B149,Production_Consumption!$AA$83:$AA$99,0),MATCH('County Scaled Consumption '!K$2,Production_Consumption!$AA$83:$AJ$83,0)))*'CA Population'!$L149*10^6</f>
        <v>16251.22669627789</v>
      </c>
      <c r="L149" s="131">
        <f t="shared" si="2"/>
        <v>0</v>
      </c>
    </row>
    <row r="150" spans="1:12" x14ac:dyDescent="0.2">
      <c r="A150" s="132" t="s">
        <v>334</v>
      </c>
      <c r="B150" s="129">
        <v>2018</v>
      </c>
      <c r="C150" s="143">
        <f>(INDEX(Production_Consumption!$AA$83:$AJ$99,MATCH('County Scaled Consumption '!$B150,Production_Consumption!$AA$83:$AA$99,0),MATCH('County Scaled Consumption '!C$2,Production_Consumption!$AA$83:$AJ$83,0)))*'CA Population'!$L150*10^6</f>
        <v>41288.622786131746</v>
      </c>
      <c r="D150" s="143">
        <f>(INDEX(Production_Consumption!$AA$83:$AJ$99,MATCH('County Scaled Consumption '!$B150,Production_Consumption!$AA$83:$AA$99,0),MATCH('County Scaled Consumption '!D$2,Production_Consumption!$AA$83:$AJ$83,0)))*'CA Population'!$L150*10^6</f>
        <v>158590.58573696532</v>
      </c>
      <c r="E150" s="143">
        <f>(INDEX(Production_Consumption!$AA$83:$AJ$99,MATCH('County Scaled Consumption '!$B150,Production_Consumption!$AA$83:$AA$99,0),MATCH('County Scaled Consumption '!E$2,Production_Consumption!$AA$83:$AJ$83,0)))*'CA Population'!$L150*10^6</f>
        <v>96298.717002212448</v>
      </c>
      <c r="F150" s="143">
        <f>(INDEX(Production_Consumption!$AA$83:$AJ$99,MATCH('County Scaled Consumption '!$B150,Production_Consumption!$AA$83:$AA$99,0),MATCH('County Scaled Consumption '!F$2,Production_Consumption!$AA$83:$AJ$83,0)))*'CA Population'!$L150*10^6</f>
        <v>28421.153596791421</v>
      </c>
      <c r="G150" s="143">
        <f>(INDEX(Production_Consumption!$AA$83:$AJ$99,MATCH('County Scaled Consumption '!$B150,Production_Consumption!$AA$83:$AA$99,0),MATCH('County Scaled Consumption '!G$2,Production_Consumption!$AA$83:$AJ$83,0)))*'CA Population'!$L150*10^6</f>
        <v>107024.65479849395</v>
      </c>
      <c r="H150" s="143">
        <f>(INDEX(Production_Consumption!$AA$83:$AJ$99,MATCH('County Scaled Consumption '!$B150,Production_Consumption!$AA$83:$AA$99,0),MATCH('County Scaled Consumption '!H$2,Production_Consumption!$AA$83:$AJ$83,0)))*'CA Population'!$L150*10^6</f>
        <v>2911.4218475823868</v>
      </c>
      <c r="I150" s="143">
        <f>(INDEX(Production_Consumption!$AA$83:$AJ$99,MATCH('County Scaled Consumption '!$B150,Production_Consumption!$AA$83:$AA$99,0),MATCH('County Scaled Consumption '!I$2,Production_Consumption!$AA$83:$AJ$83,0)))*'CA Population'!$L150*10^6</f>
        <v>55569.082664594658</v>
      </c>
      <c r="J150" s="143">
        <f>(INDEX(Production_Consumption!$AA$83:$AJ$99,MATCH('County Scaled Consumption '!$B150,Production_Consumption!$AA$83:$AA$99,0),MATCH('County Scaled Consumption '!J$2,Production_Consumption!$AA$83:$AJ$83,0)))*'CA Population'!$L150*10^6</f>
        <v>37859.137580954295</v>
      </c>
      <c r="K150" s="143">
        <f>(INDEX(Production_Consumption!$AA$83:$AJ$99,MATCH('County Scaled Consumption '!$B150,Production_Consumption!$AA$83:$AA$99,0),MATCH('County Scaled Consumption '!K$2,Production_Consumption!$AA$83:$AJ$83,0)))*'CA Population'!$L150*10^6</f>
        <v>527963.37601372623</v>
      </c>
      <c r="L150" s="131">
        <f t="shared" si="2"/>
        <v>0</v>
      </c>
    </row>
    <row r="151" spans="1:12" x14ac:dyDescent="0.2">
      <c r="A151" s="132" t="s">
        <v>335</v>
      </c>
      <c r="B151" s="129">
        <v>2018</v>
      </c>
      <c r="C151" s="143">
        <f>(INDEX(Production_Consumption!$AA$83:$AJ$99,MATCH('County Scaled Consumption '!$B151,Production_Consumption!$AA$83:$AA$99,0),MATCH('County Scaled Consumption '!C$2,Production_Consumption!$AA$83:$AJ$83,0)))*'CA Population'!$L151*10^6</f>
        <v>5039.1429308801571</v>
      </c>
      <c r="D151" s="143">
        <f>(INDEX(Production_Consumption!$AA$83:$AJ$99,MATCH('County Scaled Consumption '!$B151,Production_Consumption!$AA$83:$AA$99,0),MATCH('County Scaled Consumption '!D$2,Production_Consumption!$AA$83:$AJ$83,0)))*'CA Population'!$L151*10^6</f>
        <v>19355.468288687964</v>
      </c>
      <c r="E151" s="143">
        <f>(INDEX(Production_Consumption!$AA$83:$AJ$99,MATCH('County Scaled Consumption '!$B151,Production_Consumption!$AA$83:$AA$99,0),MATCH('County Scaled Consumption '!E$2,Production_Consumption!$AA$83:$AJ$83,0)))*'CA Population'!$L151*10^6</f>
        <v>11752.9470902459</v>
      </c>
      <c r="F151" s="143">
        <f>(INDEX(Production_Consumption!$AA$83:$AJ$99,MATCH('County Scaled Consumption '!$B151,Production_Consumption!$AA$83:$AA$99,0),MATCH('County Scaled Consumption '!F$2,Production_Consumption!$AA$83:$AJ$83,0)))*'CA Population'!$L151*10^6</f>
        <v>3468.7099149946839</v>
      </c>
      <c r="G151" s="143">
        <f>(INDEX(Production_Consumption!$AA$83:$AJ$99,MATCH('County Scaled Consumption '!$B151,Production_Consumption!$AA$83:$AA$99,0),MATCH('County Scaled Consumption '!G$2,Production_Consumption!$AA$83:$AJ$83,0)))*'CA Population'!$L151*10^6</f>
        <v>13062.013122870912</v>
      </c>
      <c r="H151" s="143">
        <f>(INDEX(Production_Consumption!$AA$83:$AJ$99,MATCH('County Scaled Consumption '!$B151,Production_Consumption!$AA$83:$AA$99,0),MATCH('County Scaled Consumption '!H$2,Production_Consumption!$AA$83:$AJ$83,0)))*'CA Population'!$L151*10^6</f>
        <v>355.32962429017203</v>
      </c>
      <c r="I151" s="143">
        <f>(INDEX(Production_Consumption!$AA$83:$AJ$99,MATCH('County Scaled Consumption '!$B151,Production_Consumption!$AA$83:$AA$99,0),MATCH('County Scaled Consumption '!I$2,Production_Consumption!$AA$83:$AJ$83,0)))*'CA Population'!$L151*10^6</f>
        <v>6782.0268923777739</v>
      </c>
      <c r="J151" s="143">
        <f>(INDEX(Production_Consumption!$AA$83:$AJ$99,MATCH('County Scaled Consumption '!$B151,Production_Consumption!$AA$83:$AA$99,0),MATCH('County Scaled Consumption '!J$2,Production_Consumption!$AA$83:$AJ$83,0)))*'CA Population'!$L151*10^6</f>
        <v>4620.585348619682</v>
      </c>
      <c r="K151" s="143">
        <f>(INDEX(Production_Consumption!$AA$83:$AJ$99,MATCH('County Scaled Consumption '!$B151,Production_Consumption!$AA$83:$AA$99,0),MATCH('County Scaled Consumption '!K$2,Production_Consumption!$AA$83:$AJ$83,0)))*'CA Population'!$L151*10^6</f>
        <v>64436.223212967241</v>
      </c>
      <c r="L151" s="131">
        <f t="shared" si="2"/>
        <v>0</v>
      </c>
    </row>
    <row r="152" spans="1:12" x14ac:dyDescent="0.2">
      <c r="A152" s="132" t="s">
        <v>336</v>
      </c>
      <c r="B152" s="129">
        <v>2018</v>
      </c>
      <c r="C152" s="143">
        <f>(INDEX(Production_Consumption!$AA$83:$AJ$99,MATCH('County Scaled Consumption '!$B152,Production_Consumption!$AA$83:$AA$99,0),MATCH('County Scaled Consumption '!C$2,Production_Consumption!$AA$83:$AJ$83,0)))*'CA Population'!$L152*10^6</f>
        <v>235.53113083913917</v>
      </c>
      <c r="D152" s="143">
        <f>(INDEX(Production_Consumption!$AA$83:$AJ$99,MATCH('County Scaled Consumption '!$B152,Production_Consumption!$AA$83:$AA$99,0),MATCH('County Scaled Consumption '!D$2,Production_Consumption!$AA$83:$AJ$83,0)))*'CA Population'!$L152*10^6</f>
        <v>904.68069600072113</v>
      </c>
      <c r="E152" s="143">
        <f>(INDEX(Production_Consumption!$AA$83:$AJ$99,MATCH('County Scaled Consumption '!$B152,Production_Consumption!$AA$83:$AA$99,0),MATCH('County Scaled Consumption '!E$2,Production_Consumption!$AA$83:$AJ$83,0)))*'CA Population'!$L152*10^6</f>
        <v>549.33645598631279</v>
      </c>
      <c r="F152" s="143">
        <f>(INDEX(Production_Consumption!$AA$83:$AJ$99,MATCH('County Scaled Consumption '!$B152,Production_Consumption!$AA$83:$AA$99,0),MATCH('County Scaled Consumption '!F$2,Production_Consumption!$AA$83:$AJ$83,0)))*'CA Population'!$L152*10^6</f>
        <v>162.12859608031272</v>
      </c>
      <c r="G152" s="143">
        <f>(INDEX(Production_Consumption!$AA$83:$AJ$99,MATCH('County Scaled Consumption '!$B152,Production_Consumption!$AA$83:$AA$99,0),MATCH('County Scaled Consumption '!G$2,Production_Consumption!$AA$83:$AJ$83,0)))*'CA Population'!$L152*10^6</f>
        <v>610.5226154655046</v>
      </c>
      <c r="H152" s="143">
        <f>(INDEX(Production_Consumption!$AA$83:$AJ$99,MATCH('County Scaled Consumption '!$B152,Production_Consumption!$AA$83:$AA$99,0),MATCH('County Scaled Consumption '!H$2,Production_Consumption!$AA$83:$AJ$83,0)))*'CA Population'!$L152*10^6</f>
        <v>16.608218774039187</v>
      </c>
      <c r="I152" s="143">
        <f>(INDEX(Production_Consumption!$AA$83:$AJ$99,MATCH('County Scaled Consumption '!$B152,Production_Consumption!$AA$83:$AA$99,0),MATCH('County Scaled Consumption '!I$2,Production_Consumption!$AA$83:$AJ$83,0)))*'CA Population'!$L152*10^6</f>
        <v>316.9940772178465</v>
      </c>
      <c r="J152" s="143">
        <f>(INDEX(Production_Consumption!$AA$83:$AJ$99,MATCH('County Scaled Consumption '!$B152,Production_Consumption!$AA$83:$AA$99,0),MATCH('County Scaled Consumption '!J$2,Production_Consumption!$AA$83:$AJ$83,0)))*'CA Population'!$L152*10^6</f>
        <v>215.96761735612577</v>
      </c>
      <c r="K152" s="143">
        <f>(INDEX(Production_Consumption!$AA$83:$AJ$99,MATCH('County Scaled Consumption '!$B152,Production_Consumption!$AA$83:$AA$99,0),MATCH('County Scaled Consumption '!K$2,Production_Consumption!$AA$83:$AJ$83,0)))*'CA Population'!$L152*10^6</f>
        <v>3011.7694077200017</v>
      </c>
      <c r="L152" s="131">
        <f t="shared" si="2"/>
        <v>0</v>
      </c>
    </row>
    <row r="153" spans="1:12" x14ac:dyDescent="0.2">
      <c r="A153" s="132" t="s">
        <v>337</v>
      </c>
      <c r="B153" s="129">
        <v>2018</v>
      </c>
      <c r="C153" s="143">
        <f>(INDEX(Production_Consumption!$AA$83:$AJ$99,MATCH('County Scaled Consumption '!$B153,Production_Consumption!$AA$83:$AA$99,0),MATCH('County Scaled Consumption '!C$2,Production_Consumption!$AA$83:$AJ$83,0)))*'CA Population'!$L153*10^6</f>
        <v>31069.764647338914</v>
      </c>
      <c r="D153" s="143">
        <f>(INDEX(Production_Consumption!$AA$83:$AJ$99,MATCH('County Scaled Consumption '!$B153,Production_Consumption!$AA$83:$AA$99,0),MATCH('County Scaled Consumption '!D$2,Production_Consumption!$AA$83:$AJ$83,0)))*'CA Population'!$L153*10^6</f>
        <v>119339.70768785657</v>
      </c>
      <c r="E153" s="143">
        <f>(INDEX(Production_Consumption!$AA$83:$AJ$99,MATCH('County Scaled Consumption '!$B153,Production_Consumption!$AA$83:$AA$99,0),MATCH('County Scaled Consumption '!E$2,Production_Consumption!$AA$83:$AJ$83,0)))*'CA Population'!$L153*10^6</f>
        <v>72464.961803095008</v>
      </c>
      <c r="F153" s="143">
        <f>(INDEX(Production_Consumption!$AA$83:$AJ$99,MATCH('County Scaled Consumption '!$B153,Production_Consumption!$AA$83:$AA$99,0),MATCH('County Scaled Consumption '!F$2,Production_Consumption!$AA$83:$AJ$83,0)))*'CA Population'!$L153*10^6</f>
        <v>21386.970396958342</v>
      </c>
      <c r="G153" s="143">
        <f>(INDEX(Production_Consumption!$AA$83:$AJ$99,MATCH('County Scaled Consumption '!$B153,Production_Consumption!$AA$83:$AA$99,0),MATCH('County Scaled Consumption '!G$2,Production_Consumption!$AA$83:$AJ$83,0)))*'CA Population'!$L153*10^6</f>
        <v>80536.24973824012</v>
      </c>
      <c r="H153" s="143">
        <f>(INDEX(Production_Consumption!$AA$83:$AJ$99,MATCH('County Scaled Consumption '!$B153,Production_Consumption!$AA$83:$AA$99,0),MATCH('County Scaled Consumption '!H$2,Production_Consumption!$AA$83:$AJ$83,0)))*'CA Population'!$L153*10^6</f>
        <v>2190.8502994168325</v>
      </c>
      <c r="I153" s="143">
        <f>(INDEX(Production_Consumption!$AA$83:$AJ$99,MATCH('County Scaled Consumption '!$B153,Production_Consumption!$AA$83:$AA$99,0),MATCH('County Scaled Consumption '!I$2,Production_Consumption!$AA$83:$AJ$83,0)))*'CA Population'!$L153*10^6</f>
        <v>41815.836992203804</v>
      </c>
      <c r="J153" s="143">
        <f>(INDEX(Production_Consumption!$AA$83:$AJ$99,MATCH('County Scaled Consumption '!$B153,Production_Consumption!$AA$83:$AA$99,0),MATCH('County Scaled Consumption '!J$2,Production_Consumption!$AA$83:$AJ$83,0)))*'CA Population'!$L153*10^6</f>
        <v>28489.070717722447</v>
      </c>
      <c r="K153" s="143">
        <f>(INDEX(Production_Consumption!$AA$83:$AJ$99,MATCH('County Scaled Consumption '!$B153,Production_Consumption!$AA$83:$AA$99,0),MATCH('County Scaled Consumption '!K$2,Production_Consumption!$AA$83:$AJ$83,0)))*'CA Population'!$L153*10^6</f>
        <v>397293.41228283203</v>
      </c>
      <c r="L153" s="131">
        <f t="shared" si="2"/>
        <v>0</v>
      </c>
    </row>
    <row r="154" spans="1:12" x14ac:dyDescent="0.2">
      <c r="A154" s="132" t="s">
        <v>338</v>
      </c>
      <c r="B154" s="129">
        <v>2018</v>
      </c>
      <c r="C154" s="143">
        <f>(INDEX(Production_Consumption!$AA$83:$AJ$99,MATCH('County Scaled Consumption '!$B154,Production_Consumption!$AA$83:$AA$99,0),MATCH('County Scaled Consumption '!C$2,Production_Consumption!$AA$83:$AJ$83,0)))*'CA Population'!$L154*10^6</f>
        <v>19762.780155790071</v>
      </c>
      <c r="D154" s="143">
        <f>(INDEX(Production_Consumption!$AA$83:$AJ$99,MATCH('County Scaled Consumption '!$B154,Production_Consumption!$AA$83:$AA$99,0),MATCH('County Scaled Consumption '!D$2,Production_Consumption!$AA$83:$AJ$83,0)))*'CA Population'!$L154*10^6</f>
        <v>75909.310342759883</v>
      </c>
      <c r="E154" s="143">
        <f>(INDEX(Production_Consumption!$AA$83:$AJ$99,MATCH('County Scaled Consumption '!$B154,Production_Consumption!$AA$83:$AA$99,0),MATCH('County Scaled Consumption '!E$2,Production_Consumption!$AA$83:$AJ$83,0)))*'CA Population'!$L154*10^6</f>
        <v>46093.33625045498</v>
      </c>
      <c r="F154" s="143">
        <f>(INDEX(Production_Consumption!$AA$83:$AJ$99,MATCH('County Scaled Consumption '!$B154,Production_Consumption!$AA$83:$AA$99,0),MATCH('County Scaled Consumption '!F$2,Production_Consumption!$AA$83:$AJ$83,0)))*'CA Population'!$L154*10^6</f>
        <v>13603.771993479802</v>
      </c>
      <c r="G154" s="143">
        <f>(INDEX(Production_Consumption!$AA$83:$AJ$99,MATCH('County Scaled Consumption '!$B154,Production_Consumption!$AA$83:$AA$99,0),MATCH('County Scaled Consumption '!G$2,Production_Consumption!$AA$83:$AJ$83,0)))*'CA Population'!$L154*10^6</f>
        <v>51227.301404259772</v>
      </c>
      <c r="H154" s="143">
        <f>(INDEX(Production_Consumption!$AA$83:$AJ$99,MATCH('County Scaled Consumption '!$B154,Production_Consumption!$AA$83:$AA$99,0),MATCH('County Scaled Consumption '!H$2,Production_Consumption!$AA$83:$AJ$83,0)))*'CA Population'!$L154*10^6</f>
        <v>1393.5507176534106</v>
      </c>
      <c r="I154" s="143">
        <f>(INDEX(Production_Consumption!$AA$83:$AJ$99,MATCH('County Scaled Consumption '!$B154,Production_Consumption!$AA$83:$AA$99,0),MATCH('County Scaled Consumption '!I$2,Production_Consumption!$AA$83:$AJ$83,0)))*'CA Population'!$L154*10^6</f>
        <v>26598.115656407383</v>
      </c>
      <c r="J154" s="143">
        <f>(INDEX(Production_Consumption!$AA$83:$AJ$99,MATCH('County Scaled Consumption '!$B154,Production_Consumption!$AA$83:$AA$99,0),MATCH('County Scaled Consumption '!J$2,Production_Consumption!$AA$83:$AJ$83,0)))*'CA Population'!$L154*10^6</f>
        <v>18121.258652190256</v>
      </c>
      <c r="K154" s="143">
        <f>(INDEX(Production_Consumption!$AA$83:$AJ$99,MATCH('County Scaled Consumption '!$B154,Production_Consumption!$AA$83:$AA$99,0),MATCH('County Scaled Consumption '!K$2,Production_Consumption!$AA$83:$AJ$83,0)))*'CA Population'!$L154*10^6</f>
        <v>252709.42517299554</v>
      </c>
      <c r="L154" s="131">
        <f t="shared" si="2"/>
        <v>0</v>
      </c>
    </row>
    <row r="155" spans="1:12" x14ac:dyDescent="0.2">
      <c r="A155" s="132" t="s">
        <v>339</v>
      </c>
      <c r="B155" s="129">
        <v>2018</v>
      </c>
      <c r="C155" s="143">
        <f>(INDEX(Production_Consumption!$AA$83:$AJ$99,MATCH('County Scaled Consumption '!$B155,Production_Consumption!$AA$83:$AA$99,0),MATCH('County Scaled Consumption '!C$2,Production_Consumption!$AA$83:$AJ$83,0)))*'CA Population'!$L155*10^6</f>
        <v>777.42378210625645</v>
      </c>
      <c r="D155" s="143">
        <f>(INDEX(Production_Consumption!$AA$83:$AJ$99,MATCH('County Scaled Consumption '!$B155,Production_Consumption!$AA$83:$AA$99,0),MATCH('County Scaled Consumption '!D$2,Production_Consumption!$AA$83:$AJ$83,0)))*'CA Population'!$L155*10^6</f>
        <v>2986.1033052303733</v>
      </c>
      <c r="E155" s="143">
        <f>(INDEX(Production_Consumption!$AA$83:$AJ$99,MATCH('County Scaled Consumption '!$B155,Production_Consumption!$AA$83:$AA$99,0),MATCH('County Scaled Consumption '!E$2,Production_Consumption!$AA$83:$AJ$83,0)))*'CA Population'!$L155*10^6</f>
        <v>1813.2092506845763</v>
      </c>
      <c r="F155" s="143">
        <f>(INDEX(Production_Consumption!$AA$83:$AJ$99,MATCH('County Scaled Consumption '!$B155,Production_Consumption!$AA$83:$AA$99,0),MATCH('County Scaled Consumption '!F$2,Production_Consumption!$AA$83:$AJ$83,0)))*'CA Population'!$L155*10^6</f>
        <v>535.14211010355871</v>
      </c>
      <c r="G155" s="143">
        <f>(INDEX(Production_Consumption!$AA$83:$AJ$99,MATCH('County Scaled Consumption '!$B155,Production_Consumption!$AA$83:$AA$99,0),MATCH('County Scaled Consumption '!G$2,Production_Consumption!$AA$83:$AJ$83,0)))*'CA Population'!$L155*10^6</f>
        <v>2015.1680123370093</v>
      </c>
      <c r="H155" s="143">
        <f>(INDEX(Production_Consumption!$AA$83:$AJ$99,MATCH('County Scaled Consumption '!$B155,Production_Consumption!$AA$83:$AA$99,0),MATCH('County Scaled Consumption '!H$2,Production_Consumption!$AA$83:$AJ$83,0)))*'CA Population'!$L155*10^6</f>
        <v>54.819183380815751</v>
      </c>
      <c r="I155" s="143">
        <f>(INDEX(Production_Consumption!$AA$83:$AJ$99,MATCH('County Scaled Consumption '!$B155,Production_Consumption!$AA$83:$AA$99,0),MATCH('County Scaled Consumption '!I$2,Production_Consumption!$AA$83:$AJ$83,0)))*'CA Population'!$L155*10^6</f>
        <v>1046.3106661865916</v>
      </c>
      <c r="J155" s="143">
        <f>(INDEX(Production_Consumption!$AA$83:$AJ$99,MATCH('County Scaled Consumption '!$B155,Production_Consumption!$AA$83:$AA$99,0),MATCH('County Scaled Consumption '!J$2,Production_Consumption!$AA$83:$AJ$83,0)))*'CA Population'!$L155*10^6</f>
        <v>712.84997995507308</v>
      </c>
      <c r="K155" s="143">
        <f>(INDEX(Production_Consumption!$AA$83:$AJ$99,MATCH('County Scaled Consumption '!$B155,Production_Consumption!$AA$83:$AA$99,0),MATCH('County Scaled Consumption '!K$2,Production_Consumption!$AA$83:$AJ$83,0)))*'CA Population'!$L155*10^6</f>
        <v>9941.0262899842564</v>
      </c>
      <c r="L155" s="131">
        <f t="shared" si="2"/>
        <v>0</v>
      </c>
    </row>
    <row r="156" spans="1:12" x14ac:dyDescent="0.2">
      <c r="A156" s="132" t="s">
        <v>340</v>
      </c>
      <c r="B156" s="129">
        <v>2018</v>
      </c>
      <c r="C156" s="143">
        <f>(INDEX(Production_Consumption!$AA$83:$AJ$99,MATCH('County Scaled Consumption '!$B156,Production_Consumption!$AA$83:$AA$99,0),MATCH('County Scaled Consumption '!C$2,Production_Consumption!$AA$83:$AJ$83,0)))*'CA Population'!$L156*10^6</f>
        <v>27860.69186473226</v>
      </c>
      <c r="D156" s="143">
        <f>(INDEX(Production_Consumption!$AA$83:$AJ$99,MATCH('County Scaled Consumption '!$B156,Production_Consumption!$AA$83:$AA$99,0),MATCH('County Scaled Consumption '!D$2,Production_Consumption!$AA$83:$AJ$83,0)))*'CA Population'!$L156*10^6</f>
        <v>107013.58252494402</v>
      </c>
      <c r="E156" s="143">
        <f>(INDEX(Production_Consumption!$AA$83:$AJ$99,MATCH('County Scaled Consumption '!$B156,Production_Consumption!$AA$83:$AA$99,0),MATCH('County Scaled Consumption '!E$2,Production_Consumption!$AA$83:$AJ$83,0)))*'CA Population'!$L156*10^6</f>
        <v>64980.343259810987</v>
      </c>
      <c r="F156" s="143">
        <f>(INDEX(Production_Consumption!$AA$83:$AJ$99,MATCH('County Scaled Consumption '!$B156,Production_Consumption!$AA$83:$AA$99,0),MATCH('County Scaled Consumption '!F$2,Production_Consumption!$AA$83:$AJ$83,0)))*'CA Population'!$L156*10^6</f>
        <v>19177.995035145566</v>
      </c>
      <c r="G156" s="143">
        <f>(INDEX(Production_Consumption!$AA$83:$AJ$99,MATCH('County Scaled Consumption '!$B156,Production_Consumption!$AA$83:$AA$99,0),MATCH('County Scaled Consumption '!G$2,Production_Consumption!$AA$83:$AJ$83,0)))*'CA Population'!$L156*10^6</f>
        <v>72217.979871000105</v>
      </c>
      <c r="H156" s="143">
        <f>(INDEX(Production_Consumption!$AA$83:$AJ$99,MATCH('County Scaled Consumption '!$B156,Production_Consumption!$AA$83:$AA$99,0),MATCH('County Scaled Consumption '!H$2,Production_Consumption!$AA$83:$AJ$83,0)))*'CA Population'!$L156*10^6</f>
        <v>1964.5660598538411</v>
      </c>
      <c r="I156" s="143">
        <f>(INDEX(Production_Consumption!$AA$83:$AJ$99,MATCH('County Scaled Consumption '!$B156,Production_Consumption!$AA$83:$AA$99,0),MATCH('County Scaled Consumption '!I$2,Production_Consumption!$AA$83:$AJ$83,0)))*'CA Population'!$L156*10^6</f>
        <v>37496.845010876037</v>
      </c>
      <c r="J156" s="143">
        <f>(INDEX(Production_Consumption!$AA$83:$AJ$99,MATCH('County Scaled Consumption '!$B156,Production_Consumption!$AA$83:$AA$99,0),MATCH('County Scaled Consumption '!J$2,Production_Consumption!$AA$83:$AJ$83,0)))*'CA Population'!$L156*10^6</f>
        <v>25546.547577308844</v>
      </c>
      <c r="K156" s="143">
        <f>(INDEX(Production_Consumption!$AA$83:$AJ$99,MATCH('County Scaled Consumption '!$B156,Production_Consumption!$AA$83:$AA$99,0),MATCH('County Scaled Consumption '!K$2,Production_Consumption!$AA$83:$AJ$83,0)))*'CA Population'!$L156*10^6</f>
        <v>356258.55120367167</v>
      </c>
      <c r="L156" s="131">
        <f t="shared" si="2"/>
        <v>0</v>
      </c>
    </row>
    <row r="157" spans="1:12" x14ac:dyDescent="0.2">
      <c r="A157" s="132" t="s">
        <v>341</v>
      </c>
      <c r="B157" s="129">
        <v>2018</v>
      </c>
      <c r="C157" s="143">
        <f>(INDEX(Production_Consumption!$AA$83:$AJ$99,MATCH('County Scaled Consumption '!$B157,Production_Consumption!$AA$83:$AA$99,0),MATCH('County Scaled Consumption '!C$2,Production_Consumption!$AA$83:$AJ$83,0)))*'CA Population'!$L157*10^6</f>
        <v>43036.238896909126</v>
      </c>
      <c r="D157" s="143">
        <f>(INDEX(Production_Consumption!$AA$83:$AJ$99,MATCH('County Scaled Consumption '!$B157,Production_Consumption!$AA$83:$AA$99,0),MATCH('County Scaled Consumption '!D$2,Production_Consumption!$AA$83:$AJ$83,0)))*'CA Population'!$L157*10^6</f>
        <v>165303.22093642841</v>
      </c>
      <c r="E157" s="143">
        <f>(INDEX(Production_Consumption!$AA$83:$AJ$99,MATCH('County Scaled Consumption '!$B157,Production_Consumption!$AA$83:$AA$99,0),MATCH('County Scaled Consumption '!E$2,Production_Consumption!$AA$83:$AJ$83,0)))*'CA Population'!$L157*10^6</f>
        <v>100374.73547713202</v>
      </c>
      <c r="F157" s="143">
        <f>(INDEX(Production_Consumption!$AA$83:$AJ$99,MATCH('County Scaled Consumption '!$B157,Production_Consumption!$AA$83:$AA$99,0),MATCH('County Scaled Consumption '!F$2,Production_Consumption!$AA$83:$AJ$83,0)))*'CA Population'!$L157*10^6</f>
        <v>29624.130653447191</v>
      </c>
      <c r="G157" s="143">
        <f>(INDEX(Production_Consumption!$AA$83:$AJ$99,MATCH('County Scaled Consumption '!$B157,Production_Consumption!$AA$83:$AA$99,0),MATCH('County Scaled Consumption '!G$2,Production_Consumption!$AA$83:$AJ$83,0)))*'CA Population'!$L157*10^6</f>
        <v>111554.66811342241</v>
      </c>
      <c r="H157" s="143">
        <f>(INDEX(Production_Consumption!$AA$83:$AJ$99,MATCH('County Scaled Consumption '!$B157,Production_Consumption!$AA$83:$AA$99,0),MATCH('County Scaled Consumption '!H$2,Production_Consumption!$AA$83:$AJ$83,0)))*'CA Population'!$L157*10^6</f>
        <v>3034.65307649645</v>
      </c>
      <c r="I157" s="143">
        <f>(INDEX(Production_Consumption!$AA$83:$AJ$99,MATCH('County Scaled Consumption '!$B157,Production_Consumption!$AA$83:$AA$99,0),MATCH('County Scaled Consumption '!I$2,Production_Consumption!$AA$83:$AJ$83,0)))*'CA Population'!$L157*10^6</f>
        <v>57921.145232261231</v>
      </c>
      <c r="J157" s="143">
        <f>(INDEX(Production_Consumption!$AA$83:$AJ$99,MATCH('County Scaled Consumption '!$B157,Production_Consumption!$AA$83:$AA$99,0),MATCH('County Scaled Consumption '!J$2,Production_Consumption!$AA$83:$AJ$83,0)))*'CA Population'!$L157*10^6</f>
        <v>39461.594488256036</v>
      </c>
      <c r="K157" s="143">
        <f>(INDEX(Production_Consumption!$AA$83:$AJ$99,MATCH('County Scaled Consumption '!$B157,Production_Consumption!$AA$83:$AA$99,0),MATCH('County Scaled Consumption '!K$2,Production_Consumption!$AA$83:$AJ$83,0)))*'CA Population'!$L157*10^6</f>
        <v>550310.38687435293</v>
      </c>
      <c r="L157" s="131">
        <f t="shared" si="2"/>
        <v>0</v>
      </c>
    </row>
    <row r="158" spans="1:12" x14ac:dyDescent="0.2">
      <c r="A158" s="132" t="s">
        <v>342</v>
      </c>
      <c r="B158" s="129">
        <v>2018</v>
      </c>
      <c r="C158" s="143">
        <f>(INDEX(Production_Consumption!$AA$83:$AJ$99,MATCH('County Scaled Consumption '!$B158,Production_Consumption!$AA$83:$AA$99,0),MATCH('County Scaled Consumption '!C$2,Production_Consumption!$AA$83:$AJ$83,0)))*'CA Population'!$L158*10^6</f>
        <v>11477.425785778994</v>
      </c>
      <c r="D158" s="143">
        <f>(INDEX(Production_Consumption!$AA$83:$AJ$99,MATCH('County Scaled Consumption '!$B158,Production_Consumption!$AA$83:$AA$99,0),MATCH('County Scaled Consumption '!D$2,Production_Consumption!$AA$83:$AJ$83,0)))*'CA Population'!$L158*10^6</f>
        <v>44085.066424899574</v>
      </c>
      <c r="E158" s="143">
        <f>(INDEX(Production_Consumption!$AA$83:$AJ$99,MATCH('County Scaled Consumption '!$B158,Production_Consumption!$AA$83:$AA$99,0),MATCH('County Scaled Consumption '!E$2,Production_Consumption!$AA$83:$AJ$83,0)))*'CA Population'!$L158*10^6</f>
        <v>26769.150993088308</v>
      </c>
      <c r="F158" s="143">
        <f>(INDEX(Production_Consumption!$AA$83:$AJ$99,MATCH('County Scaled Consumption '!$B158,Production_Consumption!$AA$83:$AA$99,0),MATCH('County Scaled Consumption '!F$2,Production_Consumption!$AA$83:$AJ$83,0)))*'CA Population'!$L158*10^6</f>
        <v>7900.5222054286032</v>
      </c>
      <c r="G158" s="143">
        <f>(INDEX(Production_Consumption!$AA$83:$AJ$99,MATCH('County Scaled Consumption '!$B158,Production_Consumption!$AA$83:$AA$99,0),MATCH('County Scaled Consumption '!G$2,Production_Consumption!$AA$83:$AJ$83,0)))*'CA Population'!$L158*10^6</f>
        <v>29750.750928677644</v>
      </c>
      <c r="H158" s="143">
        <f>(INDEX(Production_Consumption!$AA$83:$AJ$99,MATCH('County Scaled Consumption '!$B158,Production_Consumption!$AA$83:$AA$99,0),MATCH('County Scaled Consumption '!H$2,Production_Consumption!$AA$83:$AJ$83,0)))*'CA Population'!$L158*10^6</f>
        <v>809.31806226160279</v>
      </c>
      <c r="I158" s="143">
        <f>(INDEX(Production_Consumption!$AA$83:$AJ$99,MATCH('County Scaled Consumption '!$B158,Production_Consumption!$AA$83:$AA$99,0),MATCH('County Scaled Consumption '!I$2,Production_Consumption!$AA$83:$AJ$83,0)))*'CA Population'!$L158*10^6</f>
        <v>15447.113011503201</v>
      </c>
      <c r="J158" s="143">
        <f>(INDEX(Production_Consumption!$AA$83:$AJ$99,MATCH('County Scaled Consumption '!$B158,Production_Consumption!$AA$83:$AA$99,0),MATCH('County Scaled Consumption '!J$2,Production_Consumption!$AA$83:$AJ$83,0)))*'CA Population'!$L158*10^6</f>
        <v>10524.096290393833</v>
      </c>
      <c r="K158" s="143">
        <f>(INDEX(Production_Consumption!$AA$83:$AJ$99,MATCH('County Scaled Consumption '!$B158,Production_Consumption!$AA$83:$AA$99,0),MATCH('County Scaled Consumption '!K$2,Production_Consumption!$AA$83:$AJ$83,0)))*'CA Population'!$L158*10^6</f>
        <v>146763.44370203177</v>
      </c>
      <c r="L158" s="131">
        <f t="shared" si="2"/>
        <v>0</v>
      </c>
    </row>
    <row r="159" spans="1:12" x14ac:dyDescent="0.2">
      <c r="A159" s="132" t="s">
        <v>343</v>
      </c>
      <c r="B159" s="129">
        <v>2018</v>
      </c>
      <c r="C159" s="143">
        <f>(INDEX(Production_Consumption!$AA$83:$AJ$99,MATCH('County Scaled Consumption '!$B159,Production_Consumption!$AA$83:$AA$99,0),MATCH('County Scaled Consumption '!C$2,Production_Consumption!$AA$83:$AJ$83,0)))*'CA Population'!$L159*10^6</f>
        <v>9757.0999787839228</v>
      </c>
      <c r="D159" s="143">
        <f>(INDEX(Production_Consumption!$AA$83:$AJ$99,MATCH('County Scaled Consumption '!$B159,Production_Consumption!$AA$83:$AA$99,0),MATCH('County Scaled Consumption '!D$2,Production_Consumption!$AA$83:$AJ$83,0)))*'CA Population'!$L159*10^6</f>
        <v>37477.253933720895</v>
      </c>
      <c r="E159" s="143">
        <f>(INDEX(Production_Consumption!$AA$83:$AJ$99,MATCH('County Scaled Consumption '!$B159,Production_Consumption!$AA$83:$AA$99,0),MATCH('County Scaled Consumption '!E$2,Production_Consumption!$AA$83:$AJ$83,0)))*'CA Population'!$L159*10^6</f>
        <v>22756.782527868738</v>
      </c>
      <c r="F159" s="143">
        <f>(INDEX(Production_Consumption!$AA$83:$AJ$99,MATCH('County Scaled Consumption '!$B159,Production_Consumption!$AA$83:$AA$99,0),MATCH('County Scaled Consumption '!F$2,Production_Consumption!$AA$83:$AJ$83,0)))*'CA Population'!$L159*10^6</f>
        <v>6716.3305153741276</v>
      </c>
      <c r="G159" s="143">
        <f>(INDEX(Production_Consumption!$AA$83:$AJ$99,MATCH('County Scaled Consumption '!$B159,Production_Consumption!$AA$83:$AA$99,0),MATCH('County Scaled Consumption '!G$2,Production_Consumption!$AA$83:$AJ$83,0)))*'CA Population'!$L159*10^6</f>
        <v>25291.477084929327</v>
      </c>
      <c r="H159" s="143">
        <f>(INDEX(Production_Consumption!$AA$83:$AJ$99,MATCH('County Scaled Consumption '!$B159,Production_Consumption!$AA$83:$AA$99,0),MATCH('County Scaled Consumption '!H$2,Production_Consumption!$AA$83:$AJ$83,0)))*'CA Population'!$L159*10^6</f>
        <v>688.01117911878293</v>
      </c>
      <c r="I159" s="143">
        <f>(INDEX(Production_Consumption!$AA$83:$AJ$99,MATCH('County Scaled Consumption '!$B159,Production_Consumption!$AA$83:$AA$99,0),MATCH('County Scaled Consumption '!I$2,Production_Consumption!$AA$83:$AJ$83,0)))*'CA Population'!$L159*10^6</f>
        <v>13131.779621137506</v>
      </c>
      <c r="J159" s="143">
        <f>(INDEX(Production_Consumption!$AA$83:$AJ$99,MATCH('County Scaled Consumption '!$B159,Production_Consumption!$AA$83:$AA$99,0),MATCH('County Scaled Consumption '!J$2,Production_Consumption!$AA$83:$AJ$83,0)))*'CA Population'!$L159*10^6</f>
        <v>8946.6629197421735</v>
      </c>
      <c r="K159" s="143">
        <f>(INDEX(Production_Consumption!$AA$83:$AJ$99,MATCH('County Scaled Consumption '!$B159,Production_Consumption!$AA$83:$AA$99,0),MATCH('County Scaled Consumption '!K$2,Production_Consumption!$AA$83:$AJ$83,0)))*'CA Population'!$L159*10^6</f>
        <v>124765.39776067548</v>
      </c>
      <c r="L159" s="131">
        <f t="shared" si="2"/>
        <v>0</v>
      </c>
    </row>
    <row r="160" spans="1:12" x14ac:dyDescent="0.2">
      <c r="A160" s="132" t="s">
        <v>344</v>
      </c>
      <c r="B160" s="129">
        <v>2018</v>
      </c>
      <c r="C160" s="143">
        <f>(INDEX(Production_Consumption!$AA$83:$AJ$99,MATCH('County Scaled Consumption '!$B160,Production_Consumption!$AA$83:$AA$99,0),MATCH('County Scaled Consumption '!C$2,Production_Consumption!$AA$83:$AJ$83,0)))*'CA Population'!$L160*10^6</f>
        <v>3605.6633558533495</v>
      </c>
      <c r="D160" s="143">
        <f>(INDEX(Production_Consumption!$AA$83:$AJ$99,MATCH('County Scaled Consumption '!$B160,Production_Consumption!$AA$83:$AA$99,0),MATCH('County Scaled Consumption '!D$2,Production_Consumption!$AA$83:$AJ$83,0)))*'CA Population'!$L160*10^6</f>
        <v>13849.439021908047</v>
      </c>
      <c r="E160" s="143">
        <f>(INDEX(Production_Consumption!$AA$83:$AJ$99,MATCH('County Scaled Consumption '!$B160,Production_Consumption!$AA$83:$AA$99,0),MATCH('County Scaled Consumption '!E$2,Production_Consumption!$AA$83:$AJ$83,0)))*'CA Population'!$L160*10^6</f>
        <v>8409.5988599357152</v>
      </c>
      <c r="F160" s="143">
        <f>(INDEX(Production_Consumption!$AA$83:$AJ$99,MATCH('County Scaled Consumption '!$B160,Production_Consumption!$AA$83:$AA$99,0),MATCH('County Scaled Consumption '!F$2,Production_Consumption!$AA$83:$AJ$83,0)))*'CA Population'!$L160*10^6</f>
        <v>2481.9697325785114</v>
      </c>
      <c r="G160" s="143">
        <f>(INDEX(Production_Consumption!$AA$83:$AJ$99,MATCH('County Scaled Consumption '!$B160,Production_Consumption!$AA$83:$AA$99,0),MATCH('County Scaled Consumption '!G$2,Production_Consumption!$AA$83:$AJ$83,0)))*'CA Population'!$L160*10^6</f>
        <v>9346.276284841364</v>
      </c>
      <c r="H160" s="143">
        <f>(INDEX(Production_Consumption!$AA$83:$AJ$99,MATCH('County Scaled Consumption '!$B160,Production_Consumption!$AA$83:$AA$99,0),MATCH('County Scaled Consumption '!H$2,Production_Consumption!$AA$83:$AJ$83,0)))*'CA Population'!$L160*10^6</f>
        <v>254.24938786731977</v>
      </c>
      <c r="I160" s="143">
        <f>(INDEX(Production_Consumption!$AA$83:$AJ$99,MATCH('County Scaled Consumption '!$B160,Production_Consumption!$AA$83:$AA$99,0),MATCH('County Scaled Consumption '!I$2,Production_Consumption!$AA$83:$AJ$83,0)))*'CA Population'!$L160*10^6</f>
        <v>4852.7509895392723</v>
      </c>
      <c r="J160" s="143">
        <f>(INDEX(Production_Consumption!$AA$83:$AJ$99,MATCH('County Scaled Consumption '!$B160,Production_Consumption!$AA$83:$AA$99,0),MATCH('County Scaled Consumption '!J$2,Production_Consumption!$AA$83:$AJ$83,0)))*'CA Population'!$L160*10^6</f>
        <v>3306.1723992815801</v>
      </c>
      <c r="K160" s="143">
        <f>(INDEX(Production_Consumption!$AA$83:$AJ$99,MATCH('County Scaled Consumption '!$B160,Production_Consumption!$AA$83:$AA$99,0),MATCH('County Scaled Consumption '!K$2,Production_Consumption!$AA$83:$AJ$83,0)))*'CA Population'!$L160*10^6</f>
        <v>46106.120031805163</v>
      </c>
      <c r="L160" s="131">
        <f t="shared" si="2"/>
        <v>0</v>
      </c>
    </row>
    <row r="161" spans="1:12" x14ac:dyDescent="0.2">
      <c r="A161" s="132" t="s">
        <v>345</v>
      </c>
      <c r="B161" s="129">
        <v>2018</v>
      </c>
      <c r="C161" s="143">
        <f>(INDEX(Production_Consumption!$AA$83:$AJ$99,MATCH('County Scaled Consumption '!$B161,Production_Consumption!$AA$83:$AA$99,0),MATCH('County Scaled Consumption '!C$2,Production_Consumption!$AA$83:$AJ$83,0)))*'CA Population'!$L161*10^6</f>
        <v>9989.9487293367656</v>
      </c>
      <c r="D161" s="143">
        <f>(INDEX(Production_Consumption!$AA$83:$AJ$99,MATCH('County Scaled Consumption '!$B161,Production_Consumption!$AA$83:$AA$99,0),MATCH('County Scaled Consumption '!D$2,Production_Consumption!$AA$83:$AJ$83,0)))*'CA Population'!$L161*10^6</f>
        <v>38371.631543009898</v>
      </c>
      <c r="E161" s="143">
        <f>(INDEX(Production_Consumption!$AA$83:$AJ$99,MATCH('County Scaled Consumption '!$B161,Production_Consumption!$AA$83:$AA$99,0),MATCH('County Scaled Consumption '!E$2,Production_Consumption!$AA$83:$AJ$83,0)))*'CA Population'!$L161*10^6</f>
        <v>23299.862786320435</v>
      </c>
      <c r="F161" s="143">
        <f>(INDEX(Production_Consumption!$AA$83:$AJ$99,MATCH('County Scaled Consumption '!$B161,Production_Consumption!$AA$83:$AA$99,0),MATCH('County Scaled Consumption '!F$2,Production_Consumption!$AA$83:$AJ$83,0)))*'CA Population'!$L161*10^6</f>
        <v>6876.6126865320894</v>
      </c>
      <c r="G161" s="143">
        <f>(INDEX(Production_Consumption!$AA$83:$AJ$99,MATCH('County Scaled Consumption '!$B161,Production_Consumption!$AA$83:$AA$99,0),MATCH('County Scaled Consumption '!G$2,Production_Consumption!$AA$83:$AJ$83,0)))*'CA Population'!$L161*10^6</f>
        <v>25895.046675449772</v>
      </c>
      <c r="H161" s="143">
        <f>(INDEX(Production_Consumption!$AA$83:$AJ$99,MATCH('County Scaled Consumption '!$B161,Production_Consumption!$AA$83:$AA$99,0),MATCH('County Scaled Consumption '!H$2,Production_Consumption!$AA$83:$AJ$83,0)))*'CA Population'!$L161*10^6</f>
        <v>704.43025279564858</v>
      </c>
      <c r="I161" s="143">
        <f>(INDEX(Production_Consumption!$AA$83:$AJ$99,MATCH('County Scaled Consumption '!$B161,Production_Consumption!$AA$83:$AA$99,0),MATCH('County Scaled Consumption '!I$2,Production_Consumption!$AA$83:$AJ$83,0)))*'CA Population'!$L161*10^6</f>
        <v>13445.163565543726</v>
      </c>
      <c r="J161" s="143">
        <f>(INDEX(Production_Consumption!$AA$83:$AJ$99,MATCH('County Scaled Consumption '!$B161,Production_Consumption!$AA$83:$AA$99,0),MATCH('County Scaled Consumption '!J$2,Production_Consumption!$AA$83:$AJ$83,0)))*'CA Population'!$L161*10^6</f>
        <v>9160.1709587096157</v>
      </c>
      <c r="K161" s="143">
        <f>(INDEX(Production_Consumption!$AA$83:$AJ$99,MATCH('County Scaled Consumption '!$B161,Production_Consumption!$AA$83:$AA$99,0),MATCH('County Scaled Consumption '!K$2,Production_Consumption!$AA$83:$AJ$83,0)))*'CA Population'!$L161*10^6</f>
        <v>127742.86719769795</v>
      </c>
      <c r="L161" s="131">
        <f t="shared" si="2"/>
        <v>0</v>
      </c>
    </row>
    <row r="162" spans="1:12" x14ac:dyDescent="0.2">
      <c r="A162" s="132" t="s">
        <v>346</v>
      </c>
      <c r="B162" s="129">
        <v>2018</v>
      </c>
      <c r="C162" s="143">
        <f>(INDEX(Production_Consumption!$AA$83:$AJ$99,MATCH('County Scaled Consumption '!$B162,Production_Consumption!$AA$83:$AA$99,0),MATCH('County Scaled Consumption '!C$2,Production_Consumption!$AA$83:$AJ$83,0)))*'CA Population'!$L162*10^6</f>
        <v>5818.9380926598042</v>
      </c>
      <c r="D162" s="143">
        <f>(INDEX(Production_Consumption!$AA$83:$AJ$99,MATCH('County Scaled Consumption '!$B162,Production_Consumption!$AA$83:$AA$99,0),MATCH('County Scaled Consumption '!D$2,Production_Consumption!$AA$83:$AJ$83,0)))*'CA Population'!$L162*10^6</f>
        <v>22350.680119851884</v>
      </c>
      <c r="E162" s="143">
        <f>(INDEX(Production_Consumption!$AA$83:$AJ$99,MATCH('County Scaled Consumption '!$B162,Production_Consumption!$AA$83:$AA$99,0),MATCH('County Scaled Consumption '!E$2,Production_Consumption!$AA$83:$AJ$83,0)))*'CA Population'!$L162*10^6</f>
        <v>13571.687182229192</v>
      </c>
      <c r="F162" s="143">
        <f>(INDEX(Production_Consumption!$AA$83:$AJ$99,MATCH('County Scaled Consumption '!$B162,Production_Consumption!$AA$83:$AA$99,0),MATCH('County Scaled Consumption '!F$2,Production_Consumption!$AA$83:$AJ$83,0)))*'CA Population'!$L162*10^6</f>
        <v>4005.4843717687263</v>
      </c>
      <c r="G162" s="143">
        <f>(INDEX(Production_Consumption!$AA$83:$AJ$99,MATCH('County Scaled Consumption '!$B162,Production_Consumption!$AA$83:$AA$99,0),MATCH('County Scaled Consumption '!G$2,Production_Consumption!$AA$83:$AJ$83,0)))*'CA Population'!$L162*10^6</f>
        <v>15083.328012333261</v>
      </c>
      <c r="H162" s="143">
        <f>(INDEX(Production_Consumption!$AA$83:$AJ$99,MATCH('County Scaled Consumption '!$B162,Production_Consumption!$AA$83:$AA$99,0),MATCH('County Scaled Consumption '!H$2,Production_Consumption!$AA$83:$AJ$83,0)))*'CA Population'!$L162*10^6</f>
        <v>410.31602290182235</v>
      </c>
      <c r="I162" s="143">
        <f>(INDEX(Production_Consumption!$AA$83:$AJ$99,MATCH('County Scaled Consumption '!$B162,Production_Consumption!$AA$83:$AA$99,0),MATCH('County Scaled Consumption '!I$2,Production_Consumption!$AA$83:$AJ$83,0)))*'CA Population'!$L162*10^6</f>
        <v>7831.5291252529041</v>
      </c>
      <c r="J162" s="143">
        <f>(INDEX(Production_Consumption!$AA$83:$AJ$99,MATCH('County Scaled Consumption '!$B162,Production_Consumption!$AA$83:$AA$99,0),MATCH('County Scaled Consumption '!J$2,Production_Consumption!$AA$83:$AJ$83,0)))*'CA Population'!$L162*10^6</f>
        <v>5335.6097384546065</v>
      </c>
      <c r="K162" s="143">
        <f>(INDEX(Production_Consumption!$AA$83:$AJ$99,MATCH('County Scaled Consumption '!$B162,Production_Consumption!$AA$83:$AA$99,0),MATCH('County Scaled Consumption '!K$2,Production_Consumption!$AA$83:$AJ$83,0)))*'CA Population'!$L162*10^6</f>
        <v>74407.5726654522</v>
      </c>
      <c r="L162" s="131">
        <f t="shared" si="2"/>
        <v>0</v>
      </c>
    </row>
    <row r="163" spans="1:12" x14ac:dyDescent="0.2">
      <c r="A163" s="132" t="s">
        <v>347</v>
      </c>
      <c r="B163" s="129">
        <v>2018</v>
      </c>
      <c r="C163" s="143">
        <f>(INDEX(Production_Consumption!$AA$83:$AJ$99,MATCH('County Scaled Consumption '!$B163,Production_Consumption!$AA$83:$AA$99,0),MATCH('County Scaled Consumption '!C$2,Production_Consumption!$AA$83:$AJ$83,0)))*'CA Population'!$L163*10^6</f>
        <v>25185.594176122544</v>
      </c>
      <c r="D163" s="143">
        <f>(INDEX(Production_Consumption!$AA$83:$AJ$99,MATCH('County Scaled Consumption '!$B163,Production_Consumption!$AA$83:$AA$99,0),MATCH('County Scaled Consumption '!D$2,Production_Consumption!$AA$83:$AJ$83,0)))*'CA Population'!$L163*10^6</f>
        <v>96738.468444783532</v>
      </c>
      <c r="E163" s="143">
        <f>(INDEX(Production_Consumption!$AA$83:$AJ$99,MATCH('County Scaled Consumption '!$B163,Production_Consumption!$AA$83:$AA$99,0),MATCH('County Scaled Consumption '!E$2,Production_Consumption!$AA$83:$AJ$83,0)))*'CA Population'!$L163*10^6</f>
        <v>58741.13115038634</v>
      </c>
      <c r="F163" s="143">
        <f>(INDEX(Production_Consumption!$AA$83:$AJ$99,MATCH('County Scaled Consumption '!$B163,Production_Consumption!$AA$83:$AA$99,0),MATCH('County Scaled Consumption '!F$2,Production_Consumption!$AA$83:$AJ$83,0)))*'CA Population'!$L163*10^6</f>
        <v>17336.583111860597</v>
      </c>
      <c r="G163" s="143">
        <f>(INDEX(Production_Consumption!$AA$83:$AJ$99,MATCH('County Scaled Consumption '!$B163,Production_Consumption!$AA$83:$AA$99,0),MATCH('County Scaled Consumption '!G$2,Production_Consumption!$AA$83:$AJ$83,0)))*'CA Population'!$L163*10^6</f>
        <v>65283.832220721291</v>
      </c>
      <c r="H163" s="143">
        <f>(INDEX(Production_Consumption!$AA$83:$AJ$99,MATCH('County Scaled Consumption '!$B163,Production_Consumption!$AA$83:$AA$99,0),MATCH('County Scaled Consumption '!H$2,Production_Consumption!$AA$83:$AJ$83,0)))*'CA Population'!$L163*10^6</f>
        <v>1775.9344870504133</v>
      </c>
      <c r="I163" s="143">
        <f>(INDEX(Production_Consumption!$AA$83:$AJ$99,MATCH('County Scaled Consumption '!$B163,Production_Consumption!$AA$83:$AA$99,0),MATCH('County Scaled Consumption '!I$2,Production_Consumption!$AA$83:$AJ$83,0)))*'CA Population'!$L163*10^6</f>
        <v>33896.513622633422</v>
      </c>
      <c r="J163" s="143">
        <f>(INDEX(Production_Consumption!$AA$83:$AJ$99,MATCH('County Scaled Consumption '!$B163,Production_Consumption!$AA$83:$AA$99,0),MATCH('County Scaled Consumption '!J$2,Production_Consumption!$AA$83:$AJ$83,0)))*'CA Population'!$L163*10^6</f>
        <v>23093.646884540143</v>
      </c>
      <c r="K163" s="143">
        <f>(INDEX(Production_Consumption!$AA$83:$AJ$99,MATCH('County Scaled Consumption '!$B163,Production_Consumption!$AA$83:$AA$99,0),MATCH('County Scaled Consumption '!K$2,Production_Consumption!$AA$83:$AJ$83,0)))*'CA Population'!$L163*10^6</f>
        <v>322051.70409809833</v>
      </c>
      <c r="L163" s="131">
        <f t="shared" si="2"/>
        <v>0</v>
      </c>
    </row>
    <row r="164" spans="1:12" x14ac:dyDescent="0.2">
      <c r="A164" s="132" t="s">
        <v>348</v>
      </c>
      <c r="B164" s="129">
        <v>2018</v>
      </c>
      <c r="C164" s="143">
        <f>(INDEX(Production_Consumption!$AA$83:$AJ$99,MATCH('County Scaled Consumption '!$B164,Production_Consumption!$AA$83:$AA$99,0),MATCH('County Scaled Consumption '!C$2,Production_Consumption!$AA$83:$AJ$83,0)))*'CA Population'!$L164*10^6</f>
        <v>3545.0052779782386</v>
      </c>
      <c r="D164" s="143">
        <f>(INDEX(Production_Consumption!$AA$83:$AJ$99,MATCH('County Scaled Consumption '!$B164,Production_Consumption!$AA$83:$AA$99,0),MATCH('County Scaled Consumption '!D$2,Production_Consumption!$AA$83:$AJ$83,0)))*'CA Population'!$L164*10^6</f>
        <v>13616.449896799144</v>
      </c>
      <c r="E164" s="143">
        <f>(INDEX(Production_Consumption!$AA$83:$AJ$99,MATCH('County Scaled Consumption '!$B164,Production_Consumption!$AA$83:$AA$99,0),MATCH('County Scaled Consumption '!E$2,Production_Consumption!$AA$83:$AJ$83,0)))*'CA Population'!$L164*10^6</f>
        <v>8268.1241707592235</v>
      </c>
      <c r="F164" s="143">
        <f>(INDEX(Production_Consumption!$AA$83:$AJ$99,MATCH('County Scaled Consumption '!$B164,Production_Consumption!$AA$83:$AA$99,0),MATCH('County Scaled Consumption '!F$2,Production_Consumption!$AA$83:$AJ$83,0)))*'CA Population'!$L164*10^6</f>
        <v>2440.2155535373613</v>
      </c>
      <c r="G164" s="143">
        <f>(INDEX(Production_Consumption!$AA$83:$AJ$99,MATCH('County Scaled Consumption '!$B164,Production_Consumption!$AA$83:$AA$99,0),MATCH('County Scaled Consumption '!G$2,Production_Consumption!$AA$83:$AJ$83,0)))*'CA Population'!$L164*10^6</f>
        <v>9189.0438705041051</v>
      </c>
      <c r="H164" s="143">
        <f>(INDEX(Production_Consumption!$AA$83:$AJ$99,MATCH('County Scaled Consumption '!$B164,Production_Consumption!$AA$83:$AA$99,0),MATCH('County Scaled Consumption '!H$2,Production_Consumption!$AA$83:$AJ$83,0)))*'CA Population'!$L164*10^6</f>
        <v>249.97215018679171</v>
      </c>
      <c r="I164" s="143">
        <f>(INDEX(Production_Consumption!$AA$83:$AJ$99,MATCH('County Scaled Consumption '!$B164,Production_Consumption!$AA$83:$AA$99,0),MATCH('County Scaled Consumption '!I$2,Production_Consumption!$AA$83:$AJ$83,0)))*'CA Population'!$L164*10^6</f>
        <v>4771.1131552821889</v>
      </c>
      <c r="J164" s="143">
        <f>(INDEX(Production_Consumption!$AA$83:$AJ$99,MATCH('County Scaled Consumption '!$B164,Production_Consumption!$AA$83:$AA$99,0),MATCH('County Scaled Consumption '!J$2,Production_Consumption!$AA$83:$AJ$83,0)))*'CA Population'!$L164*10^6</f>
        <v>3250.5526580379606</v>
      </c>
      <c r="K164" s="143">
        <f>(INDEX(Production_Consumption!$AA$83:$AJ$99,MATCH('County Scaled Consumption '!$B164,Production_Consumption!$AA$83:$AA$99,0),MATCH('County Scaled Consumption '!K$2,Production_Consumption!$AA$83:$AJ$83,0)))*'CA Population'!$L164*10^6</f>
        <v>45330.476733085008</v>
      </c>
      <c r="L164" s="131">
        <f t="shared" si="2"/>
        <v>0</v>
      </c>
    </row>
    <row r="165" spans="1:12" x14ac:dyDescent="0.2">
      <c r="A165" s="132" t="s">
        <v>349</v>
      </c>
      <c r="B165" s="129">
        <v>2018</v>
      </c>
      <c r="C165" s="143">
        <f>(INDEX(Production_Consumption!$AA$83:$AJ$99,MATCH('County Scaled Consumption '!$B165,Production_Consumption!$AA$83:$AA$99,0),MATCH('County Scaled Consumption '!C$2,Production_Consumption!$AA$83:$AJ$83,0)))*'CA Population'!$L165*10^6</f>
        <v>2310.5013034155036</v>
      </c>
      <c r="D165" s="143">
        <f>(INDEX(Production_Consumption!$AA$83:$AJ$99,MATCH('County Scaled Consumption '!$B165,Production_Consumption!$AA$83:$AA$99,0),MATCH('County Scaled Consumption '!D$2,Production_Consumption!$AA$83:$AJ$83,0)))*'CA Population'!$L165*10^6</f>
        <v>8874.6906612192215</v>
      </c>
      <c r="E165" s="143">
        <f>(INDEX(Production_Consumption!$AA$83:$AJ$99,MATCH('County Scaled Consumption '!$B165,Production_Consumption!$AA$83:$AA$99,0),MATCH('County Scaled Consumption '!E$2,Production_Consumption!$AA$83:$AJ$83,0)))*'CA Population'!$L165*10^6</f>
        <v>5388.8528155409085</v>
      </c>
      <c r="F165" s="143">
        <f>(INDEX(Production_Consumption!$AA$83:$AJ$99,MATCH('County Scaled Consumption '!$B165,Production_Consumption!$AA$83:$AA$99,0),MATCH('County Scaled Consumption '!F$2,Production_Consumption!$AA$83:$AJ$83,0)))*'CA Population'!$L165*10^6</f>
        <v>1590.4408526800134</v>
      </c>
      <c r="G165" s="143">
        <f>(INDEX(Production_Consumption!$AA$83:$AJ$99,MATCH('County Scaled Consumption '!$B165,Production_Consumption!$AA$83:$AA$99,0),MATCH('County Scaled Consumption '!G$2,Production_Consumption!$AA$83:$AJ$83,0)))*'CA Population'!$L165*10^6</f>
        <v>5989.0736896308536</v>
      </c>
      <c r="H165" s="143">
        <f>(INDEX(Production_Consumption!$AA$83:$AJ$99,MATCH('County Scaled Consumption '!$B165,Production_Consumption!$AA$83:$AA$99,0),MATCH('County Scaled Consumption '!H$2,Production_Consumption!$AA$83:$AJ$83,0)))*'CA Population'!$L165*10^6</f>
        <v>162.92245949872003</v>
      </c>
      <c r="I165" s="143">
        <f>(INDEX(Production_Consumption!$AA$83:$AJ$99,MATCH('County Scaled Consumption '!$B165,Production_Consumption!$AA$83:$AA$99,0),MATCH('County Scaled Consumption '!I$2,Production_Consumption!$AA$83:$AJ$83,0)))*'CA Population'!$L165*10^6</f>
        <v>3109.632369943688</v>
      </c>
      <c r="J165" s="143">
        <f>(INDEX(Production_Consumption!$AA$83:$AJ$99,MATCH('County Scaled Consumption '!$B165,Production_Consumption!$AA$83:$AA$99,0),MATCH('County Scaled Consumption '!J$2,Production_Consumption!$AA$83:$AJ$83,0)))*'CA Population'!$L165*10^6</f>
        <v>2118.5881442469154</v>
      </c>
      <c r="K165" s="143">
        <f>(INDEX(Production_Consumption!$AA$83:$AJ$99,MATCH('County Scaled Consumption '!$B165,Production_Consumption!$AA$83:$AA$99,0),MATCH('County Scaled Consumption '!K$2,Production_Consumption!$AA$83:$AJ$83,0)))*'CA Population'!$L165*10^6</f>
        <v>29544.702296175827</v>
      </c>
      <c r="L165" s="131">
        <f t="shared" si="2"/>
        <v>0</v>
      </c>
    </row>
    <row r="166" spans="1:12" x14ac:dyDescent="0.2">
      <c r="A166" s="132" t="s">
        <v>350</v>
      </c>
      <c r="B166" s="129">
        <v>2018</v>
      </c>
      <c r="C166" s="143">
        <f>(INDEX(Production_Consumption!$AA$83:$AJ$99,MATCH('County Scaled Consumption '!$B166,Production_Consumption!$AA$83:$AA$99,0),MATCH('County Scaled Consumption '!C$2,Production_Consumption!$AA$83:$AJ$83,0)))*'CA Population'!$L166*10^6</f>
        <v>41.661123770237261</v>
      </c>
      <c r="D166" s="143">
        <f>(INDEX(Production_Consumption!$AA$83:$AJ$99,MATCH('County Scaled Consumption '!$B166,Production_Consumption!$AA$83:$AA$99,0),MATCH('County Scaled Consumption '!D$2,Production_Consumption!$AA$83:$AJ$83,0)))*'CA Population'!$L166*10^6</f>
        <v>160.0213709090184</v>
      </c>
      <c r="E166" s="143">
        <f>(INDEX(Production_Consumption!$AA$83:$AJ$99,MATCH('County Scaled Consumption '!$B166,Production_Consumption!$AA$83:$AA$99,0),MATCH('County Scaled Consumption '!E$2,Production_Consumption!$AA$83:$AJ$83,0)))*'CA Population'!$L166*10^6</f>
        <v>97.167512433758574</v>
      </c>
      <c r="F166" s="143">
        <f>(INDEX(Production_Consumption!$AA$83:$AJ$99,MATCH('County Scaled Consumption '!$B166,Production_Consumption!$AA$83:$AA$99,0),MATCH('County Scaled Consumption '!F$2,Production_Consumption!$AA$83:$AJ$83,0)))*'CA Population'!$L166*10^6</f>
        <v>28.677565822964652</v>
      </c>
      <c r="G166" s="143">
        <f>(INDEX(Production_Consumption!$AA$83:$AJ$99,MATCH('County Scaled Consumption '!$B166,Production_Consumption!$AA$83:$AA$99,0),MATCH('County Scaled Consumption '!G$2,Production_Consumption!$AA$83:$AJ$83,0)))*'CA Population'!$L166*10^6</f>
        <v>107.99021834955971</v>
      </c>
      <c r="H166" s="143">
        <f>(INDEX(Production_Consumption!$AA$83:$AJ$99,MATCH('County Scaled Consumption '!$B166,Production_Consumption!$AA$83:$AA$99,0),MATCH('County Scaled Consumption '!H$2,Production_Consumption!$AA$83:$AJ$83,0)))*'CA Population'!$L166*10^6</f>
        <v>2.9376883449898759</v>
      </c>
      <c r="I166" s="143">
        <f>(INDEX(Production_Consumption!$AA$83:$AJ$99,MATCH('County Scaled Consumption '!$B166,Production_Consumption!$AA$83:$AA$99,0),MATCH('County Scaled Consumption '!I$2,Production_Consumption!$AA$83:$AJ$83,0)))*'CA Population'!$L166*10^6</f>
        <v>56.070420238522047</v>
      </c>
      <c r="J166" s="143">
        <f>(INDEX(Production_Consumption!$AA$83:$AJ$99,MATCH('County Scaled Consumption '!$B166,Production_Consumption!$AA$83:$AA$99,0),MATCH('County Scaled Consumption '!J$2,Production_Consumption!$AA$83:$AJ$83,0)))*'CA Population'!$L166*10^6</f>
        <v>38.200698162408912</v>
      </c>
      <c r="K166" s="143">
        <f>(INDEX(Production_Consumption!$AA$83:$AJ$99,MATCH('County Scaled Consumption '!$B166,Production_Consumption!$AA$83:$AA$99,0),MATCH('County Scaled Consumption '!K$2,Production_Consumption!$AA$83:$AJ$83,0)))*'CA Population'!$L166*10^6</f>
        <v>532.7265980314595</v>
      </c>
      <c r="L166" s="131">
        <f t="shared" si="2"/>
        <v>0</v>
      </c>
    </row>
    <row r="167" spans="1:12" x14ac:dyDescent="0.2">
      <c r="A167" s="132" t="s">
        <v>351</v>
      </c>
      <c r="B167" s="129">
        <v>2018</v>
      </c>
      <c r="C167" s="143">
        <f>(INDEX(Production_Consumption!$AA$83:$AJ$99,MATCH('County Scaled Consumption '!$B167,Production_Consumption!$AA$83:$AA$99,0),MATCH('County Scaled Consumption '!C$2,Production_Consumption!$AA$83:$AJ$83,0)))*'CA Population'!$L167*10^6</f>
        <v>577.87801385186026</v>
      </c>
      <c r="D167" s="143">
        <f>(INDEX(Production_Consumption!$AA$83:$AJ$99,MATCH('County Scaled Consumption '!$B167,Production_Consumption!$AA$83:$AA$99,0),MATCH('County Scaled Consumption '!D$2,Production_Consumption!$AA$83:$AJ$83,0)))*'CA Population'!$L167*10^6</f>
        <v>2219.643245937069</v>
      </c>
      <c r="E167" s="143">
        <f>(INDEX(Production_Consumption!$AA$83:$AJ$99,MATCH('County Scaled Consumption '!$B167,Production_Consumption!$AA$83:$AA$99,0),MATCH('County Scaled Consumption '!E$2,Production_Consumption!$AA$83:$AJ$83,0)))*'CA Population'!$L167*10^6</f>
        <v>1347.8025558268939</v>
      </c>
      <c r="F167" s="143">
        <f>(INDEX(Production_Consumption!$AA$83:$AJ$99,MATCH('County Scaled Consumption '!$B167,Production_Consumption!$AA$83:$AA$99,0),MATCH('County Scaled Consumption '!F$2,Production_Consumption!$AA$83:$AJ$83,0)))*'CA Population'!$L167*10^6</f>
        <v>397.78415174964499</v>
      </c>
      <c r="G167" s="143">
        <f>(INDEX(Production_Consumption!$AA$83:$AJ$99,MATCH('County Scaled Consumption '!$B167,Production_Consumption!$AA$83:$AA$99,0),MATCH('County Scaled Consumption '!G$2,Production_Consumption!$AA$83:$AJ$83,0)))*'CA Population'!$L167*10^6</f>
        <v>1497.9234175112335</v>
      </c>
      <c r="H167" s="143">
        <f>(INDEX(Production_Consumption!$AA$83:$AJ$99,MATCH('County Scaled Consumption '!$B167,Production_Consumption!$AA$83:$AA$99,0),MATCH('County Scaled Consumption '!H$2,Production_Consumption!$AA$83:$AJ$83,0)))*'CA Population'!$L167*10^6</f>
        <v>40.748432891080412</v>
      </c>
      <c r="I167" s="143">
        <f>(INDEX(Production_Consumption!$AA$83:$AJ$99,MATCH('County Scaled Consumption '!$B167,Production_Consumption!$AA$83:$AA$99,0),MATCH('County Scaled Consumption '!I$2,Production_Consumption!$AA$83:$AJ$83,0)))*'CA Population'!$L167*10^6</f>
        <v>777.74817746093015</v>
      </c>
      <c r="J167" s="143">
        <f>(INDEX(Production_Consumption!$AA$83:$AJ$99,MATCH('County Scaled Consumption '!$B167,Production_Consumption!$AA$83:$AA$99,0),MATCH('County Scaled Consumption '!J$2,Production_Consumption!$AA$83:$AJ$83,0)))*'CA Population'!$L167*10^6</f>
        <v>529.87873547515562</v>
      </c>
      <c r="K167" s="143">
        <f>(INDEX(Production_Consumption!$AA$83:$AJ$99,MATCH('County Scaled Consumption '!$B167,Production_Consumption!$AA$83:$AA$99,0),MATCH('County Scaled Consumption '!K$2,Production_Consumption!$AA$83:$AJ$83,0)))*'CA Population'!$L167*10^6</f>
        <v>7389.4067307038677</v>
      </c>
      <c r="L167" s="131">
        <f t="shared" si="2"/>
        <v>0</v>
      </c>
    </row>
    <row r="168" spans="1:12" x14ac:dyDescent="0.2">
      <c r="A168" s="132" t="s">
        <v>352</v>
      </c>
      <c r="B168" s="129">
        <v>2018</v>
      </c>
      <c r="C168" s="143">
        <f>(INDEX(Production_Consumption!$AA$83:$AJ$99,MATCH('County Scaled Consumption '!$B168,Production_Consumption!$AA$83:$AA$99,0),MATCH('County Scaled Consumption '!C$2,Production_Consumption!$AA$83:$AJ$83,0)))*'CA Population'!$L168*10^6</f>
        <v>5660.3796135143539</v>
      </c>
      <c r="D168" s="143">
        <f>(INDEX(Production_Consumption!$AA$83:$AJ$99,MATCH('County Scaled Consumption '!$B168,Production_Consumption!$AA$83:$AA$99,0),MATCH('County Scaled Consumption '!D$2,Production_Consumption!$AA$83:$AJ$83,0)))*'CA Population'!$L168*10^6</f>
        <v>21741.653216448227</v>
      </c>
      <c r="E168" s="143">
        <f>(INDEX(Production_Consumption!$AA$83:$AJ$99,MATCH('County Scaled Consumption '!$B168,Production_Consumption!$AA$83:$AA$99,0),MATCH('County Scaled Consumption '!E$2,Production_Consumption!$AA$83:$AJ$83,0)))*'CA Population'!$L168*10^6</f>
        <v>13201.876394627492</v>
      </c>
      <c r="F168" s="143">
        <f>(INDEX(Production_Consumption!$AA$83:$AJ$99,MATCH('County Scaled Consumption '!$B168,Production_Consumption!$AA$83:$AA$99,0),MATCH('County Scaled Consumption '!F$2,Production_Consumption!$AA$83:$AJ$83,0)))*'CA Population'!$L168*10^6</f>
        <v>3896.3401430253989</v>
      </c>
      <c r="G168" s="143">
        <f>(INDEX(Production_Consumption!$AA$83:$AJ$99,MATCH('County Scaled Consumption '!$B168,Production_Consumption!$AA$83:$AA$99,0),MATCH('County Scaled Consumption '!G$2,Production_Consumption!$AA$83:$AJ$83,0)))*'CA Population'!$L168*10^6</f>
        <v>14672.32698224766</v>
      </c>
      <c r="H168" s="143">
        <f>(INDEX(Production_Consumption!$AA$83:$AJ$99,MATCH('County Scaled Consumption '!$B168,Production_Consumption!$AA$83:$AA$99,0),MATCH('County Scaled Consumption '!H$2,Production_Consumption!$AA$83:$AJ$83,0)))*'CA Population'!$L168*10^6</f>
        <v>399.13544604667578</v>
      </c>
      <c r="I168" s="143">
        <f>(INDEX(Production_Consumption!$AA$83:$AJ$99,MATCH('County Scaled Consumption '!$B168,Production_Consumption!$AA$83:$AA$99,0),MATCH('County Scaled Consumption '!I$2,Production_Consumption!$AA$83:$AJ$83,0)))*'CA Population'!$L168*10^6</f>
        <v>7618.1301634990759</v>
      </c>
      <c r="J168" s="143">
        <f>(INDEX(Production_Consumption!$AA$83:$AJ$99,MATCH('County Scaled Consumption '!$B168,Production_Consumption!$AA$83:$AA$99,0),MATCH('County Scaled Consumption '!J$2,Production_Consumption!$AA$83:$AJ$83,0)))*'CA Population'!$L168*10^6</f>
        <v>5190.2213270346256</v>
      </c>
      <c r="K168" s="143">
        <f>(INDEX(Production_Consumption!$AA$83:$AJ$99,MATCH('County Scaled Consumption '!$B168,Production_Consumption!$AA$83:$AA$99,0),MATCH('County Scaled Consumption '!K$2,Production_Consumption!$AA$83:$AJ$83,0)))*'CA Population'!$L168*10^6</f>
        <v>72380.063286443517</v>
      </c>
      <c r="L168" s="131">
        <f t="shared" si="2"/>
        <v>0</v>
      </c>
    </row>
    <row r="169" spans="1:12" x14ac:dyDescent="0.2">
      <c r="A169" s="132" t="s">
        <v>353</v>
      </c>
      <c r="B169" s="129">
        <v>2018</v>
      </c>
      <c r="C169" s="143">
        <f>(INDEX(Production_Consumption!$AA$83:$AJ$99,MATCH('County Scaled Consumption '!$B169,Production_Consumption!$AA$83:$AA$99,0),MATCH('County Scaled Consumption '!C$2,Production_Consumption!$AA$83:$AJ$83,0)))*'CA Population'!$L169*10^6</f>
        <v>6485.464239548116</v>
      </c>
      <c r="D169" s="143">
        <f>(INDEX(Production_Consumption!$AA$83:$AJ$99,MATCH('County Scaled Consumption '!$B169,Production_Consumption!$AA$83:$AA$99,0),MATCH('County Scaled Consumption '!D$2,Production_Consumption!$AA$83:$AJ$83,0)))*'CA Population'!$L169*10^6</f>
        <v>24910.822960933143</v>
      </c>
      <c r="E169" s="143">
        <f>(INDEX(Production_Consumption!$AA$83:$AJ$99,MATCH('County Scaled Consumption '!$B169,Production_Consumption!$AA$83:$AA$99,0),MATCH('County Scaled Consumption '!E$2,Production_Consumption!$AA$83:$AJ$83,0)))*'CA Population'!$L169*10^6</f>
        <v>15126.246488463346</v>
      </c>
      <c r="F169" s="143">
        <f>(INDEX(Production_Consumption!$AA$83:$AJ$99,MATCH('County Scaled Consumption '!$B169,Production_Consumption!$AA$83:$AA$99,0),MATCH('County Scaled Consumption '!F$2,Production_Consumption!$AA$83:$AJ$83,0)))*'CA Population'!$L169*10^6</f>
        <v>4464.2897452275156</v>
      </c>
      <c r="G169" s="143">
        <f>(INDEX(Production_Consumption!$AA$83:$AJ$99,MATCH('County Scaled Consumption '!$B169,Production_Consumption!$AA$83:$AA$99,0),MATCH('County Scaled Consumption '!G$2,Production_Consumption!$AA$83:$AJ$83,0)))*'CA Population'!$L169*10^6</f>
        <v>16811.037147956264</v>
      </c>
      <c r="H169" s="143">
        <f>(INDEX(Production_Consumption!$AA$83:$AJ$99,MATCH('County Scaled Consumption '!$B169,Production_Consumption!$AA$83:$AA$99,0),MATCH('County Scaled Consumption '!H$2,Production_Consumption!$AA$83:$AJ$83,0)))*'CA Population'!$L169*10^6</f>
        <v>457.31538144393716</v>
      </c>
      <c r="I169" s="143">
        <f>(INDEX(Production_Consumption!$AA$83:$AJ$99,MATCH('County Scaled Consumption '!$B169,Production_Consumption!$AA$83:$AA$99,0),MATCH('County Scaled Consumption '!I$2,Production_Consumption!$AA$83:$AJ$83,0)))*'CA Population'!$L169*10^6</f>
        <v>8728.5860880487398</v>
      </c>
      <c r="J169" s="143">
        <f>(INDEX(Production_Consumption!$AA$83:$AJ$99,MATCH('County Scaled Consumption '!$B169,Production_Consumption!$AA$83:$AA$99,0),MATCH('County Scaled Consumption '!J$2,Production_Consumption!$AA$83:$AJ$83,0)))*'CA Population'!$L169*10^6</f>
        <v>5946.7733809683423</v>
      </c>
      <c r="K169" s="143">
        <f>(INDEX(Production_Consumption!$AA$83:$AJ$99,MATCH('County Scaled Consumption '!$B169,Production_Consumption!$AA$83:$AA$99,0),MATCH('County Scaled Consumption '!K$2,Production_Consumption!$AA$83:$AJ$83,0)))*'CA Population'!$L169*10^6</f>
        <v>82930.535432589415</v>
      </c>
      <c r="L169" s="131">
        <f t="shared" si="2"/>
        <v>0</v>
      </c>
    </row>
    <row r="170" spans="1:12" x14ac:dyDescent="0.2">
      <c r="A170" s="132" t="s">
        <v>354</v>
      </c>
      <c r="B170" s="129">
        <v>2018</v>
      </c>
      <c r="C170" s="143">
        <f>(INDEX(Production_Consumption!$AA$83:$AJ$99,MATCH('County Scaled Consumption '!$B170,Production_Consumption!$AA$83:$AA$99,0),MATCH('County Scaled Consumption '!C$2,Production_Consumption!$AA$83:$AJ$83,0)))*'CA Population'!$L170*10^6</f>
        <v>7130.8423447589712</v>
      </c>
      <c r="D170" s="143">
        <f>(INDEX(Production_Consumption!$AA$83:$AJ$99,MATCH('County Scaled Consumption '!$B170,Production_Consumption!$AA$83:$AA$99,0),MATCH('County Scaled Consumption '!D$2,Production_Consumption!$AA$83:$AJ$83,0)))*'CA Population'!$L170*10^6</f>
        <v>27389.735669098856</v>
      </c>
      <c r="E170" s="143">
        <f>(INDEX(Production_Consumption!$AA$83:$AJ$99,MATCH('County Scaled Consumption '!$B170,Production_Consumption!$AA$83:$AA$99,0),MATCH('County Scaled Consumption '!E$2,Production_Consumption!$AA$83:$AJ$83,0)))*'CA Population'!$L170*10^6</f>
        <v>16631.481570656477</v>
      </c>
      <c r="F170" s="143">
        <f>(INDEX(Production_Consumption!$AA$83:$AJ$99,MATCH('County Scaled Consumption '!$B170,Production_Consumption!$AA$83:$AA$99,0),MATCH('County Scaled Consumption '!F$2,Production_Consumption!$AA$83:$AJ$83,0)))*'CA Population'!$L170*10^6</f>
        <v>4908.5377975593765</v>
      </c>
      <c r="G170" s="143">
        <f>(INDEX(Production_Consumption!$AA$83:$AJ$99,MATCH('County Scaled Consumption '!$B170,Production_Consumption!$AA$83:$AA$99,0),MATCH('County Scaled Consumption '!G$2,Production_Consumption!$AA$83:$AJ$83,0)))*'CA Population'!$L170*10^6</f>
        <v>18483.928231838523</v>
      </c>
      <c r="H170" s="143">
        <f>(INDEX(Production_Consumption!$AA$83:$AJ$99,MATCH('County Scaled Consumption '!$B170,Production_Consumption!$AA$83:$AA$99,0),MATCH('County Scaled Consumption '!H$2,Production_Consumption!$AA$83:$AJ$83,0)))*'CA Population'!$L170*10^6</f>
        <v>502.82350907500273</v>
      </c>
      <c r="I170" s="143">
        <f>(INDEX(Production_Consumption!$AA$83:$AJ$99,MATCH('County Scaled Consumption '!$B170,Production_Consumption!$AA$83:$AA$99,0),MATCH('County Scaled Consumption '!I$2,Production_Consumption!$AA$83:$AJ$83,0)))*'CA Population'!$L170*10^6</f>
        <v>9597.1805544746676</v>
      </c>
      <c r="J170" s="143">
        <f>(INDEX(Production_Consumption!$AA$83:$AJ$99,MATCH('County Scaled Consumption '!$B170,Production_Consumption!$AA$83:$AA$99,0),MATCH('County Scaled Consumption '!J$2,Production_Consumption!$AA$83:$AJ$83,0)))*'CA Population'!$L170*10^6</f>
        <v>6538.5455648814414</v>
      </c>
      <c r="K170" s="143">
        <f>(INDEX(Production_Consumption!$AA$83:$AJ$99,MATCH('County Scaled Consumption '!$B170,Production_Consumption!$AA$83:$AA$99,0),MATCH('County Scaled Consumption '!K$2,Production_Consumption!$AA$83:$AJ$83,0)))*'CA Population'!$L170*10^6</f>
        <v>91183.07524234333</v>
      </c>
      <c r="L170" s="131">
        <f t="shared" si="2"/>
        <v>0</v>
      </c>
    </row>
    <row r="171" spans="1:12" x14ac:dyDescent="0.2">
      <c r="A171" s="132" t="s">
        <v>355</v>
      </c>
      <c r="B171" s="129">
        <v>2018</v>
      </c>
      <c r="C171" s="143">
        <f>(INDEX(Production_Consumption!$AA$83:$AJ$99,MATCH('County Scaled Consumption '!$B171,Production_Consumption!$AA$83:$AA$99,0),MATCH('County Scaled Consumption '!C$2,Production_Consumption!$AA$83:$AJ$83,0)))*'CA Population'!$L171*10^6</f>
        <v>1302.4964835588269</v>
      </c>
      <c r="D171" s="143">
        <f>(INDEX(Production_Consumption!$AA$83:$AJ$99,MATCH('County Scaled Consumption '!$B171,Production_Consumption!$AA$83:$AA$99,0),MATCH('County Scaled Consumption '!D$2,Production_Consumption!$AA$83:$AJ$83,0)))*'CA Population'!$L171*10^6</f>
        <v>5002.9200857073329</v>
      </c>
      <c r="E171" s="143">
        <f>(INDEX(Production_Consumption!$AA$83:$AJ$99,MATCH('County Scaled Consumption '!$B171,Production_Consumption!$AA$83:$AA$99,0),MATCH('County Scaled Consumption '!E$2,Production_Consumption!$AA$83:$AJ$83,0)))*'CA Population'!$L171*10^6</f>
        <v>3037.8523622913876</v>
      </c>
      <c r="F171" s="143">
        <f>(INDEX(Production_Consumption!$AA$83:$AJ$99,MATCH('County Scaled Consumption '!$B171,Production_Consumption!$AA$83:$AA$99,0),MATCH('County Scaled Consumption '!F$2,Production_Consumption!$AA$83:$AJ$83,0)))*'CA Population'!$L171*10^6</f>
        <v>896.57755867168555</v>
      </c>
      <c r="G171" s="143">
        <f>(INDEX(Production_Consumption!$AA$83:$AJ$99,MATCH('County Scaled Consumption '!$B171,Production_Consumption!$AA$83:$AA$99,0),MATCH('County Scaled Consumption '!G$2,Production_Consumption!$AA$83:$AJ$83,0)))*'CA Population'!$L171*10^6</f>
        <v>3376.2142479588319</v>
      </c>
      <c r="H171" s="143">
        <f>(INDEX(Production_Consumption!$AA$83:$AJ$99,MATCH('County Scaled Consumption '!$B171,Production_Consumption!$AA$83:$AA$99,0),MATCH('County Scaled Consumption '!H$2,Production_Consumption!$AA$83:$AJ$83,0)))*'CA Population'!$L171*10^6</f>
        <v>91.844107716426876</v>
      </c>
      <c r="I171" s="143">
        <f>(INDEX(Production_Consumption!$AA$83:$AJ$99,MATCH('County Scaled Consumption '!$B171,Production_Consumption!$AA$83:$AA$99,0),MATCH('County Scaled Consumption '!I$2,Production_Consumption!$AA$83:$AJ$83,0)))*'CA Population'!$L171*10^6</f>
        <v>1752.9898039983841</v>
      </c>
      <c r="J171" s="143">
        <f>(INDEX(Production_Consumption!$AA$83:$AJ$99,MATCH('County Scaled Consumption '!$B171,Production_Consumption!$AA$83:$AA$99,0),MATCH('County Scaled Consumption '!J$2,Production_Consumption!$AA$83:$AJ$83,0)))*'CA Population'!$L171*10^6</f>
        <v>1194.3094790346406</v>
      </c>
      <c r="K171" s="143">
        <f>(INDEX(Production_Consumption!$AA$83:$AJ$99,MATCH('County Scaled Consumption '!$B171,Production_Consumption!$AA$83:$AA$99,0),MATCH('County Scaled Consumption '!K$2,Production_Consumption!$AA$83:$AJ$83,0)))*'CA Population'!$L171*10^6</f>
        <v>16655.204128937516</v>
      </c>
      <c r="L171" s="131">
        <f t="shared" si="2"/>
        <v>0</v>
      </c>
    </row>
    <row r="172" spans="1:12" x14ac:dyDescent="0.2">
      <c r="A172" s="132" t="s">
        <v>356</v>
      </c>
      <c r="B172" s="129">
        <v>2018</v>
      </c>
      <c r="C172" s="143">
        <f>(INDEX(Production_Consumption!$AA$83:$AJ$99,MATCH('County Scaled Consumption '!$B172,Production_Consumption!$AA$83:$AA$99,0),MATCH('County Scaled Consumption '!C$2,Production_Consumption!$AA$83:$AJ$83,0)))*'CA Population'!$L172*10^6</f>
        <v>833.90926842490774</v>
      </c>
      <c r="D172" s="143">
        <f>(INDEX(Production_Consumption!$AA$83:$AJ$99,MATCH('County Scaled Consumption '!$B172,Production_Consumption!$AA$83:$AA$99,0),MATCH('County Scaled Consumption '!D$2,Production_Consumption!$AA$83:$AJ$83,0)))*'CA Population'!$L172*10^6</f>
        <v>3203.0654065654926</v>
      </c>
      <c r="E172" s="143">
        <f>(INDEX(Production_Consumption!$AA$83:$AJ$99,MATCH('County Scaled Consumption '!$B172,Production_Consumption!$AA$83:$AA$99,0),MATCH('County Scaled Consumption '!E$2,Production_Consumption!$AA$83:$AJ$83,0)))*'CA Population'!$L172*10^6</f>
        <v>1944.9520770294448</v>
      </c>
      <c r="F172" s="143">
        <f>(INDEX(Production_Consumption!$AA$83:$AJ$99,MATCH('County Scaled Consumption '!$B172,Production_Consumption!$AA$83:$AA$99,0),MATCH('County Scaled Consumption '!F$2,Production_Consumption!$AA$83:$AJ$83,0)))*'CA Population'!$L172*10^6</f>
        <v>574.02407259883171</v>
      </c>
      <c r="G172" s="143">
        <f>(INDEX(Production_Consumption!$AA$83:$AJ$99,MATCH('County Scaled Consumption '!$B172,Production_Consumption!$AA$83:$AA$99,0),MATCH('County Scaled Consumption '!G$2,Production_Consumption!$AA$83:$AJ$83,0)))*'CA Population'!$L172*10^6</f>
        <v>2161.5846100930689</v>
      </c>
      <c r="H172" s="143">
        <f>(INDEX(Production_Consumption!$AA$83:$AJ$99,MATCH('County Scaled Consumption '!$B172,Production_Consumption!$AA$83:$AA$99,0),MATCH('County Scaled Consumption '!H$2,Production_Consumption!$AA$83:$AJ$83,0)))*'CA Population'!$L172*10^6</f>
        <v>58.80219535462939</v>
      </c>
      <c r="I172" s="143">
        <f>(INDEX(Production_Consumption!$AA$83:$AJ$99,MATCH('County Scaled Consumption '!$B172,Production_Consumption!$AA$83:$AA$99,0),MATCH('County Scaled Consumption '!I$2,Production_Consumption!$AA$83:$AJ$83,0)))*'CA Population'!$L172*10^6</f>
        <v>1122.3327382922578</v>
      </c>
      <c r="J172" s="143">
        <f>(INDEX(Production_Consumption!$AA$83:$AJ$99,MATCH('County Scaled Consumption '!$B172,Production_Consumption!$AA$83:$AA$99,0),MATCH('County Scaled Consumption '!J$2,Production_Consumption!$AA$83:$AJ$83,0)))*'CA Population'!$L172*10^6</f>
        <v>764.64371037185083</v>
      </c>
      <c r="K172" s="143">
        <f>(INDEX(Production_Consumption!$AA$83:$AJ$99,MATCH('County Scaled Consumption '!$B172,Production_Consumption!$AA$83:$AA$99,0),MATCH('County Scaled Consumption '!K$2,Production_Consumption!$AA$83:$AJ$83,0)))*'CA Population'!$L172*10^6</f>
        <v>10663.314078730484</v>
      </c>
      <c r="L172" s="131">
        <f t="shared" si="2"/>
        <v>0</v>
      </c>
    </row>
    <row r="173" spans="1:12" x14ac:dyDescent="0.2">
      <c r="A173" s="132" t="s">
        <v>357</v>
      </c>
      <c r="B173" s="129">
        <v>2018</v>
      </c>
      <c r="C173" s="143">
        <f>(INDEX(Production_Consumption!$AA$83:$AJ$99,MATCH('County Scaled Consumption '!$B173,Production_Consumption!$AA$83:$AA$99,0),MATCH('County Scaled Consumption '!C$2,Production_Consumption!$AA$83:$AJ$83,0)))*'CA Population'!$L173*10^6</f>
        <v>176.73905664145133</v>
      </c>
      <c r="D173" s="143">
        <f>(INDEX(Production_Consumption!$AA$83:$AJ$99,MATCH('County Scaled Consumption '!$B173,Production_Consumption!$AA$83:$AA$99,0),MATCH('County Scaled Consumption '!D$2,Production_Consumption!$AA$83:$AJ$83,0)))*'CA Population'!$L173*10^6</f>
        <v>678.85893556084034</v>
      </c>
      <c r="E173" s="143">
        <f>(INDEX(Production_Consumption!$AA$83:$AJ$99,MATCH('County Scaled Consumption '!$B173,Production_Consumption!$AA$83:$AA$99,0),MATCH('County Scaled Consumption '!E$2,Production_Consumption!$AA$83:$AJ$83,0)))*'CA Population'!$L173*10^6</f>
        <v>412.21390422520471</v>
      </c>
      <c r="F173" s="143">
        <f>(INDEX(Production_Consumption!$AA$83:$AJ$99,MATCH('County Scaled Consumption '!$B173,Production_Consumption!$AA$83:$AA$99,0),MATCH('County Scaled Consumption '!F$2,Production_Consumption!$AA$83:$AJ$83,0)))*'CA Population'!$L173*10^6</f>
        <v>121.65888655036231</v>
      </c>
      <c r="G173" s="143">
        <f>(INDEX(Production_Consumption!$AA$83:$AJ$99,MATCH('County Scaled Consumption '!$B173,Production_Consumption!$AA$83:$AA$99,0),MATCH('County Scaled Consumption '!G$2,Production_Consumption!$AA$83:$AJ$83,0)))*'CA Population'!$L173*10^6</f>
        <v>458.12708804654579</v>
      </c>
      <c r="H173" s="143">
        <f>(INDEX(Production_Consumption!$AA$83:$AJ$99,MATCH('County Scaled Consumption '!$B173,Production_Consumption!$AA$83:$AA$99,0),MATCH('County Scaled Consumption '!H$2,Production_Consumption!$AA$83:$AJ$83,0)))*'CA Population'!$L173*10^6</f>
        <v>12.462560291544921</v>
      </c>
      <c r="I173" s="143">
        <f>(INDEX(Production_Consumption!$AA$83:$AJ$99,MATCH('County Scaled Consumption '!$B173,Production_Consumption!$AA$83:$AA$99,0),MATCH('County Scaled Consumption '!I$2,Production_Consumption!$AA$83:$AJ$83,0)))*'CA Population'!$L173*10^6</f>
        <v>237.86763969928526</v>
      </c>
      <c r="J173" s="143">
        <f>(INDEX(Production_Consumption!$AA$83:$AJ$99,MATCH('County Scaled Consumption '!$B173,Production_Consumption!$AA$83:$AA$99,0),MATCH('County Scaled Consumption '!J$2,Production_Consumption!$AA$83:$AJ$83,0)))*'CA Population'!$L173*10^6</f>
        <v>162.05888716550393</v>
      </c>
      <c r="K173" s="143">
        <f>(INDEX(Production_Consumption!$AA$83:$AJ$99,MATCH('County Scaled Consumption '!$B173,Production_Consumption!$AA$83:$AA$99,0),MATCH('County Scaled Consumption '!K$2,Production_Consumption!$AA$83:$AJ$83,0)))*'CA Population'!$L173*10^6</f>
        <v>2259.9869581807384</v>
      </c>
      <c r="L173" s="131">
        <f t="shared" si="2"/>
        <v>0</v>
      </c>
    </row>
    <row r="174" spans="1:12" x14ac:dyDescent="0.2">
      <c r="A174" s="132" t="s">
        <v>358</v>
      </c>
      <c r="B174" s="129">
        <v>2018</v>
      </c>
      <c r="C174" s="143">
        <f>(INDEX(Production_Consumption!$AA$83:$AJ$99,MATCH('County Scaled Consumption '!$B174,Production_Consumption!$AA$83:$AA$99,0),MATCH('County Scaled Consumption '!C$2,Production_Consumption!$AA$83:$AJ$83,0)))*'CA Population'!$L174*10^6</f>
        <v>6120.8548959950331</v>
      </c>
      <c r="D174" s="143">
        <f>(INDEX(Production_Consumption!$AA$83:$AJ$99,MATCH('County Scaled Consumption '!$B174,Production_Consumption!$AA$83:$AA$99,0),MATCH('County Scaled Consumption '!D$2,Production_Consumption!$AA$83:$AJ$83,0)))*'CA Population'!$L174*10^6</f>
        <v>23510.349768626136</v>
      </c>
      <c r="E174" s="143">
        <f>(INDEX(Production_Consumption!$AA$83:$AJ$99,MATCH('County Scaled Consumption '!$B174,Production_Consumption!$AA$83:$AA$99,0),MATCH('County Scaled Consumption '!E$2,Production_Consumption!$AA$83:$AJ$83,0)))*'CA Population'!$L174*10^6</f>
        <v>14275.856971403111</v>
      </c>
      <c r="F174" s="143">
        <f>(INDEX(Production_Consumption!$AA$83:$AJ$99,MATCH('County Scaled Consumption '!$B174,Production_Consumption!$AA$83:$AA$99,0),MATCH('County Scaled Consumption '!F$2,Production_Consumption!$AA$83:$AJ$83,0)))*'CA Population'!$L174*10^6</f>
        <v>4213.3097546953995</v>
      </c>
      <c r="G174" s="143">
        <f>(INDEX(Production_Consumption!$AA$83:$AJ$99,MATCH('County Scaled Consumption '!$B174,Production_Consumption!$AA$83:$AA$99,0),MATCH('County Scaled Consumption '!G$2,Production_Consumption!$AA$83:$AJ$83,0)))*'CA Population'!$L174*10^6</f>
        <v>15865.929597815812</v>
      </c>
      <c r="H174" s="143">
        <f>(INDEX(Production_Consumption!$AA$83:$AJ$99,MATCH('County Scaled Consumption '!$B174,Production_Consumption!$AA$83:$AA$99,0),MATCH('County Scaled Consumption '!H$2,Production_Consumption!$AA$83:$AJ$83,0)))*'CA Population'!$L174*10^6</f>
        <v>431.60535439479878</v>
      </c>
      <c r="I174" s="143">
        <f>(INDEX(Production_Consumption!$AA$83:$AJ$99,MATCH('County Scaled Consumption '!$B174,Production_Consumption!$AA$83:$AA$99,0),MATCH('County Scaled Consumption '!I$2,Production_Consumption!$AA$83:$AJ$83,0)))*'CA Population'!$L174*10^6</f>
        <v>8237.869629494684</v>
      </c>
      <c r="J174" s="143">
        <f>(INDEX(Production_Consumption!$AA$83:$AJ$99,MATCH('County Scaled Consumption '!$B174,Production_Consumption!$AA$83:$AA$99,0),MATCH('County Scaled Consumption '!J$2,Production_Consumption!$AA$83:$AJ$83,0)))*'CA Population'!$L174*10^6</f>
        <v>5612.448950425357</v>
      </c>
      <c r="K174" s="143">
        <f>(INDEX(Production_Consumption!$AA$83:$AJ$99,MATCH('County Scaled Consumption '!$B174,Production_Consumption!$AA$83:$AA$99,0),MATCH('County Scaled Consumption '!K$2,Production_Consumption!$AA$83:$AJ$83,0)))*'CA Population'!$L174*10^6</f>
        <v>78268.224922850335</v>
      </c>
      <c r="L174" s="131">
        <f t="shared" si="2"/>
        <v>0</v>
      </c>
    </row>
    <row r="175" spans="1:12" x14ac:dyDescent="0.2">
      <c r="A175" s="132" t="s">
        <v>359</v>
      </c>
      <c r="B175" s="129">
        <v>2018</v>
      </c>
      <c r="C175" s="143">
        <f>(INDEX(Production_Consumption!$AA$83:$AJ$99,MATCH('County Scaled Consumption '!$B175,Production_Consumption!$AA$83:$AA$99,0),MATCH('County Scaled Consumption '!C$2,Production_Consumption!$AA$83:$AJ$83,0)))*'CA Population'!$L175*10^6</f>
        <v>709.2498560859708</v>
      </c>
      <c r="D175" s="143">
        <f>(INDEX(Production_Consumption!$AA$83:$AJ$99,MATCH('County Scaled Consumption '!$B175,Production_Consumption!$AA$83:$AA$99,0),MATCH('County Scaled Consumption '!D$2,Production_Consumption!$AA$83:$AJ$83,0)))*'CA Population'!$L175*10^6</f>
        <v>2724.245627982365</v>
      </c>
      <c r="E175" s="143">
        <f>(INDEX(Production_Consumption!$AA$83:$AJ$99,MATCH('County Scaled Consumption '!$B175,Production_Consumption!$AA$83:$AA$99,0),MATCH('County Scaled Consumption '!E$2,Production_Consumption!$AA$83:$AJ$83,0)))*'CA Population'!$L175*10^6</f>
        <v>1654.2051191405624</v>
      </c>
      <c r="F175" s="143">
        <f>(INDEX(Production_Consumption!$AA$83:$AJ$99,MATCH('County Scaled Consumption '!$B175,Production_Consumption!$AA$83:$AA$99,0),MATCH('County Scaled Consumption '!F$2,Production_Consumption!$AA$83:$AJ$83,0)))*'CA Population'!$L175*10^6</f>
        <v>488.21437330896555</v>
      </c>
      <c r="G175" s="143">
        <f>(INDEX(Production_Consumption!$AA$83:$AJ$99,MATCH('County Scaled Consumption '!$B175,Production_Consumption!$AA$83:$AA$99,0),MATCH('County Scaled Consumption '!G$2,Production_Consumption!$AA$83:$AJ$83,0)))*'CA Population'!$L175*10^6</f>
        <v>1838.4536923565947</v>
      </c>
      <c r="H175" s="143">
        <f>(INDEX(Production_Consumption!$AA$83:$AJ$99,MATCH('County Scaled Consumption '!$B175,Production_Consumption!$AA$83:$AA$99,0),MATCH('County Scaled Consumption '!H$2,Production_Consumption!$AA$83:$AJ$83,0)))*'CA Population'!$L175*10^6</f>
        <v>50.011973930429512</v>
      </c>
      <c r="I175" s="143">
        <f>(INDEX(Production_Consumption!$AA$83:$AJ$99,MATCH('County Scaled Consumption '!$B175,Production_Consumption!$AA$83:$AA$99,0),MATCH('County Scaled Consumption '!I$2,Production_Consumption!$AA$83:$AJ$83,0)))*'CA Population'!$L175*10^6</f>
        <v>954.5574839549073</v>
      </c>
      <c r="J175" s="143">
        <f>(INDEX(Production_Consumption!$AA$83:$AJ$99,MATCH('County Scaled Consumption '!$B175,Production_Consumption!$AA$83:$AA$99,0),MATCH('County Scaled Consumption '!J$2,Production_Consumption!$AA$83:$AJ$83,0)))*'CA Population'!$L175*10^6</f>
        <v>650.33866641465852</v>
      </c>
      <c r="K175" s="143">
        <f>(INDEX(Production_Consumption!$AA$83:$AJ$99,MATCH('County Scaled Consumption '!$B175,Production_Consumption!$AA$83:$AA$99,0),MATCH('County Scaled Consumption '!K$2,Production_Consumption!$AA$83:$AJ$83,0)))*'CA Population'!$L175*10^6</f>
        <v>9069.2767931744547</v>
      </c>
      <c r="L175" s="131">
        <f t="shared" si="2"/>
        <v>0</v>
      </c>
    </row>
    <row r="176" spans="1:12" x14ac:dyDescent="0.2">
      <c r="A176" s="132" t="s">
        <v>360</v>
      </c>
      <c r="B176" s="129">
        <v>2018</v>
      </c>
      <c r="C176" s="143">
        <f>(INDEX(Production_Consumption!$AA$83:$AJ$99,MATCH('County Scaled Consumption '!$B176,Production_Consumption!$AA$83:$AA$99,0),MATCH('County Scaled Consumption '!C$2,Production_Consumption!$AA$83:$AJ$83,0)))*'CA Population'!$L176*10^6</f>
        <v>10990.139658794236</v>
      </c>
      <c r="D176" s="143">
        <f>(INDEX(Production_Consumption!$AA$83:$AJ$99,MATCH('County Scaled Consumption '!$B176,Production_Consumption!$AA$83:$AA$99,0),MATCH('County Scaled Consumption '!D$2,Production_Consumption!$AA$83:$AJ$83,0)))*'CA Population'!$L176*10^6</f>
        <v>42213.388778970271</v>
      </c>
      <c r="E176" s="143">
        <f>(INDEX(Production_Consumption!$AA$83:$AJ$99,MATCH('County Scaled Consumption '!$B176,Production_Consumption!$AA$83:$AA$99,0),MATCH('County Scaled Consumption '!E$2,Production_Consumption!$AA$83:$AJ$83,0)))*'CA Population'!$L176*10^6</f>
        <v>25632.638664143036</v>
      </c>
      <c r="F176" s="143">
        <f>(INDEX(Production_Consumption!$AA$83:$AJ$99,MATCH('County Scaled Consumption '!$B176,Production_Consumption!$AA$83:$AA$99,0),MATCH('County Scaled Consumption '!F$2,Production_Consumption!$AA$83:$AJ$83,0)))*'CA Population'!$L176*10^6</f>
        <v>7565.0972644622698</v>
      </c>
      <c r="G176" s="143">
        <f>(INDEX(Production_Consumption!$AA$83:$AJ$99,MATCH('County Scaled Consumption '!$B176,Production_Consumption!$AA$83:$AA$99,0),MATCH('County Scaled Consumption '!G$2,Production_Consumption!$AA$83:$AJ$83,0)))*'CA Population'!$L176*10^6</f>
        <v>28487.65165315141</v>
      </c>
      <c r="H176" s="143">
        <f>(INDEX(Production_Consumption!$AA$83:$AJ$99,MATCH('County Scaled Consumption '!$B176,Production_Consumption!$AA$83:$AA$99,0),MATCH('County Scaled Consumption '!H$2,Production_Consumption!$AA$83:$AJ$83,0)))*'CA Population'!$L176*10^6</f>
        <v>774.95761668617536</v>
      </c>
      <c r="I176" s="143">
        <f>(INDEX(Production_Consumption!$AA$83:$AJ$99,MATCH('County Scaled Consumption '!$B176,Production_Consumption!$AA$83:$AA$99,0),MATCH('County Scaled Consumption '!I$2,Production_Consumption!$AA$83:$AJ$83,0)))*'CA Population'!$L176*10^6</f>
        <v>14791.289657646474</v>
      </c>
      <c r="J176" s="143">
        <f>(INDEX(Production_Consumption!$AA$83:$AJ$99,MATCH('County Scaled Consumption '!$B176,Production_Consumption!$AA$83:$AA$99,0),MATCH('County Scaled Consumption '!J$2,Production_Consumption!$AA$83:$AJ$83,0)))*'CA Population'!$L176*10^6</f>
        <v>10077.284765137465</v>
      </c>
      <c r="K176" s="143">
        <f>(INDEX(Production_Consumption!$AA$83:$AJ$99,MATCH('County Scaled Consumption '!$B176,Production_Consumption!$AA$83:$AA$99,0),MATCH('County Scaled Consumption '!K$2,Production_Consumption!$AA$83:$AJ$83,0)))*'CA Population'!$L176*10^6</f>
        <v>140532.44805899134</v>
      </c>
      <c r="L176" s="131">
        <f t="shared" si="2"/>
        <v>0</v>
      </c>
    </row>
    <row r="177" spans="1:12" x14ac:dyDescent="0.2">
      <c r="A177" s="132" t="s">
        <v>361</v>
      </c>
      <c r="B177" s="129">
        <v>2018</v>
      </c>
      <c r="C177" s="143">
        <f>(INDEX(Production_Consumption!$AA$83:$AJ$99,MATCH('County Scaled Consumption '!$B177,Production_Consumption!$AA$83:$AA$99,0),MATCH('County Scaled Consumption '!C$2,Production_Consumption!$AA$83:$AJ$83,0)))*'CA Population'!$L177*10^6</f>
        <v>2846.3164843721261</v>
      </c>
      <c r="D177" s="143">
        <f>(INDEX(Production_Consumption!$AA$83:$AJ$99,MATCH('County Scaled Consumption '!$B177,Production_Consumption!$AA$83:$AA$99,0),MATCH('County Scaled Consumption '!D$2,Production_Consumption!$AA$83:$AJ$83,0)))*'CA Population'!$L177*10^6</f>
        <v>10932.769561908803</v>
      </c>
      <c r="E177" s="143">
        <f>(INDEX(Production_Consumption!$AA$83:$AJ$99,MATCH('County Scaled Consumption '!$B177,Production_Consumption!$AA$83:$AA$99,0),MATCH('County Scaled Consumption '!E$2,Production_Consumption!$AA$83:$AJ$83,0)))*'CA Population'!$L177*10^6</f>
        <v>6638.5509404626764</v>
      </c>
      <c r="F177" s="143">
        <f>(INDEX(Production_Consumption!$AA$83:$AJ$99,MATCH('County Scaled Consumption '!$B177,Production_Consumption!$AA$83:$AA$99,0),MATCH('County Scaled Consumption '!F$2,Production_Consumption!$AA$83:$AJ$83,0)))*'CA Population'!$L177*10^6</f>
        <v>1959.2709208646995</v>
      </c>
      <c r="G177" s="143">
        <f>(INDEX(Production_Consumption!$AA$83:$AJ$99,MATCH('County Scaled Consumption '!$B177,Production_Consumption!$AA$83:$AA$99,0),MATCH('County Scaled Consumption '!G$2,Production_Consumption!$AA$83:$AJ$83,0)))*'CA Population'!$L177*10^6</f>
        <v>7377.9656145253939</v>
      </c>
      <c r="H177" s="143">
        <f>(INDEX(Production_Consumption!$AA$83:$AJ$99,MATCH('County Scaled Consumption '!$B177,Production_Consumption!$AA$83:$AA$99,0),MATCH('County Scaled Consumption '!H$2,Production_Consumption!$AA$83:$AJ$83,0)))*'CA Population'!$L177*10^6</f>
        <v>200.70487796745607</v>
      </c>
      <c r="I177" s="143">
        <f>(INDEX(Production_Consumption!$AA$83:$AJ$99,MATCH('County Scaled Consumption '!$B177,Production_Consumption!$AA$83:$AA$99,0),MATCH('County Scaled Consumption '!I$2,Production_Consumption!$AA$83:$AJ$83,0)))*'CA Population'!$L177*10^6</f>
        <v>3830.7694792571092</v>
      </c>
      <c r="J177" s="143">
        <f>(INDEX(Production_Consumption!$AA$83:$AJ$99,MATCH('County Scaled Consumption '!$B177,Production_Consumption!$AA$83:$AA$99,0),MATCH('County Scaled Consumption '!J$2,Production_Consumption!$AA$83:$AJ$83,0)))*'CA Population'!$L177*10^6</f>
        <v>2609.8978389024196</v>
      </c>
      <c r="K177" s="143">
        <f>(INDEX(Production_Consumption!$AA$83:$AJ$99,MATCH('County Scaled Consumption '!$B177,Production_Consumption!$AA$83:$AA$99,0),MATCH('County Scaled Consumption '!K$2,Production_Consumption!$AA$83:$AJ$83,0)))*'CA Population'!$L177*10^6</f>
        <v>36396.245718260689</v>
      </c>
      <c r="L177" s="131">
        <f t="shared" si="2"/>
        <v>0</v>
      </c>
    </row>
    <row r="178" spans="1:12" x14ac:dyDescent="0.2">
      <c r="A178" s="132" t="s">
        <v>362</v>
      </c>
      <c r="B178" s="129">
        <v>2018</v>
      </c>
      <c r="C178" s="143">
        <f>(INDEX(Production_Consumption!$AA$83:$AJ$99,MATCH('County Scaled Consumption '!$B178,Production_Consumption!$AA$83:$AA$99,0),MATCH('County Scaled Consumption '!C$2,Production_Consumption!$AA$83:$AJ$83,0)))*'CA Population'!$L178*10^6</f>
        <v>992.99904028406888</v>
      </c>
      <c r="D178" s="143">
        <f>(INDEX(Production_Consumption!$AA$83:$AJ$99,MATCH('County Scaled Consumption '!$B178,Production_Consumption!$AA$83:$AA$99,0),MATCH('County Scaled Consumption '!D$2,Production_Consumption!$AA$83:$AJ$83,0)))*'CA Population'!$L178*10^6</f>
        <v>3814.1330179651877</v>
      </c>
      <c r="E178" s="143">
        <f>(INDEX(Production_Consumption!$AA$83:$AJ$99,MATCH('County Scaled Consumption '!$B178,Production_Consumption!$AA$83:$AA$99,0),MATCH('County Scaled Consumption '!E$2,Production_Consumption!$AA$83:$AJ$83,0)))*'CA Population'!$L178*10^6</f>
        <v>2316.0020148674712</v>
      </c>
      <c r="F178" s="143">
        <f>(INDEX(Production_Consumption!$AA$83:$AJ$99,MATCH('County Scaled Consumption '!$B178,Production_Consumption!$AA$83:$AA$99,0),MATCH('County Scaled Consumption '!F$2,Production_Consumption!$AA$83:$AJ$83,0)))*'CA Population'!$L178*10^6</f>
        <v>683.53401835576403</v>
      </c>
      <c r="G178" s="143">
        <f>(INDEX(Production_Consumption!$AA$83:$AJ$99,MATCH('County Scaled Consumption '!$B178,Production_Consumption!$AA$83:$AA$99,0),MATCH('County Scaled Consumption '!G$2,Production_Consumption!$AA$83:$AJ$83,0)))*'CA Population'!$L178*10^6</f>
        <v>2573.9628093706874</v>
      </c>
      <c r="H178" s="143">
        <f>(INDEX(Production_Consumption!$AA$83:$AJ$99,MATCH('County Scaled Consumption '!$B178,Production_Consumption!$AA$83:$AA$99,0),MATCH('County Scaled Consumption '!H$2,Production_Consumption!$AA$83:$AJ$83,0)))*'CA Population'!$L178*10^6</f>
        <v>70.020235731438333</v>
      </c>
      <c r="I178" s="143">
        <f>(INDEX(Production_Consumption!$AA$83:$AJ$99,MATCH('County Scaled Consumption '!$B178,Production_Consumption!$AA$83:$AA$99,0),MATCH('County Scaled Consumption '!I$2,Production_Consumption!$AA$83:$AJ$83,0)))*'CA Population'!$L178*10^6</f>
        <v>1336.446750506359</v>
      </c>
      <c r="J178" s="143">
        <f>(INDEX(Production_Consumption!$AA$83:$AJ$99,MATCH('County Scaled Consumption '!$B178,Production_Consumption!$AA$83:$AA$99,0),MATCH('County Scaled Consumption '!J$2,Production_Consumption!$AA$83:$AJ$83,0)))*'CA Population'!$L178*10^6</f>
        <v>910.51928466108711</v>
      </c>
      <c r="K178" s="143">
        <f>(INDEX(Production_Consumption!$AA$83:$AJ$99,MATCH('County Scaled Consumption '!$B178,Production_Consumption!$AA$83:$AA$99,0),MATCH('County Scaled Consumption '!K$2,Production_Consumption!$AA$83:$AJ$83,0)))*'CA Population'!$L178*10^6</f>
        <v>12697.617171742064</v>
      </c>
      <c r="L178" s="131">
        <f t="shared" si="2"/>
        <v>0</v>
      </c>
    </row>
    <row r="179" spans="1:12" x14ac:dyDescent="0.2">
      <c r="A179" s="132" t="s">
        <v>363</v>
      </c>
      <c r="B179" s="129">
        <v>2018</v>
      </c>
      <c r="C179" s="143">
        <f>(INDEX(Production_Consumption!$AA$83:$AJ$99,MATCH('County Scaled Consumption '!$B179,Production_Consumption!$AA$83:$AA$99,0),MATCH('County Scaled Consumption '!C$2,Production_Consumption!$AA$83:$AJ$83,0)))*'CA Population'!$L179*10^6</f>
        <v>512108.31694470404</v>
      </c>
      <c r="D179" s="143">
        <f>(INDEX(Production_Consumption!$AA$83:$AJ$99,MATCH('County Scaled Consumption '!$B179,Production_Consumption!$AA$83:$AA$99,0),MATCH('County Scaled Consumption '!D$2,Production_Consumption!$AA$83:$AJ$83,0)))*'CA Population'!$L179*10^6</f>
        <v>1967020.2701048008</v>
      </c>
      <c r="E179" s="143">
        <f>(INDEX(Production_Consumption!$AA$83:$AJ$99,MATCH('County Scaled Consumption '!$B179,Production_Consumption!$AA$83:$AA$99,0),MATCH('County Scaled Consumption '!E$2,Production_Consumption!$AA$83:$AJ$83,0)))*'CA Population'!$L179*10^6</f>
        <v>1194405.8813340147</v>
      </c>
      <c r="F179" s="143">
        <f>(INDEX(Production_Consumption!$AA$83:$AJ$99,MATCH('County Scaled Consumption '!$B179,Production_Consumption!$AA$83:$AA$99,0),MATCH('County Scaled Consumption '!F$2,Production_Consumption!$AA$83:$AJ$83,0)))*'CA Population'!$L179*10^6</f>
        <v>352511.37364088814</v>
      </c>
      <c r="G179" s="143">
        <f>(INDEX(Production_Consumption!$AA$83:$AJ$99,MATCH('County Scaled Consumption '!$B179,Production_Consumption!$AA$83:$AA$99,0),MATCH('County Scaled Consumption '!G$2,Production_Consumption!$AA$83:$AJ$83,0)))*'CA Population'!$L179*10^6</f>
        <v>1327441.1240196165</v>
      </c>
      <c r="H179" s="143">
        <f>(INDEX(Production_Consumption!$AA$83:$AJ$99,MATCH('County Scaled Consumption '!$B179,Production_Consumption!$AA$83:$AA$99,0),MATCH('County Scaled Consumption '!H$2,Production_Consumption!$AA$83:$AJ$83,0)))*'CA Population'!$L179*10^6</f>
        <v>36110.755013660804</v>
      </c>
      <c r="I179" s="143">
        <f>(INDEX(Production_Consumption!$AA$83:$AJ$99,MATCH('County Scaled Consumption '!$B179,Production_Consumption!$AA$83:$AA$99,0),MATCH('County Scaled Consumption '!I$2,Production_Consumption!$AA$83:$AJ$83,0)))*'CA Population'!$L179*10^6</f>
        <v>689230.77296453505</v>
      </c>
      <c r="J179" s="143">
        <f>(INDEX(Production_Consumption!$AA$83:$AJ$99,MATCH('County Scaled Consumption '!$B179,Production_Consumption!$AA$83:$AA$99,0),MATCH('County Scaled Consumption '!J$2,Production_Consumption!$AA$83:$AJ$83,0)))*'CA Population'!$L179*10^6</f>
        <v>469571.95273833734</v>
      </c>
      <c r="K179" s="143">
        <f>(INDEX(Production_Consumption!$AA$83:$AJ$99,MATCH('County Scaled Consumption '!$B179,Production_Consumption!$AA$83:$AA$99,0),MATCH('County Scaled Consumption '!K$2,Production_Consumption!$AA$83:$AJ$83,0)))*'CA Population'!$L179*10^6</f>
        <v>6548400.4467605576</v>
      </c>
      <c r="L179" s="131">
        <f t="shared" si="2"/>
        <v>0</v>
      </c>
    </row>
    <row r="180" spans="1:12" x14ac:dyDescent="0.2">
      <c r="A180" s="132" t="s">
        <v>305</v>
      </c>
      <c r="B180" s="129">
        <v>2017</v>
      </c>
      <c r="C180" s="143">
        <f>(INDEX(Production_Consumption!$AA$83:$AJ$99,MATCH('County Scaled Consumption '!$B180,Production_Consumption!$AA$83:$AA$99,0),MATCH('County Scaled Consumption '!C$2,Production_Consumption!$AA$83:$AJ$83,0)))*'CA Population'!$L180*10^6</f>
        <v>21606.228152676969</v>
      </c>
      <c r="D180" s="143">
        <f>(INDEX(Production_Consumption!$AA$83:$AJ$99,MATCH('County Scaled Consumption '!$B180,Production_Consumption!$AA$83:$AA$99,0),MATCH('County Scaled Consumption '!D$2,Production_Consumption!$AA$83:$AJ$83,0)))*'CA Population'!$L180*10^6</f>
        <v>80715.458990894957</v>
      </c>
      <c r="E180" s="143">
        <f>(INDEX(Production_Consumption!$AA$83:$AJ$99,MATCH('County Scaled Consumption '!$B180,Production_Consumption!$AA$83:$AA$99,0),MATCH('County Scaled Consumption '!E$2,Production_Consumption!$AA$83:$AJ$83,0)))*'CA Population'!$L180*10^6</f>
        <v>47572.614986400928</v>
      </c>
      <c r="F180" s="143">
        <f>(INDEX(Production_Consumption!$AA$83:$AJ$99,MATCH('County Scaled Consumption '!$B180,Production_Consumption!$AA$83:$AA$99,0),MATCH('County Scaled Consumption '!F$2,Production_Consumption!$AA$83:$AJ$83,0)))*'CA Population'!$L180*10^6</f>
        <v>14101.793912829089</v>
      </c>
      <c r="G180" s="143">
        <f>(INDEX(Production_Consumption!$AA$83:$AJ$99,MATCH('County Scaled Consumption '!$B180,Production_Consumption!$AA$83:$AA$99,0),MATCH('County Scaled Consumption '!G$2,Production_Consumption!$AA$83:$AJ$83,0)))*'CA Population'!$L180*10^6</f>
        <v>54112.113416526176</v>
      </c>
      <c r="H180" s="143">
        <f>(INDEX(Production_Consumption!$AA$83:$AJ$99,MATCH('County Scaled Consumption '!$B180,Production_Consumption!$AA$83:$AA$99,0),MATCH('County Scaled Consumption '!H$2,Production_Consumption!$AA$83:$AJ$83,0)))*'CA Population'!$L180*10^6</f>
        <v>1476.5642519638357</v>
      </c>
      <c r="I180" s="143">
        <f>(INDEX(Production_Consumption!$AA$83:$AJ$99,MATCH('County Scaled Consumption '!$B180,Production_Consumption!$AA$83:$AA$99,0),MATCH('County Scaled Consumption '!I$2,Production_Consumption!$AA$83:$AJ$83,0)))*'CA Population'!$L180*10^6</f>
        <v>29254.410157412025</v>
      </c>
      <c r="J180" s="143">
        <f>(INDEX(Production_Consumption!$AA$83:$AJ$99,MATCH('County Scaled Consumption '!$B180,Production_Consumption!$AA$83:$AA$99,0),MATCH('County Scaled Consumption '!J$2,Production_Consumption!$AA$83:$AJ$83,0)))*'CA Population'!$L180*10^6</f>
        <v>18753.035970751924</v>
      </c>
      <c r="K180" s="143">
        <f>(INDEX(Production_Consumption!$AA$83:$AJ$99,MATCH('County Scaled Consumption '!$B180,Production_Consumption!$AA$83:$AA$99,0),MATCH('County Scaled Consumption '!K$2,Production_Consumption!$AA$83:$AJ$83,0)))*'CA Population'!$L180*10^6</f>
        <v>267592.21983945591</v>
      </c>
      <c r="L180" s="131">
        <f t="shared" si="2"/>
        <v>0</v>
      </c>
    </row>
    <row r="181" spans="1:12" x14ac:dyDescent="0.2">
      <c r="A181" s="132" t="s">
        <v>306</v>
      </c>
      <c r="B181" s="129">
        <v>2017</v>
      </c>
      <c r="C181" s="143">
        <f>(INDEX(Production_Consumption!$AA$83:$AJ$99,MATCH('County Scaled Consumption '!$B181,Production_Consumption!$AA$83:$AA$99,0),MATCH('County Scaled Consumption '!C$2,Production_Consumption!$AA$83:$AJ$83,0)))*'CA Population'!$L181*10^6</f>
        <v>15.255601239709446</v>
      </c>
      <c r="D181" s="143">
        <f>(INDEX(Production_Consumption!$AA$83:$AJ$99,MATCH('County Scaled Consumption '!$B181,Production_Consumption!$AA$83:$AA$99,0),MATCH('County Scaled Consumption '!D$2,Production_Consumption!$AA$83:$AJ$83,0)))*'CA Population'!$L181*10^6</f>
        <v>56.991106802352753</v>
      </c>
      <c r="E181" s="143">
        <f>(INDEX(Production_Consumption!$AA$83:$AJ$99,MATCH('County Scaled Consumption '!$B181,Production_Consumption!$AA$83:$AA$99,0),MATCH('County Scaled Consumption '!E$2,Production_Consumption!$AA$83:$AJ$83,0)))*'CA Population'!$L181*10^6</f>
        <v>33.589798230138527</v>
      </c>
      <c r="F181" s="143">
        <f>(INDEX(Production_Consumption!$AA$83:$AJ$99,MATCH('County Scaled Consumption '!$B181,Production_Consumption!$AA$83:$AA$99,0),MATCH('County Scaled Consumption '!F$2,Production_Consumption!$AA$83:$AJ$83,0)))*'CA Population'!$L181*10^6</f>
        <v>9.9569134963535149</v>
      </c>
      <c r="G181" s="143">
        <f>(INDEX(Production_Consumption!$AA$83:$AJ$99,MATCH('County Scaled Consumption '!$B181,Production_Consumption!$AA$83:$AA$99,0),MATCH('County Scaled Consumption '!G$2,Production_Consumption!$AA$83:$AJ$83,0)))*'CA Population'!$L181*10^6</f>
        <v>38.207169649746362</v>
      </c>
      <c r="H181" s="143">
        <f>(INDEX(Production_Consumption!$AA$83:$AJ$99,MATCH('County Scaled Consumption '!$B181,Production_Consumption!$AA$83:$AA$99,0),MATCH('County Scaled Consumption '!H$2,Production_Consumption!$AA$83:$AJ$83,0)))*'CA Population'!$L181*10^6</f>
        <v>1.0425639900492871</v>
      </c>
      <c r="I181" s="143">
        <f>(INDEX(Production_Consumption!$AA$83:$AJ$99,MATCH('County Scaled Consumption '!$B181,Production_Consumption!$AA$83:$AA$99,0),MATCH('County Scaled Consumption '!I$2,Production_Consumption!$AA$83:$AJ$83,0)))*'CA Population'!$L181*10^6</f>
        <v>20.655785577691798</v>
      </c>
      <c r="J181" s="143">
        <f>(INDEX(Production_Consumption!$AA$83:$AJ$99,MATCH('County Scaled Consumption '!$B181,Production_Consumption!$AA$83:$AA$99,0),MATCH('County Scaled Consumption '!J$2,Production_Consumption!$AA$83:$AJ$83,0)))*'CA Population'!$L181*10^6</f>
        <v>13.241035722760939</v>
      </c>
      <c r="K181" s="143">
        <f>(INDEX(Production_Consumption!$AA$83:$AJ$99,MATCH('County Scaled Consumption '!$B181,Production_Consumption!$AA$83:$AA$99,0),MATCH('County Scaled Consumption '!K$2,Production_Consumption!$AA$83:$AJ$83,0)))*'CA Population'!$L181*10^6</f>
        <v>188.93997470880262</v>
      </c>
      <c r="L181" s="131">
        <f t="shared" si="2"/>
        <v>0</v>
      </c>
    </row>
    <row r="182" spans="1:12" x14ac:dyDescent="0.2">
      <c r="A182" s="132" t="s">
        <v>307</v>
      </c>
      <c r="B182" s="129">
        <v>2017</v>
      </c>
      <c r="C182" s="143">
        <f>(INDEX(Production_Consumption!$AA$83:$AJ$99,MATCH('County Scaled Consumption '!$B182,Production_Consumption!$AA$83:$AA$99,0),MATCH('County Scaled Consumption '!C$2,Production_Consumption!$AA$83:$AJ$83,0)))*'CA Population'!$L182*10^6</f>
        <v>484.86794637836221</v>
      </c>
      <c r="D182" s="143">
        <f>(INDEX(Production_Consumption!$AA$83:$AJ$99,MATCH('County Scaled Consumption '!$B182,Production_Consumption!$AA$83:$AA$99,0),MATCH('County Scaled Consumption '!D$2,Production_Consumption!$AA$83:$AJ$83,0)))*'CA Population'!$L182*10^6</f>
        <v>1811.3452549584983</v>
      </c>
      <c r="E182" s="143">
        <f>(INDEX(Production_Consumption!$AA$83:$AJ$99,MATCH('County Scaled Consumption '!$B182,Production_Consumption!$AA$83:$AA$99,0),MATCH('County Scaled Consumption '!E$2,Production_Consumption!$AA$83:$AJ$83,0)))*'CA Population'!$L182*10^6</f>
        <v>1067.5827344462632</v>
      </c>
      <c r="F182" s="143">
        <f>(INDEX(Production_Consumption!$AA$83:$AJ$99,MATCH('County Scaled Consumption '!$B182,Production_Consumption!$AA$83:$AA$99,0),MATCH('County Scaled Consumption '!F$2,Production_Consumption!$AA$83:$AJ$83,0)))*'CA Population'!$L182*10^6</f>
        <v>316.46004135697211</v>
      </c>
      <c r="G182" s="143">
        <f>(INDEX(Production_Consumption!$AA$83:$AJ$99,MATCH('County Scaled Consumption '!$B182,Production_Consumption!$AA$83:$AA$99,0),MATCH('County Scaled Consumption '!G$2,Production_Consumption!$AA$83:$AJ$83,0)))*'CA Population'!$L182*10^6</f>
        <v>1214.3363997206209</v>
      </c>
      <c r="H182" s="143">
        <f>(INDEX(Production_Consumption!$AA$83:$AJ$99,MATCH('County Scaled Consumption '!$B182,Production_Consumption!$AA$83:$AA$99,0),MATCH('County Scaled Consumption '!H$2,Production_Consumption!$AA$83:$AJ$83,0)))*'CA Population'!$L182*10^6</f>
        <v>33.135754722496728</v>
      </c>
      <c r="I182" s="143">
        <f>(INDEX(Production_Consumption!$AA$83:$AJ$99,MATCH('County Scaled Consumption '!$B182,Production_Consumption!$AA$83:$AA$99,0),MATCH('County Scaled Consumption '!I$2,Production_Consumption!$AA$83:$AJ$83,0)))*'CA Population'!$L182*10^6</f>
        <v>656.5017121591967</v>
      </c>
      <c r="J182" s="143">
        <f>(INDEX(Production_Consumption!$AA$83:$AJ$99,MATCH('County Scaled Consumption '!$B182,Production_Consumption!$AA$83:$AA$99,0),MATCH('County Scaled Consumption '!J$2,Production_Consumption!$AA$83:$AJ$83,0)))*'CA Population'!$L182*10^6</f>
        <v>420.83911987069655</v>
      </c>
      <c r="K182" s="143">
        <f>(INDEX(Production_Consumption!$AA$83:$AJ$99,MATCH('County Scaled Consumption '!$B182,Production_Consumption!$AA$83:$AA$99,0),MATCH('County Scaled Consumption '!K$2,Production_Consumption!$AA$83:$AJ$83,0)))*'CA Population'!$L182*10^6</f>
        <v>6005.0689636131074</v>
      </c>
      <c r="L182" s="131">
        <f t="shared" si="2"/>
        <v>0</v>
      </c>
    </row>
    <row r="183" spans="1:12" x14ac:dyDescent="0.2">
      <c r="A183" s="132" t="s">
        <v>308</v>
      </c>
      <c r="B183" s="129">
        <v>2017</v>
      </c>
      <c r="C183" s="143">
        <f>(INDEX(Production_Consumption!$AA$83:$AJ$99,MATCH('County Scaled Consumption '!$B183,Production_Consumption!$AA$83:$AA$99,0),MATCH('County Scaled Consumption '!C$2,Production_Consumption!$AA$83:$AJ$83,0)))*'CA Population'!$L183*10^6</f>
        <v>2962.6614128465199</v>
      </c>
      <c r="D183" s="143">
        <f>(INDEX(Production_Consumption!$AA$83:$AJ$99,MATCH('County Scaled Consumption '!$B183,Production_Consumption!$AA$83:$AA$99,0),MATCH('County Scaled Consumption '!D$2,Production_Consumption!$AA$83:$AJ$83,0)))*'CA Population'!$L183*10^6</f>
        <v>11067.761299322025</v>
      </c>
      <c r="E183" s="143">
        <f>(INDEX(Production_Consumption!$AA$83:$AJ$99,MATCH('County Scaled Consumption '!$B183,Production_Consumption!$AA$83:$AA$99,0),MATCH('County Scaled Consumption '!E$2,Production_Consumption!$AA$83:$AJ$83,0)))*'CA Population'!$L183*10^6</f>
        <v>6523.1908934994608</v>
      </c>
      <c r="F183" s="143">
        <f>(INDEX(Production_Consumption!$AA$83:$AJ$99,MATCH('County Scaled Consumption '!$B183,Production_Consumption!$AA$83:$AA$99,0),MATCH('County Scaled Consumption '!F$2,Production_Consumption!$AA$83:$AJ$83,0)))*'CA Population'!$L183*10^6</f>
        <v>1933.6480380670405</v>
      </c>
      <c r="G183" s="143">
        <f>(INDEX(Production_Consumption!$AA$83:$AJ$99,MATCH('County Scaled Consumption '!$B183,Production_Consumption!$AA$83:$AA$99,0),MATCH('County Scaled Consumption '!G$2,Production_Consumption!$AA$83:$AJ$83,0)))*'CA Population'!$L183*10^6</f>
        <v>7419.8915819026806</v>
      </c>
      <c r="H183" s="143">
        <f>(INDEX(Production_Consumption!$AA$83:$AJ$99,MATCH('County Scaled Consumption '!$B183,Production_Consumption!$AA$83:$AA$99,0),MATCH('County Scaled Consumption '!H$2,Production_Consumption!$AA$83:$AJ$83,0)))*'CA Population'!$L183*10^6</f>
        <v>202.46754324585075</v>
      </c>
      <c r="I183" s="143">
        <f>(INDEX(Production_Consumption!$AA$83:$AJ$99,MATCH('County Scaled Consumption '!$B183,Production_Consumption!$AA$83:$AA$99,0),MATCH('County Scaled Consumption '!I$2,Production_Consumption!$AA$83:$AJ$83,0)))*'CA Population'!$L183*10^6</f>
        <v>4011.3855836615116</v>
      </c>
      <c r="J183" s="143">
        <f>(INDEX(Production_Consumption!$AA$83:$AJ$99,MATCH('County Scaled Consumption '!$B183,Production_Consumption!$AA$83:$AA$99,0),MATCH('County Scaled Consumption '!J$2,Production_Consumption!$AA$83:$AJ$83,0)))*'CA Population'!$L183*10^6</f>
        <v>2571.4296660977293</v>
      </c>
      <c r="K183" s="143">
        <f>(INDEX(Production_Consumption!$AA$83:$AJ$99,MATCH('County Scaled Consumption '!$B183,Production_Consumption!$AA$83:$AA$99,0),MATCH('County Scaled Consumption '!K$2,Production_Consumption!$AA$83:$AJ$83,0)))*'CA Population'!$L183*10^6</f>
        <v>36692.436018642817</v>
      </c>
      <c r="L183" s="131">
        <f t="shared" si="2"/>
        <v>0</v>
      </c>
    </row>
    <row r="184" spans="1:12" x14ac:dyDescent="0.2">
      <c r="A184" s="132" t="s">
        <v>309</v>
      </c>
      <c r="B184" s="129">
        <v>2017</v>
      </c>
      <c r="C184" s="143">
        <f>(INDEX(Production_Consumption!$AA$83:$AJ$99,MATCH('County Scaled Consumption '!$B184,Production_Consumption!$AA$83:$AA$99,0),MATCH('County Scaled Consumption '!C$2,Production_Consumption!$AA$83:$AJ$83,0)))*'CA Population'!$L184*10^6</f>
        <v>593.53618259920381</v>
      </c>
      <c r="D184" s="143">
        <f>(INDEX(Production_Consumption!$AA$83:$AJ$99,MATCH('County Scaled Consumption '!$B184,Production_Consumption!$AA$83:$AA$99,0),MATCH('County Scaled Consumption '!D$2,Production_Consumption!$AA$83:$AJ$83,0)))*'CA Population'!$L184*10^6</f>
        <v>2217.3025790372731</v>
      </c>
      <c r="E184" s="143">
        <f>(INDEX(Production_Consumption!$AA$83:$AJ$99,MATCH('County Scaled Consumption '!$B184,Production_Consumption!$AA$83:$AA$99,0),MATCH('County Scaled Consumption '!E$2,Production_Consumption!$AA$83:$AJ$83,0)))*'CA Population'!$L184*10^6</f>
        <v>1306.8485668004801</v>
      </c>
      <c r="F184" s="143">
        <f>(INDEX(Production_Consumption!$AA$83:$AJ$99,MATCH('County Scaled Consumption '!$B184,Production_Consumption!$AA$83:$AA$99,0),MATCH('County Scaled Consumption '!F$2,Production_Consumption!$AA$83:$AJ$83,0)))*'CA Population'!$L184*10^6</f>
        <v>387.38482569361599</v>
      </c>
      <c r="G184" s="143">
        <f>(INDEX(Production_Consumption!$AA$83:$AJ$99,MATCH('County Scaled Consumption '!$B184,Production_Consumption!$AA$83:$AA$99,0),MATCH('County Scaled Consumption '!G$2,Production_Consumption!$AA$83:$AJ$83,0)))*'CA Population'!$L184*10^6</f>
        <v>1486.4925521783318</v>
      </c>
      <c r="H184" s="143">
        <f>(INDEX(Production_Consumption!$AA$83:$AJ$99,MATCH('County Scaled Consumption '!$B184,Production_Consumption!$AA$83:$AA$99,0),MATCH('County Scaled Consumption '!H$2,Production_Consumption!$AA$83:$AJ$83,0)))*'CA Population'!$L184*10^6</f>
        <v>40.562114927240572</v>
      </c>
      <c r="I184" s="143">
        <f>(INDEX(Production_Consumption!$AA$83:$AJ$99,MATCH('County Scaled Consumption '!$B184,Production_Consumption!$AA$83:$AA$99,0),MATCH('County Scaled Consumption '!I$2,Production_Consumption!$AA$83:$AJ$83,0)))*'CA Population'!$L184*10^6</f>
        <v>803.63637772983509</v>
      </c>
      <c r="J184" s="143">
        <f>(INDEX(Production_Consumption!$AA$83:$AJ$99,MATCH('County Scaled Consumption '!$B184,Production_Consumption!$AA$83:$AA$99,0),MATCH('County Scaled Consumption '!J$2,Production_Consumption!$AA$83:$AJ$83,0)))*'CA Population'!$L184*10^6</f>
        <v>515.15726408019952</v>
      </c>
      <c r="K184" s="143">
        <f>(INDEX(Production_Consumption!$AA$83:$AJ$99,MATCH('County Scaled Consumption '!$B184,Production_Consumption!$AA$83:$AA$99,0),MATCH('County Scaled Consumption '!K$2,Production_Consumption!$AA$83:$AJ$83,0)))*'CA Population'!$L184*10^6</f>
        <v>7350.9204630461809</v>
      </c>
      <c r="L184" s="131">
        <f t="shared" si="2"/>
        <v>0</v>
      </c>
    </row>
    <row r="185" spans="1:12" x14ac:dyDescent="0.2">
      <c r="A185" s="132" t="s">
        <v>310</v>
      </c>
      <c r="B185" s="129">
        <v>2017</v>
      </c>
      <c r="C185" s="143">
        <f>(INDEX(Production_Consumption!$AA$83:$AJ$99,MATCH('County Scaled Consumption '!$B185,Production_Consumption!$AA$83:$AA$99,0),MATCH('County Scaled Consumption '!C$2,Production_Consumption!$AA$83:$AJ$83,0)))*'CA Population'!$L185*10^6</f>
        <v>288.09565648633037</v>
      </c>
      <c r="D185" s="143">
        <f>(INDEX(Production_Consumption!$AA$83:$AJ$99,MATCH('County Scaled Consumption '!$B185,Production_Consumption!$AA$83:$AA$99,0),MATCH('County Scaled Consumption '!D$2,Production_Consumption!$AA$83:$AJ$83,0)))*'CA Population'!$L185*10^6</f>
        <v>1076.2532443079967</v>
      </c>
      <c r="E185" s="143">
        <f>(INDEX(Production_Consumption!$AA$83:$AJ$99,MATCH('County Scaled Consumption '!$B185,Production_Consumption!$AA$83:$AA$99,0),MATCH('County Scaled Consumption '!E$2,Production_Consumption!$AA$83:$AJ$83,0)))*'CA Population'!$L185*10^6</f>
        <v>634.3293076621768</v>
      </c>
      <c r="F185" s="143">
        <f>(INDEX(Production_Consumption!$AA$83:$AJ$99,MATCH('County Scaled Consumption '!$B185,Production_Consumption!$AA$83:$AA$99,0),MATCH('County Scaled Consumption '!F$2,Production_Consumption!$AA$83:$AJ$83,0)))*'CA Population'!$L185*10^6</f>
        <v>188.03215194448819</v>
      </c>
      <c r="G185" s="143">
        <f>(INDEX(Production_Consumption!$AA$83:$AJ$99,MATCH('County Scaled Consumption '!$B185,Production_Consumption!$AA$83:$AA$99,0),MATCH('County Scaled Consumption '!G$2,Production_Consumption!$AA$83:$AJ$83,0)))*'CA Population'!$L185*10^6</f>
        <v>721.52643804538241</v>
      </c>
      <c r="H185" s="143">
        <f>(INDEX(Production_Consumption!$AA$83:$AJ$99,MATCH('County Scaled Consumption '!$B185,Production_Consumption!$AA$83:$AA$99,0),MATCH('County Scaled Consumption '!H$2,Production_Consumption!$AA$83:$AJ$83,0)))*'CA Population'!$L185*10^6</f>
        <v>19.688385427933351</v>
      </c>
      <c r="I185" s="143">
        <f>(INDEX(Production_Consumption!$AA$83:$AJ$99,MATCH('County Scaled Consumption '!$B185,Production_Consumption!$AA$83:$AA$99,0),MATCH('County Scaled Consumption '!I$2,Production_Consumption!$AA$83:$AJ$83,0)))*'CA Population'!$L185*10^6</f>
        <v>390.07588181816766</v>
      </c>
      <c r="J185" s="143">
        <f>(INDEX(Production_Consumption!$AA$83:$AJ$99,MATCH('County Scaled Consumption '!$B185,Production_Consumption!$AA$83:$AA$99,0),MATCH('County Scaled Consumption '!J$2,Production_Consumption!$AA$83:$AJ$83,0)))*'CA Population'!$L185*10^6</f>
        <v>250.05142827005477</v>
      </c>
      <c r="K185" s="143">
        <f>(INDEX(Production_Consumption!$AA$83:$AJ$99,MATCH('County Scaled Consumption '!$B185,Production_Consumption!$AA$83:$AA$99,0),MATCH('County Scaled Consumption '!K$2,Production_Consumption!$AA$83:$AJ$83,0)))*'CA Population'!$L185*10^6</f>
        <v>3568.0524939625307</v>
      </c>
      <c r="L185" s="131">
        <f t="shared" si="2"/>
        <v>0</v>
      </c>
    </row>
    <row r="186" spans="1:12" x14ac:dyDescent="0.2">
      <c r="A186" s="132" t="s">
        <v>311</v>
      </c>
      <c r="B186" s="129">
        <v>2017</v>
      </c>
      <c r="C186" s="143">
        <f>(INDEX(Production_Consumption!$AA$83:$AJ$99,MATCH('County Scaled Consumption '!$B186,Production_Consumption!$AA$83:$AA$99,0),MATCH('County Scaled Consumption '!C$2,Production_Consumption!$AA$83:$AJ$83,0)))*'CA Population'!$L186*10^6</f>
        <v>14947.821784207537</v>
      </c>
      <c r="D186" s="143">
        <f>(INDEX(Production_Consumption!$AA$83:$AJ$99,MATCH('County Scaled Consumption '!$B186,Production_Consumption!$AA$83:$AA$99,0),MATCH('County Scaled Consumption '!D$2,Production_Consumption!$AA$83:$AJ$83,0)))*'CA Population'!$L186*10^6</f>
        <v>55841.319813006055</v>
      </c>
      <c r="E186" s="143">
        <f>(INDEX(Production_Consumption!$AA$83:$AJ$99,MATCH('County Scaled Consumption '!$B186,Production_Consumption!$AA$83:$AA$99,0),MATCH('County Scaled Consumption '!E$2,Production_Consumption!$AA$83:$AJ$83,0)))*'CA Population'!$L186*10^6</f>
        <v>32912.129113907227</v>
      </c>
      <c r="F186" s="143">
        <f>(INDEX(Production_Consumption!$AA$83:$AJ$99,MATCH('County Scaled Consumption '!$B186,Production_Consumption!$AA$83:$AA$99,0),MATCH('County Scaled Consumption '!F$2,Production_Consumption!$AA$83:$AJ$83,0)))*'CA Population'!$L186*10^6</f>
        <v>9756.0342673913347</v>
      </c>
      <c r="G186" s="143">
        <f>(INDEX(Production_Consumption!$AA$83:$AJ$99,MATCH('County Scaled Consumption '!$B186,Production_Consumption!$AA$83:$AA$99,0),MATCH('County Scaled Consumption '!G$2,Production_Consumption!$AA$83:$AJ$83,0)))*'CA Population'!$L186*10^6</f>
        <v>37436.345761110693</v>
      </c>
      <c r="H186" s="143">
        <f>(INDEX(Production_Consumption!$AA$83:$AJ$99,MATCH('County Scaled Consumption '!$B186,Production_Consumption!$AA$83:$AA$99,0),MATCH('County Scaled Consumption '!H$2,Production_Consumption!$AA$83:$AJ$83,0)))*'CA Population'!$L186*10^6</f>
        <v>1021.5304186979311</v>
      </c>
      <c r="I186" s="143">
        <f>(INDEX(Production_Consumption!$AA$83:$AJ$99,MATCH('County Scaled Consumption '!$B186,Production_Consumption!$AA$83:$AA$99,0),MATCH('County Scaled Consumption '!I$2,Production_Consumption!$AA$83:$AJ$83,0)))*'CA Population'!$L186*10^6</f>
        <v>20239.058217152371</v>
      </c>
      <c r="J186" s="143">
        <f>(INDEX(Production_Consumption!$AA$83:$AJ$99,MATCH('County Scaled Consumption '!$B186,Production_Consumption!$AA$83:$AA$99,0),MATCH('County Scaled Consumption '!J$2,Production_Consumption!$AA$83:$AJ$83,0)))*'CA Population'!$L186*10^6</f>
        <v>12973.899822903721</v>
      </c>
      <c r="K186" s="143">
        <f>(INDEX(Production_Consumption!$AA$83:$AJ$99,MATCH('County Scaled Consumption '!$B186,Production_Consumption!$AA$83:$AA$99,0),MATCH('County Scaled Consumption '!K$2,Production_Consumption!$AA$83:$AJ$83,0)))*'CA Population'!$L186*10^6</f>
        <v>185128.13919837688</v>
      </c>
      <c r="L186" s="131">
        <f t="shared" si="2"/>
        <v>0</v>
      </c>
    </row>
    <row r="187" spans="1:12" x14ac:dyDescent="0.2">
      <c r="A187" s="132" t="s">
        <v>312</v>
      </c>
      <c r="B187" s="129">
        <v>2017</v>
      </c>
      <c r="C187" s="143">
        <f>(INDEX(Production_Consumption!$AA$83:$AJ$99,MATCH('County Scaled Consumption '!$B187,Production_Consumption!$AA$83:$AA$99,0),MATCH('County Scaled Consumption '!C$2,Production_Consumption!$AA$83:$AJ$83,0)))*'CA Population'!$L187*10^6</f>
        <v>352.57389531772941</v>
      </c>
      <c r="D187" s="143">
        <f>(INDEX(Production_Consumption!$AA$83:$AJ$99,MATCH('County Scaled Consumption '!$B187,Production_Consumption!$AA$83:$AA$99,0),MATCH('County Scaled Consumption '!D$2,Production_Consumption!$AA$83:$AJ$83,0)))*'CA Population'!$L187*10^6</f>
        <v>1317.1278016543747</v>
      </c>
      <c r="E187" s="143">
        <f>(INDEX(Production_Consumption!$AA$83:$AJ$99,MATCH('County Scaled Consumption '!$B187,Production_Consumption!$AA$83:$AA$99,0),MATCH('County Scaled Consumption '!E$2,Production_Consumption!$AA$83:$AJ$83,0)))*'CA Population'!$L187*10^6</f>
        <v>776.29755909653488</v>
      </c>
      <c r="F187" s="143">
        <f>(INDEX(Production_Consumption!$AA$83:$AJ$99,MATCH('County Scaled Consumption '!$B187,Production_Consumption!$AA$83:$AA$99,0),MATCH('County Scaled Consumption '!F$2,Production_Consumption!$AA$83:$AJ$83,0)))*'CA Population'!$L187*10^6</f>
        <v>230.11533413794785</v>
      </c>
      <c r="G187" s="143">
        <f>(INDEX(Production_Consumption!$AA$83:$AJ$99,MATCH('County Scaled Consumption '!$B187,Production_Consumption!$AA$83:$AA$99,0),MATCH('County Scaled Consumption '!G$2,Production_Consumption!$AA$83:$AJ$83,0)))*'CA Population'!$L187*10^6</f>
        <v>883.01014301636042</v>
      </c>
      <c r="H187" s="143">
        <f>(INDEX(Production_Consumption!$AA$83:$AJ$99,MATCH('County Scaled Consumption '!$B187,Production_Consumption!$AA$83:$AA$99,0),MATCH('County Scaled Consumption '!H$2,Production_Consumption!$AA$83:$AJ$83,0)))*'CA Population'!$L187*10^6</f>
        <v>24.094812214472416</v>
      </c>
      <c r="I187" s="143">
        <f>(INDEX(Production_Consumption!$AA$83:$AJ$99,MATCH('County Scaled Consumption '!$B187,Production_Consumption!$AA$83:$AA$99,0),MATCH('County Scaled Consumption '!I$2,Production_Consumption!$AA$83:$AJ$83,0)))*'CA Population'!$L187*10^6</f>
        <v>477.37815557332158</v>
      </c>
      <c r="J187" s="143">
        <f>(INDEX(Production_Consumption!$AA$83:$AJ$99,MATCH('County Scaled Consumption '!$B187,Production_Consumption!$AA$83:$AA$99,0),MATCH('County Scaled Consumption '!J$2,Production_Consumption!$AA$83:$AJ$83,0)))*'CA Population'!$L187*10^6</f>
        <v>306.01504781491946</v>
      </c>
      <c r="K187" s="143">
        <f>(INDEX(Production_Consumption!$AA$83:$AJ$99,MATCH('County Scaled Consumption '!$B187,Production_Consumption!$AA$83:$AA$99,0),MATCH('County Scaled Consumption '!K$2,Production_Consumption!$AA$83:$AJ$83,0)))*'CA Population'!$L187*10^6</f>
        <v>4366.6127488256607</v>
      </c>
      <c r="L187" s="131">
        <f t="shared" si="2"/>
        <v>0</v>
      </c>
    </row>
    <row r="188" spans="1:12" x14ac:dyDescent="0.2">
      <c r="A188" s="132" t="s">
        <v>313</v>
      </c>
      <c r="B188" s="129">
        <v>2017</v>
      </c>
      <c r="C188" s="143">
        <f>(INDEX(Production_Consumption!$AA$83:$AJ$99,MATCH('County Scaled Consumption '!$B188,Production_Consumption!$AA$83:$AA$99,0),MATCH('County Scaled Consumption '!C$2,Production_Consumption!$AA$83:$AJ$83,0)))*'CA Population'!$L188*10^6</f>
        <v>2430.8177778962699</v>
      </c>
      <c r="D188" s="143">
        <f>(INDEX(Production_Consumption!$AA$83:$AJ$99,MATCH('County Scaled Consumption '!$B188,Production_Consumption!$AA$83:$AA$99,0),MATCH('County Scaled Consumption '!D$2,Production_Consumption!$AA$83:$AJ$83,0)))*'CA Population'!$L188*10^6</f>
        <v>9080.9266328058948</v>
      </c>
      <c r="E188" s="143">
        <f>(INDEX(Production_Consumption!$AA$83:$AJ$99,MATCH('County Scaled Consumption '!$B188,Production_Consumption!$AA$83:$AA$99,0),MATCH('County Scaled Consumption '!E$2,Production_Consumption!$AA$83:$AJ$83,0)))*'CA Population'!$L188*10^6</f>
        <v>5352.177040472021</v>
      </c>
      <c r="F188" s="143">
        <f>(INDEX(Production_Consumption!$AA$83:$AJ$99,MATCH('County Scaled Consumption '!$B188,Production_Consumption!$AA$83:$AA$99,0),MATCH('County Scaled Consumption '!F$2,Production_Consumption!$AA$83:$AJ$83,0)))*'CA Population'!$L188*10^6</f>
        <v>1586.5282501558358</v>
      </c>
      <c r="G188" s="143">
        <f>(INDEX(Production_Consumption!$AA$83:$AJ$99,MATCH('County Scaled Consumption '!$B188,Production_Consumption!$AA$83:$AA$99,0),MATCH('County Scaled Consumption '!G$2,Production_Consumption!$AA$83:$AJ$83,0)))*'CA Population'!$L188*10^6</f>
        <v>6087.9060594449002</v>
      </c>
      <c r="H188" s="143">
        <f>(INDEX(Production_Consumption!$AA$83:$AJ$99,MATCH('County Scaled Consumption '!$B188,Production_Consumption!$AA$83:$AA$99,0),MATCH('County Scaled Consumption '!H$2,Production_Consumption!$AA$83:$AJ$83,0)))*'CA Population'!$L188*10^6</f>
        <v>166.12148166338312</v>
      </c>
      <c r="I188" s="143">
        <f>(INDEX(Production_Consumption!$AA$83:$AJ$99,MATCH('County Scaled Consumption '!$B188,Production_Consumption!$AA$83:$AA$99,0),MATCH('County Scaled Consumption '!I$2,Production_Consumption!$AA$83:$AJ$83,0)))*'CA Population'!$L188*10^6</f>
        <v>3291.2797083324194</v>
      </c>
      <c r="J188" s="143">
        <f>(INDEX(Production_Consumption!$AA$83:$AJ$99,MATCH('County Scaled Consumption '!$B188,Production_Consumption!$AA$83:$AA$99,0),MATCH('County Scaled Consumption '!J$2,Production_Consumption!$AA$83:$AJ$83,0)))*'CA Population'!$L188*10^6</f>
        <v>2109.8181924726223</v>
      </c>
      <c r="K188" s="143">
        <f>(INDEX(Production_Consumption!$AA$83:$AJ$99,MATCH('County Scaled Consumption '!$B188,Production_Consumption!$AA$83:$AA$99,0),MATCH('County Scaled Consumption '!K$2,Production_Consumption!$AA$83:$AJ$83,0)))*'CA Population'!$L188*10^6</f>
        <v>30105.575143243346</v>
      </c>
      <c r="L188" s="131">
        <f t="shared" si="2"/>
        <v>0</v>
      </c>
    </row>
    <row r="189" spans="1:12" x14ac:dyDescent="0.2">
      <c r="A189" s="132" t="s">
        <v>314</v>
      </c>
      <c r="B189" s="129">
        <v>2017</v>
      </c>
      <c r="C189" s="143">
        <f>(INDEX(Production_Consumption!$AA$83:$AJ$99,MATCH('County Scaled Consumption '!$B189,Production_Consumption!$AA$83:$AA$99,0),MATCH('County Scaled Consumption '!C$2,Production_Consumption!$AA$83:$AJ$83,0)))*'CA Population'!$L189*10^6</f>
        <v>13047.428515564803</v>
      </c>
      <c r="D189" s="143">
        <f>(INDEX(Production_Consumption!$AA$83:$AJ$99,MATCH('County Scaled Consumption '!$B189,Production_Consumption!$AA$83:$AA$99,0),MATCH('County Scaled Consumption '!D$2,Production_Consumption!$AA$83:$AJ$83,0)))*'CA Population'!$L189*10^6</f>
        <v>48741.926348409106</v>
      </c>
      <c r="E189" s="143">
        <f>(INDEX(Production_Consumption!$AA$83:$AJ$99,MATCH('County Scaled Consumption '!$B189,Production_Consumption!$AA$83:$AA$99,0),MATCH('County Scaled Consumption '!E$2,Production_Consumption!$AA$83:$AJ$83,0)))*'CA Population'!$L189*10^6</f>
        <v>28727.841294069152</v>
      </c>
      <c r="F189" s="143">
        <f>(INDEX(Production_Consumption!$AA$83:$AJ$99,MATCH('County Scaled Consumption '!$B189,Production_Consumption!$AA$83:$AA$99,0),MATCH('County Scaled Consumption '!F$2,Production_Consumption!$AA$83:$AJ$83,0)))*'CA Population'!$L189*10^6</f>
        <v>8515.6995806354171</v>
      </c>
      <c r="G189" s="143">
        <f>(INDEX(Production_Consumption!$AA$83:$AJ$99,MATCH('County Scaled Consumption '!$B189,Production_Consumption!$AA$83:$AA$99,0),MATCH('County Scaled Consumption '!G$2,Production_Consumption!$AA$83:$AJ$83,0)))*'CA Population'!$L189*10^6</f>
        <v>32676.871068807322</v>
      </c>
      <c r="H189" s="143">
        <f>(INDEX(Production_Consumption!$AA$83:$AJ$99,MATCH('County Scaled Consumption '!$B189,Production_Consumption!$AA$83:$AA$99,0),MATCH('County Scaled Consumption '!H$2,Production_Consumption!$AA$83:$AJ$83,0)))*'CA Population'!$L189*10^6</f>
        <v>891.65801592026685</v>
      </c>
      <c r="I189" s="143">
        <f>(INDEX(Production_Consumption!$AA$83:$AJ$99,MATCH('County Scaled Consumption '!$B189,Production_Consumption!$AA$83:$AA$99,0),MATCH('County Scaled Consumption '!I$2,Production_Consumption!$AA$83:$AJ$83,0)))*'CA Population'!$L189*10^6</f>
        <v>17665.962915723212</v>
      </c>
      <c r="J189" s="143">
        <f>(INDEX(Production_Consumption!$AA$83:$AJ$99,MATCH('County Scaled Consumption '!$B189,Production_Consumption!$AA$83:$AA$99,0),MATCH('County Scaled Consumption '!J$2,Production_Consumption!$AA$83:$AJ$83,0)))*'CA Population'!$L189*10^6</f>
        <v>11324.461379802928</v>
      </c>
      <c r="K189" s="143">
        <f>(INDEX(Production_Consumption!$AA$83:$AJ$99,MATCH('County Scaled Consumption '!$B189,Production_Consumption!$AA$83:$AA$99,0),MATCH('County Scaled Consumption '!K$2,Production_Consumption!$AA$83:$AJ$83,0)))*'CA Population'!$L189*10^6</f>
        <v>161591.84911893221</v>
      </c>
      <c r="L189" s="131">
        <f t="shared" si="2"/>
        <v>0</v>
      </c>
    </row>
    <row r="190" spans="1:12" x14ac:dyDescent="0.2">
      <c r="A190" s="132" t="s">
        <v>315</v>
      </c>
      <c r="B190" s="129">
        <v>2017</v>
      </c>
      <c r="C190" s="143">
        <f>(INDEX(Production_Consumption!$AA$83:$AJ$99,MATCH('County Scaled Consumption '!$B190,Production_Consumption!$AA$83:$AA$99,0),MATCH('County Scaled Consumption '!C$2,Production_Consumption!$AA$83:$AJ$83,0)))*'CA Population'!$L190*10^6</f>
        <v>372.23141422781157</v>
      </c>
      <c r="D190" s="143">
        <f>(INDEX(Production_Consumption!$AA$83:$AJ$99,MATCH('County Scaled Consumption '!$B190,Production_Consumption!$AA$83:$AA$99,0),MATCH('County Scaled Consumption '!D$2,Production_Consumption!$AA$83:$AJ$83,0)))*'CA Population'!$L190*10^6</f>
        <v>1390.5633707984919</v>
      </c>
      <c r="E190" s="143">
        <f>(INDEX(Production_Consumption!$AA$83:$AJ$99,MATCH('County Scaled Consumption '!$B190,Production_Consumption!$AA$83:$AA$99,0),MATCH('County Scaled Consumption '!E$2,Production_Consumption!$AA$83:$AJ$83,0)))*'CA Population'!$L190*10^6</f>
        <v>819.5795041028116</v>
      </c>
      <c r="F190" s="143">
        <f>(INDEX(Production_Consumption!$AA$83:$AJ$99,MATCH('County Scaled Consumption '!$B190,Production_Consumption!$AA$83:$AA$99,0),MATCH('County Scaled Consumption '!F$2,Production_Consumption!$AA$83:$AJ$83,0)))*'CA Population'!$L190*10^6</f>
        <v>242.94525884987283</v>
      </c>
      <c r="G190" s="143">
        <f>(INDEX(Production_Consumption!$AA$83:$AJ$99,MATCH('County Scaled Consumption '!$B190,Production_Consumption!$AA$83:$AA$99,0),MATCH('County Scaled Consumption '!G$2,Production_Consumption!$AA$83:$AJ$83,0)))*'CA Population'!$L190*10^6</f>
        <v>932.24177591560294</v>
      </c>
      <c r="H190" s="143">
        <f>(INDEX(Production_Consumption!$AA$83:$AJ$99,MATCH('County Scaled Consumption '!$B190,Production_Consumption!$AA$83:$AA$99,0),MATCH('County Scaled Consumption '!H$2,Production_Consumption!$AA$83:$AJ$83,0)))*'CA Population'!$L190*10^6</f>
        <v>25.438202162029466</v>
      </c>
      <c r="I190" s="143">
        <f>(INDEX(Production_Consumption!$AA$83:$AJ$99,MATCH('County Scaled Consumption '!$B190,Production_Consumption!$AA$83:$AA$99,0),MATCH('County Scaled Consumption '!I$2,Production_Consumption!$AA$83:$AJ$83,0)))*'CA Population'!$L190*10^6</f>
        <v>503.99405154595456</v>
      </c>
      <c r="J190" s="143">
        <f>(INDEX(Production_Consumption!$AA$83:$AJ$99,MATCH('County Scaled Consumption '!$B190,Production_Consumption!$AA$83:$AA$99,0),MATCH('County Scaled Consumption '!J$2,Production_Consumption!$AA$83:$AJ$83,0)))*'CA Population'!$L190*10^6</f>
        <v>323.07670969368809</v>
      </c>
      <c r="K190" s="143">
        <f>(INDEX(Production_Consumption!$AA$83:$AJ$99,MATCH('County Scaled Consumption '!$B190,Production_Consumption!$AA$83:$AA$99,0),MATCH('County Scaled Consumption '!K$2,Production_Consumption!$AA$83:$AJ$83,0)))*'CA Population'!$L190*10^6</f>
        <v>4610.0702872962629</v>
      </c>
      <c r="L190" s="131">
        <f t="shared" si="2"/>
        <v>0</v>
      </c>
    </row>
    <row r="191" spans="1:12" x14ac:dyDescent="0.2">
      <c r="A191" s="132" t="s">
        <v>316</v>
      </c>
      <c r="B191" s="129">
        <v>2017</v>
      </c>
      <c r="C191" s="143">
        <f>(INDEX(Production_Consumption!$AA$83:$AJ$99,MATCH('County Scaled Consumption '!$B191,Production_Consumption!$AA$83:$AA$99,0),MATCH('County Scaled Consumption '!C$2,Production_Consumption!$AA$83:$AJ$83,0)))*'CA Population'!$L191*10^6</f>
        <v>1779.8070045800214</v>
      </c>
      <c r="D191" s="143">
        <f>(INDEX(Production_Consumption!$AA$83:$AJ$99,MATCH('County Scaled Consumption '!$B191,Production_Consumption!$AA$83:$AA$99,0),MATCH('County Scaled Consumption '!D$2,Production_Consumption!$AA$83:$AJ$83,0)))*'CA Population'!$L191*10^6</f>
        <v>6648.9133723271998</v>
      </c>
      <c r="E191" s="143">
        <f>(INDEX(Production_Consumption!$AA$83:$AJ$99,MATCH('County Scaled Consumption '!$B191,Production_Consumption!$AA$83:$AA$99,0),MATCH('County Scaled Consumption '!E$2,Production_Consumption!$AA$83:$AJ$83,0)))*'CA Population'!$L191*10^6</f>
        <v>3918.7808617347409</v>
      </c>
      <c r="F191" s="143">
        <f>(INDEX(Production_Consumption!$AA$83:$AJ$99,MATCH('County Scaled Consumption '!$B191,Production_Consumption!$AA$83:$AA$99,0),MATCH('County Scaled Consumption '!F$2,Production_Consumption!$AA$83:$AJ$83,0)))*'CA Population'!$L191*10^6</f>
        <v>1161.6313317550278</v>
      </c>
      <c r="G191" s="143">
        <f>(INDEX(Production_Consumption!$AA$83:$AJ$99,MATCH('County Scaled Consumption '!$B191,Production_Consumption!$AA$83:$AA$99,0),MATCH('County Scaled Consumption '!G$2,Production_Consumption!$AA$83:$AJ$83,0)))*'CA Population'!$L191*10^6</f>
        <v>4457.4702169582224</v>
      </c>
      <c r="H191" s="143">
        <f>(INDEX(Production_Consumption!$AA$83:$AJ$99,MATCH('County Scaled Consumption '!$B191,Production_Consumption!$AA$83:$AA$99,0),MATCH('County Scaled Consumption '!H$2,Production_Consumption!$AA$83:$AJ$83,0)))*'CA Population'!$L191*10^6</f>
        <v>121.63156751781733</v>
      </c>
      <c r="I191" s="143">
        <f>(INDEX(Production_Consumption!$AA$83:$AJ$99,MATCH('County Scaled Consumption '!$B191,Production_Consumption!$AA$83:$AA$99,0),MATCH('County Scaled Consumption '!I$2,Production_Consumption!$AA$83:$AJ$83,0)))*'CA Population'!$L191*10^6</f>
        <v>2409.823859356397</v>
      </c>
      <c r="J191" s="143">
        <f>(INDEX(Production_Consumption!$AA$83:$AJ$99,MATCH('County Scaled Consumption '!$B191,Production_Consumption!$AA$83:$AA$99,0),MATCH('County Scaled Consumption '!J$2,Production_Consumption!$AA$83:$AJ$83,0)))*'CA Population'!$L191*10^6</f>
        <v>1544.7760961345793</v>
      </c>
      <c r="K191" s="143">
        <f>(INDEX(Production_Consumption!$AA$83:$AJ$99,MATCH('County Scaled Consumption '!$B191,Production_Consumption!$AA$83:$AA$99,0),MATCH('County Scaled Consumption '!K$2,Production_Consumption!$AA$83:$AJ$83,0)))*'CA Population'!$L191*10^6</f>
        <v>22042.834310364007</v>
      </c>
      <c r="L191" s="131">
        <f t="shared" si="2"/>
        <v>0</v>
      </c>
    </row>
    <row r="192" spans="1:12" x14ac:dyDescent="0.2">
      <c r="A192" s="132" t="s">
        <v>317</v>
      </c>
      <c r="B192" s="129">
        <v>2017</v>
      </c>
      <c r="C192" s="143">
        <f>(INDEX(Production_Consumption!$AA$83:$AJ$99,MATCH('County Scaled Consumption '!$B192,Production_Consumption!$AA$83:$AA$99,0),MATCH('County Scaled Consumption '!C$2,Production_Consumption!$AA$83:$AJ$83,0)))*'CA Population'!$L192*10^6</f>
        <v>2452.7748060371437</v>
      </c>
      <c r="D192" s="143">
        <f>(INDEX(Production_Consumption!$AA$83:$AJ$99,MATCH('County Scaled Consumption '!$B192,Production_Consumption!$AA$83:$AA$99,0),MATCH('County Scaled Consumption '!D$2,Production_Consumption!$AA$83:$AJ$83,0)))*'CA Population'!$L192*10^6</f>
        <v>9162.95259272556</v>
      </c>
      <c r="E192" s="143">
        <f>(INDEX(Production_Consumption!$AA$83:$AJ$99,MATCH('County Scaled Consumption '!$B192,Production_Consumption!$AA$83:$AA$99,0),MATCH('County Scaled Consumption '!E$2,Production_Consumption!$AA$83:$AJ$83,0)))*'CA Population'!$L192*10^6</f>
        <v>5400.5220472270275</v>
      </c>
      <c r="F192" s="143">
        <f>(INDEX(Production_Consumption!$AA$83:$AJ$99,MATCH('County Scaled Consumption '!$B192,Production_Consumption!$AA$83:$AA$99,0),MATCH('County Scaled Consumption '!F$2,Production_Consumption!$AA$83:$AJ$83,0)))*'CA Population'!$L192*10^6</f>
        <v>1600.859001622164</v>
      </c>
      <c r="G192" s="143">
        <f>(INDEX(Production_Consumption!$AA$83:$AJ$99,MATCH('County Scaled Consumption '!$B192,Production_Consumption!$AA$83:$AA$99,0),MATCH('County Scaled Consumption '!G$2,Production_Consumption!$AA$83:$AJ$83,0)))*'CA Population'!$L192*10^6</f>
        <v>6142.8967403102979</v>
      </c>
      <c r="H192" s="143">
        <f>(INDEX(Production_Consumption!$AA$83:$AJ$99,MATCH('County Scaled Consumption '!$B192,Production_Consumption!$AA$83:$AA$99,0),MATCH('County Scaled Consumption '!H$2,Production_Consumption!$AA$83:$AJ$83,0)))*'CA Population'!$L192*10^6</f>
        <v>167.62201949919049</v>
      </c>
      <c r="I192" s="143">
        <f>(INDEX(Production_Consumption!$AA$83:$AJ$99,MATCH('County Scaled Consumption '!$B192,Production_Consumption!$AA$83:$AA$99,0),MATCH('County Scaled Consumption '!I$2,Production_Consumption!$AA$83:$AJ$83,0)))*'CA Population'!$L192*10^6</f>
        <v>3321.0090948098723</v>
      </c>
      <c r="J192" s="143">
        <f>(INDEX(Production_Consumption!$AA$83:$AJ$99,MATCH('County Scaled Consumption '!$B192,Production_Consumption!$AA$83:$AA$99,0),MATCH('County Scaled Consumption '!J$2,Production_Consumption!$AA$83:$AJ$83,0)))*'CA Population'!$L192*10^6</f>
        <v>2128.8757038358726</v>
      </c>
      <c r="K192" s="143">
        <f>(INDEX(Production_Consumption!$AA$83:$AJ$99,MATCH('County Scaled Consumption '!$B192,Production_Consumption!$AA$83:$AA$99,0),MATCH('County Scaled Consumption '!K$2,Production_Consumption!$AA$83:$AJ$83,0)))*'CA Population'!$L192*10^6</f>
        <v>30377.512006067129</v>
      </c>
      <c r="L192" s="131">
        <f t="shared" si="2"/>
        <v>0</v>
      </c>
    </row>
    <row r="193" spans="1:12" x14ac:dyDescent="0.2">
      <c r="A193" s="132" t="s">
        <v>318</v>
      </c>
      <c r="B193" s="129">
        <v>2017</v>
      </c>
      <c r="C193" s="143">
        <f>(INDEX(Production_Consumption!$AA$83:$AJ$99,MATCH('County Scaled Consumption '!$B193,Production_Consumption!$AA$83:$AA$99,0),MATCH('County Scaled Consumption '!C$2,Production_Consumption!$AA$83:$AJ$83,0)))*'CA Population'!$L193*10^6</f>
        <v>244.3392808375514</v>
      </c>
      <c r="D193" s="143">
        <f>(INDEX(Production_Consumption!$AA$83:$AJ$99,MATCH('County Scaled Consumption '!$B193,Production_Consumption!$AA$83:$AA$99,0),MATCH('County Scaled Consumption '!D$2,Production_Consumption!$AA$83:$AJ$83,0)))*'CA Population'!$L193*10^6</f>
        <v>912.79037983613227</v>
      </c>
      <c r="E193" s="143">
        <f>(INDEX(Production_Consumption!$AA$83:$AJ$99,MATCH('County Scaled Consumption '!$B193,Production_Consumption!$AA$83:$AA$99,0),MATCH('County Scaled Consumption '!E$2,Production_Consumption!$AA$83:$AJ$83,0)))*'CA Population'!$L193*10^6</f>
        <v>537.98647552922137</v>
      </c>
      <c r="F193" s="143">
        <f>(INDEX(Production_Consumption!$AA$83:$AJ$99,MATCH('County Scaled Consumption '!$B193,Production_Consumption!$AA$83:$AA$99,0),MATCH('County Scaled Consumption '!F$2,Production_Consumption!$AA$83:$AJ$83,0)))*'CA Population'!$L193*10^6</f>
        <v>159.47356284641998</v>
      </c>
      <c r="G193" s="143">
        <f>(INDEX(Production_Consumption!$AA$83:$AJ$99,MATCH('County Scaled Consumption '!$B193,Production_Consumption!$AA$83:$AA$99,0),MATCH('County Scaled Consumption '!G$2,Production_Consumption!$AA$83:$AJ$83,0)))*'CA Population'!$L193*10^6</f>
        <v>611.93998246083868</v>
      </c>
      <c r="H193" s="143">
        <f>(INDEX(Production_Consumption!$AA$83:$AJ$99,MATCH('County Scaled Consumption '!$B193,Production_Consumption!$AA$83:$AA$99,0),MATCH('County Scaled Consumption '!H$2,Production_Consumption!$AA$83:$AJ$83,0)))*'CA Population'!$L193*10^6</f>
        <v>16.698085611512919</v>
      </c>
      <c r="I193" s="143">
        <f>(INDEX(Production_Consumption!$AA$83:$AJ$99,MATCH('County Scaled Consumption '!$B193,Production_Consumption!$AA$83:$AA$99,0),MATCH('County Scaled Consumption '!I$2,Production_Consumption!$AA$83:$AJ$83,0)))*'CA Population'!$L193*10^6</f>
        <v>330.83060535502074</v>
      </c>
      <c r="J193" s="143">
        <f>(INDEX(Production_Consumption!$AA$83:$AJ$99,MATCH('County Scaled Consumption '!$B193,Production_Consumption!$AA$83:$AA$99,0),MATCH('County Scaled Consumption '!J$2,Production_Consumption!$AA$83:$AJ$83,0)))*'CA Population'!$L193*10^6</f>
        <v>212.07326379391878</v>
      </c>
      <c r="K193" s="143">
        <f>(INDEX(Production_Consumption!$AA$83:$AJ$99,MATCH('County Scaled Consumption '!$B193,Production_Consumption!$AA$83:$AA$99,0),MATCH('County Scaled Consumption '!K$2,Production_Consumption!$AA$83:$AJ$83,0)))*'CA Population'!$L193*10^6</f>
        <v>3026.1316362706161</v>
      </c>
      <c r="L193" s="131">
        <f t="shared" si="2"/>
        <v>0</v>
      </c>
    </row>
    <row r="194" spans="1:12" x14ac:dyDescent="0.2">
      <c r="A194" s="132" t="s">
        <v>319</v>
      </c>
      <c r="B194" s="129">
        <v>2017</v>
      </c>
      <c r="C194" s="143">
        <f>(INDEX(Production_Consumption!$AA$83:$AJ$99,MATCH('County Scaled Consumption '!$B194,Production_Consumption!$AA$83:$AA$99,0),MATCH('County Scaled Consumption '!C$2,Production_Consumption!$AA$83:$AJ$83,0)))*'CA Population'!$L194*10^6</f>
        <v>11695.330227912033</v>
      </c>
      <c r="D194" s="143">
        <f>(INDEX(Production_Consumption!$AA$83:$AJ$99,MATCH('County Scaled Consumption '!$B194,Production_Consumption!$AA$83:$AA$99,0),MATCH('County Scaled Consumption '!D$2,Production_Consumption!$AA$83:$AJ$83,0)))*'CA Population'!$L194*10^6</f>
        <v>43690.825660333918</v>
      </c>
      <c r="E194" s="143">
        <f>(INDEX(Production_Consumption!$AA$83:$AJ$99,MATCH('County Scaled Consumption '!$B194,Production_Consumption!$AA$83:$AA$99,0),MATCH('County Scaled Consumption '!E$2,Production_Consumption!$AA$83:$AJ$83,0)))*'CA Population'!$L194*10^6</f>
        <v>25750.78991759798</v>
      </c>
      <c r="F194" s="143">
        <f>(INDEX(Production_Consumption!$AA$83:$AJ$99,MATCH('County Scaled Consumption '!$B194,Production_Consumption!$AA$83:$AA$99,0),MATCH('County Scaled Consumption '!F$2,Production_Consumption!$AA$83:$AJ$83,0)))*'CA Population'!$L194*10^6</f>
        <v>7633.2220251993431</v>
      </c>
      <c r="G194" s="143">
        <f>(INDEX(Production_Consumption!$AA$83:$AJ$99,MATCH('County Scaled Consumption '!$B194,Production_Consumption!$AA$83:$AA$99,0),MATCH('County Scaled Consumption '!G$2,Production_Consumption!$AA$83:$AJ$83,0)))*'CA Population'!$L194*10^6</f>
        <v>29290.583773553877</v>
      </c>
      <c r="H194" s="143">
        <f>(INDEX(Production_Consumption!$AA$83:$AJ$99,MATCH('County Scaled Consumption '!$B194,Production_Consumption!$AA$83:$AA$99,0),MATCH('County Scaled Consumption '!H$2,Production_Consumption!$AA$83:$AJ$83,0)))*'CA Population'!$L194*10^6</f>
        <v>799.25595561700959</v>
      </c>
      <c r="I194" s="143">
        <f>(INDEX(Production_Consumption!$AA$83:$AJ$99,MATCH('County Scaled Consumption '!$B194,Production_Consumption!$AA$83:$AA$99,0),MATCH('County Scaled Consumption '!I$2,Production_Consumption!$AA$83:$AJ$83,0)))*'CA Population'!$L194*10^6</f>
        <v>15835.24829026334</v>
      </c>
      <c r="J194" s="143">
        <f>(INDEX(Production_Consumption!$AA$83:$AJ$99,MATCH('County Scaled Consumption '!$B194,Production_Consumption!$AA$83:$AA$99,0),MATCH('County Scaled Consumption '!J$2,Production_Consumption!$AA$83:$AJ$83,0)))*'CA Population'!$L194*10^6</f>
        <v>10150.91328778193</v>
      </c>
      <c r="K194" s="143">
        <f>(INDEX(Production_Consumption!$AA$83:$AJ$99,MATCH('County Scaled Consumption '!$B194,Production_Consumption!$AA$83:$AA$99,0),MATCH('County Scaled Consumption '!K$2,Production_Consumption!$AA$83:$AJ$83,0)))*'CA Population'!$L194*10^6</f>
        <v>144846.16913825943</v>
      </c>
      <c r="L194" s="131">
        <f t="shared" si="2"/>
        <v>0</v>
      </c>
    </row>
    <row r="195" spans="1:12" x14ac:dyDescent="0.2">
      <c r="A195" s="132" t="s">
        <v>320</v>
      </c>
      <c r="B195" s="129">
        <v>2017</v>
      </c>
      <c r="C195" s="143">
        <f>(INDEX(Production_Consumption!$AA$83:$AJ$99,MATCH('County Scaled Consumption '!$B195,Production_Consumption!$AA$83:$AA$99,0),MATCH('County Scaled Consumption '!C$2,Production_Consumption!$AA$83:$AJ$83,0)))*'CA Population'!$L195*10^6</f>
        <v>1954.3331851707367</v>
      </c>
      <c r="D195" s="143">
        <f>(INDEX(Production_Consumption!$AA$83:$AJ$99,MATCH('County Scaled Consumption '!$B195,Production_Consumption!$AA$83:$AA$99,0),MATCH('County Scaled Consumption '!D$2,Production_Consumption!$AA$83:$AJ$83,0)))*'CA Population'!$L195*10^6</f>
        <v>7300.8994882176812</v>
      </c>
      <c r="E195" s="143">
        <f>(INDEX(Production_Consumption!$AA$83:$AJ$99,MATCH('County Scaled Consumption '!$B195,Production_Consumption!$AA$83:$AA$99,0),MATCH('County Scaled Consumption '!E$2,Production_Consumption!$AA$83:$AJ$83,0)))*'CA Population'!$L195*10^6</f>
        <v>4303.052782572553</v>
      </c>
      <c r="F195" s="143">
        <f>(INDEX(Production_Consumption!$AA$83:$AJ$99,MATCH('County Scaled Consumption '!$B195,Production_Consumption!$AA$83:$AA$99,0),MATCH('County Scaled Consumption '!F$2,Production_Consumption!$AA$83:$AJ$83,0)))*'CA Population'!$L195*10^6</f>
        <v>1275.5397943377732</v>
      </c>
      <c r="G195" s="143">
        <f>(INDEX(Production_Consumption!$AA$83:$AJ$99,MATCH('County Scaled Consumption '!$B195,Production_Consumption!$AA$83:$AA$99,0),MATCH('County Scaled Consumption '!G$2,Production_Consumption!$AA$83:$AJ$83,0)))*'CA Population'!$L195*10^6</f>
        <v>4894.5655031666029</v>
      </c>
      <c r="H195" s="143">
        <f>(INDEX(Production_Consumption!$AA$83:$AJ$99,MATCH('County Scaled Consumption '!$B195,Production_Consumption!$AA$83:$AA$99,0),MATCH('County Scaled Consumption '!H$2,Production_Consumption!$AA$83:$AJ$83,0)))*'CA Population'!$L195*10^6</f>
        <v>133.55864324205044</v>
      </c>
      <c r="I195" s="143">
        <f>(INDEX(Production_Consumption!$AA$83:$AJ$99,MATCH('County Scaled Consumption '!$B195,Production_Consumption!$AA$83:$AA$99,0),MATCH('County Scaled Consumption '!I$2,Production_Consumption!$AA$83:$AJ$83,0)))*'CA Population'!$L195*10^6</f>
        <v>2646.1288929850812</v>
      </c>
      <c r="J195" s="143">
        <f>(INDEX(Production_Consumption!$AA$83:$AJ$99,MATCH('County Scaled Consumption '!$B195,Production_Consumption!$AA$83:$AA$99,0),MATCH('County Scaled Consumption '!J$2,Production_Consumption!$AA$83:$AJ$83,0)))*'CA Population'!$L195*10^6</f>
        <v>1696.255369579636</v>
      </c>
      <c r="K195" s="143">
        <f>(INDEX(Production_Consumption!$AA$83:$AJ$99,MATCH('County Scaled Consumption '!$B195,Production_Consumption!$AA$83:$AA$99,0),MATCH('County Scaled Consumption '!K$2,Production_Consumption!$AA$83:$AJ$83,0)))*'CA Population'!$L195*10^6</f>
        <v>24204.333659272113</v>
      </c>
      <c r="L195" s="131">
        <f t="shared" si="2"/>
        <v>0</v>
      </c>
    </row>
    <row r="196" spans="1:12" x14ac:dyDescent="0.2">
      <c r="A196" s="132" t="s">
        <v>321</v>
      </c>
      <c r="B196" s="129">
        <v>2017</v>
      </c>
      <c r="C196" s="143">
        <f>(INDEX(Production_Consumption!$AA$83:$AJ$99,MATCH('County Scaled Consumption '!$B196,Production_Consumption!$AA$83:$AA$99,0),MATCH('County Scaled Consumption '!C$2,Production_Consumption!$AA$83:$AJ$83,0)))*'CA Population'!$L196*10^6</f>
        <v>846.88953962145865</v>
      </c>
      <c r="D196" s="143">
        <f>(INDEX(Production_Consumption!$AA$83:$AJ$99,MATCH('County Scaled Consumption '!$B196,Production_Consumption!$AA$83:$AA$99,0),MATCH('County Scaled Consumption '!D$2,Production_Consumption!$AA$83:$AJ$83,0)))*'CA Population'!$L196*10^6</f>
        <v>3163.7672907135548</v>
      </c>
      <c r="E196" s="143">
        <f>(INDEX(Production_Consumption!$AA$83:$AJ$99,MATCH('County Scaled Consumption '!$B196,Production_Consumption!$AA$83:$AA$99,0),MATCH('County Scaled Consumption '!E$2,Production_Consumption!$AA$83:$AJ$83,0)))*'CA Population'!$L196*10^6</f>
        <v>1864.6822443847186</v>
      </c>
      <c r="F196" s="143">
        <f>(INDEX(Production_Consumption!$AA$83:$AJ$99,MATCH('County Scaled Consumption '!$B196,Production_Consumption!$AA$83:$AA$99,0),MATCH('County Scaled Consumption '!F$2,Production_Consumption!$AA$83:$AJ$83,0)))*'CA Population'!$L196*10^6</f>
        <v>552.74162941729571</v>
      </c>
      <c r="G196" s="143">
        <f>(INDEX(Production_Consumption!$AA$83:$AJ$99,MATCH('County Scaled Consumption '!$B196,Production_Consumption!$AA$83:$AA$99,0),MATCH('County Scaled Consumption '!G$2,Production_Consumption!$AA$83:$AJ$83,0)))*'CA Population'!$L196*10^6</f>
        <v>2121.0080026664964</v>
      </c>
      <c r="H196" s="143">
        <f>(INDEX(Production_Consumption!$AA$83:$AJ$99,MATCH('County Scaled Consumption '!$B196,Production_Consumption!$AA$83:$AA$99,0),MATCH('County Scaled Consumption '!H$2,Production_Consumption!$AA$83:$AJ$83,0)))*'CA Population'!$L196*10^6</f>
        <v>57.876220260694751</v>
      </c>
      <c r="I196" s="143">
        <f>(INDEX(Production_Consumption!$AA$83:$AJ$99,MATCH('County Scaled Consumption '!$B196,Production_Consumption!$AA$83:$AA$99,0),MATCH('County Scaled Consumption '!I$2,Production_Consumption!$AA$83:$AJ$83,0)))*'CA Population'!$L196*10^6</f>
        <v>1146.6718658637501</v>
      </c>
      <c r="J196" s="143">
        <f>(INDEX(Production_Consumption!$AA$83:$AJ$99,MATCH('County Scaled Consumption '!$B196,Production_Consumption!$AA$83:$AA$99,0),MATCH('County Scaled Consumption '!J$2,Production_Consumption!$AA$83:$AJ$83,0)))*'CA Population'!$L196*10^6</f>
        <v>735.05425785328623</v>
      </c>
      <c r="K196" s="143">
        <f>(INDEX(Production_Consumption!$AA$83:$AJ$99,MATCH('County Scaled Consumption '!$B196,Production_Consumption!$AA$83:$AA$99,0),MATCH('County Scaled Consumption '!K$2,Production_Consumption!$AA$83:$AJ$83,0)))*'CA Population'!$L196*10^6</f>
        <v>10488.691050781255</v>
      </c>
      <c r="L196" s="131">
        <f t="shared" ref="L196:L259" si="3">K196-SUM(C196:J196)</f>
        <v>0</v>
      </c>
    </row>
    <row r="197" spans="1:12" x14ac:dyDescent="0.2">
      <c r="A197" s="132" t="s">
        <v>322</v>
      </c>
      <c r="B197" s="129">
        <v>2017</v>
      </c>
      <c r="C197" s="143">
        <f>(INDEX(Production_Consumption!$AA$83:$AJ$99,MATCH('County Scaled Consumption '!$B197,Production_Consumption!$AA$83:$AA$99,0),MATCH('County Scaled Consumption '!C$2,Production_Consumption!$AA$83:$AJ$83,0)))*'CA Population'!$L197*10^6</f>
        <v>391.11367002579817</v>
      </c>
      <c r="D197" s="143">
        <f>(INDEX(Production_Consumption!$AA$83:$AJ$99,MATCH('County Scaled Consumption '!$B197,Production_Consumption!$AA$83:$AA$99,0),MATCH('County Scaled Consumption '!D$2,Production_Consumption!$AA$83:$AJ$83,0)))*'CA Population'!$L197*10^6</f>
        <v>1461.1027510525666</v>
      </c>
      <c r="E197" s="143">
        <f>(INDEX(Production_Consumption!$AA$83:$AJ$99,MATCH('County Scaled Consumption '!$B197,Production_Consumption!$AA$83:$AA$99,0),MATCH('County Scaled Consumption '!E$2,Production_Consumption!$AA$83:$AJ$83,0)))*'CA Population'!$L197*10^6</f>
        <v>861.15447400523112</v>
      </c>
      <c r="F197" s="143">
        <f>(INDEX(Production_Consumption!$AA$83:$AJ$99,MATCH('County Scaled Consumption '!$B197,Production_Consumption!$AA$83:$AA$99,0),MATCH('County Scaled Consumption '!F$2,Production_Consumption!$AA$83:$AJ$83,0)))*'CA Population'!$L197*10^6</f>
        <v>255.26919054174192</v>
      </c>
      <c r="G197" s="143">
        <f>(INDEX(Production_Consumption!$AA$83:$AJ$99,MATCH('County Scaled Consumption '!$B197,Production_Consumption!$AA$83:$AA$99,0),MATCH('County Scaled Consumption '!G$2,Production_Consumption!$AA$83:$AJ$83,0)))*'CA Population'!$L197*10^6</f>
        <v>979.53178692911331</v>
      </c>
      <c r="H197" s="143">
        <f>(INDEX(Production_Consumption!$AA$83:$AJ$99,MATCH('County Scaled Consumption '!$B197,Production_Consumption!$AA$83:$AA$99,0),MATCH('County Scaled Consumption '!H$2,Production_Consumption!$AA$83:$AJ$83,0)))*'CA Population'!$L197*10^6</f>
        <v>26.728610821547836</v>
      </c>
      <c r="I197" s="143">
        <f>(INDEX(Production_Consumption!$AA$83:$AJ$99,MATCH('County Scaled Consumption '!$B197,Production_Consumption!$AA$83:$AA$99,0),MATCH('County Scaled Consumption '!I$2,Production_Consumption!$AA$83:$AJ$83,0)))*'CA Population'!$L197*10^6</f>
        <v>529.56025643410544</v>
      </c>
      <c r="J197" s="143">
        <f>(INDEX(Production_Consumption!$AA$83:$AJ$99,MATCH('County Scaled Consumption '!$B197,Production_Consumption!$AA$83:$AA$99,0),MATCH('County Scaled Consumption '!J$2,Production_Consumption!$AA$83:$AJ$83,0)))*'CA Population'!$L197*10^6</f>
        <v>339.46548517483154</v>
      </c>
      <c r="K197" s="143">
        <f>(INDEX(Production_Consumption!$AA$83:$AJ$99,MATCH('County Scaled Consumption '!$B197,Production_Consumption!$AA$83:$AA$99,0),MATCH('County Scaled Consumption '!K$2,Production_Consumption!$AA$83:$AJ$83,0)))*'CA Population'!$L197*10^6</f>
        <v>4843.9262249849362</v>
      </c>
      <c r="L197" s="131">
        <f t="shared" si="3"/>
        <v>0</v>
      </c>
    </row>
    <row r="198" spans="1:12" x14ac:dyDescent="0.2">
      <c r="A198" s="132" t="s">
        <v>323</v>
      </c>
      <c r="B198" s="129">
        <v>2017</v>
      </c>
      <c r="C198" s="143">
        <f>(INDEX(Production_Consumption!$AA$83:$AJ$99,MATCH('County Scaled Consumption '!$B198,Production_Consumption!$AA$83:$AA$99,0),MATCH('County Scaled Consumption '!C$2,Production_Consumption!$AA$83:$AJ$83,0)))*'CA Population'!$L198*10^6</f>
        <v>133781.00570963195</v>
      </c>
      <c r="D198" s="143">
        <f>(INDEX(Production_Consumption!$AA$83:$AJ$99,MATCH('County Scaled Consumption '!$B198,Production_Consumption!$AA$83:$AA$99,0),MATCH('County Scaled Consumption '!D$2,Production_Consumption!$AA$83:$AJ$83,0)))*'CA Population'!$L198*10^6</f>
        <v>499772.34359522426</v>
      </c>
      <c r="E198" s="143">
        <f>(INDEX(Production_Consumption!$AA$83:$AJ$99,MATCH('County Scaled Consumption '!$B198,Production_Consumption!$AA$83:$AA$99,0),MATCH('County Scaled Consumption '!E$2,Production_Consumption!$AA$83:$AJ$83,0)))*'CA Population'!$L198*10^6</f>
        <v>294559.1535989265</v>
      </c>
      <c r="F198" s="143">
        <f>(INDEX(Production_Consumption!$AA$83:$AJ$99,MATCH('County Scaled Consumption '!$B198,Production_Consumption!$AA$83:$AA$99,0),MATCH('County Scaled Consumption '!F$2,Production_Consumption!$AA$83:$AJ$83,0)))*'CA Population'!$L198*10^6</f>
        <v>87315.201831491417</v>
      </c>
      <c r="G198" s="143">
        <f>(INDEX(Production_Consumption!$AA$83:$AJ$99,MATCH('County Scaled Consumption '!$B198,Production_Consumption!$AA$83:$AA$99,0),MATCH('County Scaled Consumption '!G$2,Production_Consumption!$AA$83:$AJ$83,0)))*'CA Population'!$L198*10^6</f>
        <v>335050.28748109471</v>
      </c>
      <c r="H198" s="143">
        <f>(INDEX(Production_Consumption!$AA$83:$AJ$99,MATCH('County Scaled Consumption '!$B198,Production_Consumption!$AA$83:$AA$99,0),MATCH('County Scaled Consumption '!H$2,Production_Consumption!$AA$83:$AJ$83,0)))*'CA Population'!$L198*10^6</f>
        <v>9142.5606184824992</v>
      </c>
      <c r="I198" s="143">
        <f>(INDEX(Production_Consumption!$AA$83:$AJ$99,MATCH('County Scaled Consumption '!$B198,Production_Consumption!$AA$83:$AA$99,0),MATCH('County Scaled Consumption '!I$2,Production_Consumption!$AA$83:$AJ$83,0)))*'CA Population'!$L198*10^6</f>
        <v>181136.86408591195</v>
      </c>
      <c r="J198" s="143">
        <f>(INDEX(Production_Consumption!$AA$83:$AJ$99,MATCH('County Scaled Consumption '!$B198,Production_Consumption!$AA$83:$AA$99,0),MATCH('County Scaled Consumption '!J$2,Production_Consumption!$AA$83:$AJ$83,0)))*'CA Population'!$L198*10^6</f>
        <v>116114.66816642223</v>
      </c>
      <c r="K198" s="143">
        <f>(INDEX(Production_Consumption!$AA$83:$AJ$99,MATCH('County Scaled Consumption '!$B198,Production_Consumption!$AA$83:$AA$99,0),MATCH('County Scaled Consumption '!K$2,Production_Consumption!$AA$83:$AJ$83,0)))*'CA Population'!$L198*10^6</f>
        <v>1656872.0850871857</v>
      </c>
      <c r="L198" s="131">
        <f t="shared" si="3"/>
        <v>0</v>
      </c>
    </row>
    <row r="199" spans="1:12" x14ac:dyDescent="0.2">
      <c r="A199" s="132" t="s">
        <v>324</v>
      </c>
      <c r="B199" s="129">
        <v>2017</v>
      </c>
      <c r="C199" s="143">
        <f>(INDEX(Production_Consumption!$AA$83:$AJ$99,MATCH('County Scaled Consumption '!$B199,Production_Consumption!$AA$83:$AA$99,0),MATCH('County Scaled Consumption '!C$2,Production_Consumption!$AA$83:$AJ$83,0)))*'CA Population'!$L199*10^6</f>
        <v>2049.5328673255131</v>
      </c>
      <c r="D199" s="143">
        <f>(INDEX(Production_Consumption!$AA$83:$AJ$99,MATCH('County Scaled Consumption '!$B199,Production_Consumption!$AA$83:$AA$99,0),MATCH('County Scaled Consumption '!D$2,Production_Consumption!$AA$83:$AJ$83,0)))*'CA Population'!$L199*10^6</f>
        <v>7656.5416663253864</v>
      </c>
      <c r="E199" s="143">
        <f>(INDEX(Production_Consumption!$AA$83:$AJ$99,MATCH('County Scaled Consumption '!$B199,Production_Consumption!$AA$83:$AA$99,0),MATCH('County Scaled Consumption '!E$2,Production_Consumption!$AA$83:$AJ$83,0)))*'CA Population'!$L199*10^6</f>
        <v>4512.6635389699286</v>
      </c>
      <c r="F199" s="143">
        <f>(INDEX(Production_Consumption!$AA$83:$AJ$99,MATCH('County Scaled Consumption '!$B199,Production_Consumption!$AA$83:$AA$99,0),MATCH('County Scaled Consumption '!F$2,Production_Consumption!$AA$83:$AJ$83,0)))*'CA Population'!$L199*10^6</f>
        <v>1337.6740219700566</v>
      </c>
      <c r="G199" s="143">
        <f>(INDEX(Production_Consumption!$AA$83:$AJ$99,MATCH('County Scaled Consumption '!$B199,Production_Consumption!$AA$83:$AA$99,0),MATCH('County Scaled Consumption '!G$2,Production_Consumption!$AA$83:$AJ$83,0)))*'CA Population'!$L199*10^6</f>
        <v>5132.9900889654082</v>
      </c>
      <c r="H199" s="143">
        <f>(INDEX(Production_Consumption!$AA$83:$AJ$99,MATCH('County Scaled Consumption '!$B199,Production_Consumption!$AA$83:$AA$99,0),MATCH('County Scaled Consumption '!H$2,Production_Consumption!$AA$83:$AJ$83,0)))*'CA Population'!$L199*10^6</f>
        <v>140.0645658156138</v>
      </c>
      <c r="I199" s="143">
        <f>(INDEX(Production_Consumption!$AA$83:$AJ$99,MATCH('County Scaled Consumption '!$B199,Production_Consumption!$AA$83:$AA$99,0),MATCH('County Scaled Consumption '!I$2,Production_Consumption!$AA$83:$AJ$83,0)))*'CA Population'!$L199*10^6</f>
        <v>2775.027399884631</v>
      </c>
      <c r="J199" s="143">
        <f>(INDEX(Production_Consumption!$AA$83:$AJ$99,MATCH('County Scaled Consumption '!$B199,Production_Consumption!$AA$83:$AA$99,0),MATCH('County Scaled Consumption '!J$2,Production_Consumption!$AA$83:$AJ$83,0)))*'CA Population'!$L199*10^6</f>
        <v>1778.8835382371753</v>
      </c>
      <c r="K199" s="143">
        <f>(INDEX(Production_Consumption!$AA$83:$AJ$99,MATCH('County Scaled Consumption '!$B199,Production_Consumption!$AA$83:$AA$99,0),MATCH('County Scaled Consumption '!K$2,Production_Consumption!$AA$83:$AJ$83,0)))*'CA Population'!$L199*10^6</f>
        <v>25383.377687493714</v>
      </c>
      <c r="L199" s="131">
        <f t="shared" si="3"/>
        <v>0</v>
      </c>
    </row>
    <row r="200" spans="1:12" x14ac:dyDescent="0.2">
      <c r="A200" s="132" t="s">
        <v>325</v>
      </c>
      <c r="B200" s="129">
        <v>2017</v>
      </c>
      <c r="C200" s="143">
        <f>(INDEX(Production_Consumption!$AA$83:$AJ$99,MATCH('County Scaled Consumption '!$B200,Production_Consumption!$AA$83:$AA$99,0),MATCH('County Scaled Consumption '!C$2,Production_Consumption!$AA$83:$AJ$83,0)))*'CA Population'!$L200*10^6</f>
        <v>3451.8261564732757</v>
      </c>
      <c r="D200" s="143">
        <f>(INDEX(Production_Consumption!$AA$83:$AJ$99,MATCH('County Scaled Consumption '!$B200,Production_Consumption!$AA$83:$AA$99,0),MATCH('County Scaled Consumption '!D$2,Production_Consumption!$AA$83:$AJ$83,0)))*'CA Population'!$L200*10^6</f>
        <v>12895.158313043976</v>
      </c>
      <c r="E200" s="143">
        <f>(INDEX(Production_Consumption!$AA$83:$AJ$99,MATCH('County Scaled Consumption '!$B200,Production_Consumption!$AA$83:$AA$99,0),MATCH('County Scaled Consumption '!E$2,Production_Consumption!$AA$83:$AJ$83,0)))*'CA Population'!$L200*10^6</f>
        <v>7600.2343204704912</v>
      </c>
      <c r="F200" s="143">
        <f>(INDEX(Production_Consumption!$AA$83:$AJ$99,MATCH('County Scaled Consumption '!$B200,Production_Consumption!$AA$83:$AA$99,0),MATCH('County Scaled Consumption '!F$2,Production_Consumption!$AA$83:$AJ$83,0)))*'CA Population'!$L200*10^6</f>
        <v>2252.9124814165257</v>
      </c>
      <c r="G200" s="143">
        <f>(INDEX(Production_Consumption!$AA$83:$AJ$99,MATCH('County Scaled Consumption '!$B200,Production_Consumption!$AA$83:$AA$99,0),MATCH('County Scaled Consumption '!G$2,Production_Consumption!$AA$83:$AJ$83,0)))*'CA Population'!$L200*10^6</f>
        <v>8644.9891741086303</v>
      </c>
      <c r="H200" s="143">
        <f>(INDEX(Production_Consumption!$AA$83:$AJ$99,MATCH('County Scaled Consumption '!$B200,Production_Consumption!$AA$83:$AA$99,0),MATCH('County Scaled Consumption '!H$2,Production_Consumption!$AA$83:$AJ$83,0)))*'CA Population'!$L200*10^6</f>
        <v>235.89694002239236</v>
      </c>
      <c r="I200" s="143">
        <f>(INDEX(Production_Consumption!$AA$83:$AJ$99,MATCH('County Scaled Consumption '!$B200,Production_Consumption!$AA$83:$AA$99,0),MATCH('County Scaled Consumption '!I$2,Production_Consumption!$AA$83:$AJ$83,0)))*'CA Population'!$L200*10^6</f>
        <v>4673.7050752211426</v>
      </c>
      <c r="J200" s="143">
        <f>(INDEX(Production_Consumption!$AA$83:$AJ$99,MATCH('County Scaled Consumption '!$B200,Production_Consumption!$AA$83:$AA$99,0),MATCH('County Scaled Consumption '!J$2,Production_Consumption!$AA$83:$AJ$83,0)))*'CA Population'!$L200*10^6</f>
        <v>2995.9981732908573</v>
      </c>
      <c r="K200" s="143">
        <f>(INDEX(Production_Consumption!$AA$83:$AJ$99,MATCH('County Scaled Consumption '!$B200,Production_Consumption!$AA$83:$AA$99,0),MATCH('County Scaled Consumption '!K$2,Production_Consumption!$AA$83:$AJ$83,0)))*'CA Population'!$L200*10^6</f>
        <v>42750.720634047291</v>
      </c>
      <c r="L200" s="131">
        <f t="shared" si="3"/>
        <v>0</v>
      </c>
    </row>
    <row r="201" spans="1:12" x14ac:dyDescent="0.2">
      <c r="A201" s="132" t="s">
        <v>326</v>
      </c>
      <c r="B201" s="129">
        <v>2017</v>
      </c>
      <c r="C201" s="143">
        <f>(INDEX(Production_Consumption!$AA$83:$AJ$99,MATCH('County Scaled Consumption '!$B201,Production_Consumption!$AA$83:$AA$99,0),MATCH('County Scaled Consumption '!C$2,Production_Consumption!$AA$83:$AJ$83,0)))*'CA Population'!$L201*10^6</f>
        <v>238.32113667925083</v>
      </c>
      <c r="D201" s="143">
        <f>(INDEX(Production_Consumption!$AA$83:$AJ$99,MATCH('County Scaled Consumption '!$B201,Production_Consumption!$AA$83:$AA$99,0),MATCH('County Scaled Consumption '!D$2,Production_Consumption!$AA$83:$AJ$83,0)))*'CA Population'!$L201*10^6</f>
        <v>890.30809997783967</v>
      </c>
      <c r="E201" s="143">
        <f>(INDEX(Production_Consumption!$AA$83:$AJ$99,MATCH('County Scaled Consumption '!$B201,Production_Consumption!$AA$83:$AA$99,0),MATCH('County Scaled Consumption '!E$2,Production_Consumption!$AA$83:$AJ$83,0)))*'CA Population'!$L201*10^6</f>
        <v>524.73571963826225</v>
      </c>
      <c r="F201" s="143">
        <f>(INDEX(Production_Consumption!$AA$83:$AJ$99,MATCH('County Scaled Consumption '!$B201,Production_Consumption!$AA$83:$AA$99,0),MATCH('County Scaled Consumption '!F$2,Production_Consumption!$AA$83:$AJ$83,0)))*'CA Population'!$L201*10^6</f>
        <v>155.5456848263253</v>
      </c>
      <c r="G201" s="143">
        <f>(INDEX(Production_Consumption!$AA$83:$AJ$99,MATCH('County Scaled Consumption '!$B201,Production_Consumption!$AA$83:$AA$99,0),MATCH('County Scaled Consumption '!G$2,Production_Consumption!$AA$83:$AJ$83,0)))*'CA Population'!$L201*10^6</f>
        <v>596.86773121227372</v>
      </c>
      <c r="H201" s="143">
        <f>(INDEX(Production_Consumption!$AA$83:$AJ$99,MATCH('County Scaled Consumption '!$B201,Production_Consumption!$AA$83:$AA$99,0),MATCH('County Scaled Consumption '!H$2,Production_Consumption!$AA$83:$AJ$83,0)))*'CA Population'!$L201*10^6</f>
        <v>16.286807138263498</v>
      </c>
      <c r="I201" s="143">
        <f>(INDEX(Production_Consumption!$AA$83:$AJ$99,MATCH('County Scaled Consumption '!$B201,Production_Consumption!$AA$83:$AA$99,0),MATCH('County Scaled Consumption '!I$2,Production_Consumption!$AA$83:$AJ$83,0)))*'CA Population'!$L201*10^6</f>
        <v>322.68215591954879</v>
      </c>
      <c r="J201" s="143">
        <f>(INDEX(Production_Consumption!$AA$83:$AJ$99,MATCH('County Scaled Consumption '!$B201,Production_Consumption!$AA$83:$AA$99,0),MATCH('County Scaled Consumption '!J$2,Production_Consumption!$AA$83:$AJ$83,0)))*'CA Population'!$L201*10^6</f>
        <v>206.8498405716754</v>
      </c>
      <c r="K201" s="143">
        <f>(INDEX(Production_Consumption!$AA$83:$AJ$99,MATCH('County Scaled Consumption '!$B201,Production_Consumption!$AA$83:$AA$99,0),MATCH('County Scaled Consumption '!K$2,Production_Consumption!$AA$83:$AJ$83,0)))*'CA Population'!$L201*10^6</f>
        <v>2951.5971759634399</v>
      </c>
      <c r="L201" s="131">
        <f t="shared" si="3"/>
        <v>0</v>
      </c>
    </row>
    <row r="202" spans="1:12" x14ac:dyDescent="0.2">
      <c r="A202" s="132" t="s">
        <v>327</v>
      </c>
      <c r="B202" s="129">
        <v>2017</v>
      </c>
      <c r="C202" s="143">
        <f>(INDEX(Production_Consumption!$AA$83:$AJ$99,MATCH('County Scaled Consumption '!$B202,Production_Consumption!$AA$83:$AA$99,0),MATCH('County Scaled Consumption '!C$2,Production_Consumption!$AA$83:$AJ$83,0)))*'CA Population'!$L202*10^6</f>
        <v>1164.8131158443441</v>
      </c>
      <c r="D202" s="143">
        <f>(INDEX(Production_Consumption!$AA$83:$AJ$99,MATCH('County Scaled Consumption '!$B202,Production_Consumption!$AA$83:$AA$99,0),MATCH('County Scaled Consumption '!D$2,Production_Consumption!$AA$83:$AJ$83,0)))*'CA Population'!$L202*10^6</f>
        <v>4351.4501753672375</v>
      </c>
      <c r="E202" s="143">
        <f>(INDEX(Production_Consumption!$AA$83:$AJ$99,MATCH('County Scaled Consumption '!$B202,Production_Consumption!$AA$83:$AA$99,0),MATCH('County Scaled Consumption '!E$2,Production_Consumption!$AA$83:$AJ$83,0)))*'CA Population'!$L202*10^6</f>
        <v>2564.6866958732644</v>
      </c>
      <c r="F202" s="143">
        <f>(INDEX(Production_Consumption!$AA$83:$AJ$99,MATCH('County Scaled Consumption '!$B202,Production_Consumption!$AA$83:$AA$99,0),MATCH('County Scaled Consumption '!F$2,Production_Consumption!$AA$83:$AJ$83,0)))*'CA Population'!$L202*10^6</f>
        <v>760.24164840461117</v>
      </c>
      <c r="G202" s="143">
        <f>(INDEX(Production_Consumption!$AA$83:$AJ$99,MATCH('County Scaled Consumption '!$B202,Production_Consumption!$AA$83:$AA$99,0),MATCH('County Scaled Consumption '!G$2,Production_Consumption!$AA$83:$AJ$83,0)))*'CA Population'!$L202*10^6</f>
        <v>2917.2375200442862</v>
      </c>
      <c r="H202" s="143">
        <f>(INDEX(Production_Consumption!$AA$83:$AJ$99,MATCH('County Scaled Consumption '!$B202,Production_Consumption!$AA$83:$AA$99,0),MATCH('County Scaled Consumption '!H$2,Production_Consumption!$AA$83:$AJ$83,0)))*'CA Population'!$L202*10^6</f>
        <v>79.603038296218017</v>
      </c>
      <c r="I202" s="143">
        <f>(INDEX(Production_Consumption!$AA$83:$AJ$99,MATCH('County Scaled Consumption '!$B202,Production_Consumption!$AA$83:$AA$99,0),MATCH('County Scaled Consumption '!I$2,Production_Consumption!$AA$83:$AJ$83,0)))*'CA Population'!$L202*10^6</f>
        <v>1577.1341673730124</v>
      </c>
      <c r="J202" s="143">
        <f>(INDEX(Production_Consumption!$AA$83:$AJ$99,MATCH('County Scaled Consumption '!$B202,Production_Consumption!$AA$83:$AA$99,0),MATCH('County Scaled Consumption '!J$2,Production_Consumption!$AA$83:$AJ$83,0)))*'CA Population'!$L202*10^6</f>
        <v>1010.9947051506171</v>
      </c>
      <c r="K202" s="143">
        <f>(INDEX(Production_Consumption!$AA$83:$AJ$99,MATCH('County Scaled Consumption '!$B202,Production_Consumption!$AA$83:$AA$99,0),MATCH('County Scaled Consumption '!K$2,Production_Consumption!$AA$83:$AJ$83,0)))*'CA Population'!$L202*10^6</f>
        <v>14426.161066353592</v>
      </c>
      <c r="L202" s="131">
        <f t="shared" si="3"/>
        <v>0</v>
      </c>
    </row>
    <row r="203" spans="1:12" x14ac:dyDescent="0.2">
      <c r="A203" s="132" t="s">
        <v>328</v>
      </c>
      <c r="B203" s="129">
        <v>2017</v>
      </c>
      <c r="C203" s="143">
        <f>(INDEX(Production_Consumption!$AA$83:$AJ$99,MATCH('County Scaled Consumption '!$B203,Production_Consumption!$AA$83:$AA$99,0),MATCH('County Scaled Consumption '!C$2,Production_Consumption!$AA$83:$AJ$83,0)))*'CA Population'!$L203*10^6</f>
        <v>3590.0595113757249</v>
      </c>
      <c r="D203" s="143">
        <f>(INDEX(Production_Consumption!$AA$83:$AJ$99,MATCH('County Scaled Consumption '!$B203,Production_Consumption!$AA$83:$AA$99,0),MATCH('County Scaled Consumption '!D$2,Production_Consumption!$AA$83:$AJ$83,0)))*'CA Population'!$L203*10^6</f>
        <v>13411.56351852266</v>
      </c>
      <c r="E203" s="143">
        <f>(INDEX(Production_Consumption!$AA$83:$AJ$99,MATCH('County Scaled Consumption '!$B203,Production_Consumption!$AA$83:$AA$99,0),MATCH('County Scaled Consumption '!E$2,Production_Consumption!$AA$83:$AJ$83,0)))*'CA Population'!$L203*10^6</f>
        <v>7904.5966610226515</v>
      </c>
      <c r="F203" s="143">
        <f>(INDEX(Production_Consumption!$AA$83:$AJ$99,MATCH('County Scaled Consumption '!$B203,Production_Consumption!$AA$83:$AA$99,0),MATCH('County Scaled Consumption '!F$2,Production_Consumption!$AA$83:$AJ$83,0)))*'CA Population'!$L203*10^6</f>
        <v>2343.133609738351</v>
      </c>
      <c r="G203" s="143">
        <f>(INDEX(Production_Consumption!$AA$83:$AJ$99,MATCH('County Scaled Consumption '!$B203,Production_Consumption!$AA$83:$AA$99,0),MATCH('County Scaled Consumption '!G$2,Production_Consumption!$AA$83:$AJ$83,0)))*'CA Population'!$L203*10^6</f>
        <v>8991.190228988331</v>
      </c>
      <c r="H203" s="143">
        <f>(INDEX(Production_Consumption!$AA$83:$AJ$99,MATCH('County Scaled Consumption '!$B203,Production_Consumption!$AA$83:$AA$99,0),MATCH('County Scaled Consumption '!H$2,Production_Consumption!$AA$83:$AJ$83,0)))*'CA Population'!$L203*10^6</f>
        <v>245.34377307606894</v>
      </c>
      <c r="I203" s="143">
        <f>(INDEX(Production_Consumption!$AA$83:$AJ$99,MATCH('County Scaled Consumption '!$B203,Production_Consumption!$AA$83:$AA$99,0),MATCH('County Scaled Consumption '!I$2,Production_Consumption!$AA$83:$AJ$83,0)))*'CA Population'!$L203*10^6</f>
        <v>4860.8703329966111</v>
      </c>
      <c r="J203" s="143">
        <f>(INDEX(Production_Consumption!$AA$83:$AJ$99,MATCH('County Scaled Consumption '!$B203,Production_Consumption!$AA$83:$AA$99,0),MATCH('County Scaled Consumption '!J$2,Production_Consumption!$AA$83:$AJ$83,0)))*'CA Population'!$L203*10^6</f>
        <v>3115.9772394436955</v>
      </c>
      <c r="K203" s="143">
        <f>(INDEX(Production_Consumption!$AA$83:$AJ$99,MATCH('County Scaled Consumption '!$B203,Production_Consumption!$AA$83:$AA$99,0),MATCH('County Scaled Consumption '!K$2,Production_Consumption!$AA$83:$AJ$83,0)))*'CA Population'!$L203*10^6</f>
        <v>44462.734875164097</v>
      </c>
      <c r="L203" s="131">
        <f t="shared" si="3"/>
        <v>0</v>
      </c>
    </row>
    <row r="204" spans="1:12" x14ac:dyDescent="0.2">
      <c r="A204" s="132" t="s">
        <v>329</v>
      </c>
      <c r="B204" s="129">
        <v>2017</v>
      </c>
      <c r="C204" s="143">
        <f>(INDEX(Production_Consumption!$AA$83:$AJ$99,MATCH('County Scaled Consumption '!$B204,Production_Consumption!$AA$83:$AA$99,0),MATCH('County Scaled Consumption '!C$2,Production_Consumption!$AA$83:$AJ$83,0)))*'CA Population'!$L204*10^6</f>
        <v>125.64518437045797</v>
      </c>
      <c r="D204" s="143">
        <f>(INDEX(Production_Consumption!$AA$83:$AJ$99,MATCH('County Scaled Consumption '!$B204,Production_Consumption!$AA$83:$AA$99,0),MATCH('County Scaled Consumption '!D$2,Production_Consumption!$AA$83:$AJ$83,0)))*'CA Population'!$L204*10^6</f>
        <v>469.37895197596646</v>
      </c>
      <c r="E204" s="143">
        <f>(INDEX(Production_Consumption!$AA$83:$AJ$99,MATCH('County Scaled Consumption '!$B204,Production_Consumption!$AA$83:$AA$99,0),MATCH('County Scaled Consumption '!E$2,Production_Consumption!$AA$83:$AJ$83,0)))*'CA Population'!$L204*10^6</f>
        <v>276.64569395054662</v>
      </c>
      <c r="F204" s="143">
        <f>(INDEX(Production_Consumption!$AA$83:$AJ$99,MATCH('County Scaled Consumption '!$B204,Production_Consumption!$AA$83:$AA$99,0),MATCH('County Scaled Consumption '!F$2,Production_Consumption!$AA$83:$AJ$83,0)))*'CA Population'!$L204*10^6</f>
        <v>82.005173860579063</v>
      </c>
      <c r="G204" s="143">
        <f>(INDEX(Production_Consumption!$AA$83:$AJ$99,MATCH('County Scaled Consumption '!$B204,Production_Consumption!$AA$83:$AA$99,0),MATCH('County Scaled Consumption '!G$2,Production_Consumption!$AA$83:$AJ$83,0)))*'CA Population'!$L204*10^6</f>
        <v>314.67438087069308</v>
      </c>
      <c r="H204" s="143">
        <f>(INDEX(Production_Consumption!$AA$83:$AJ$99,MATCH('County Scaled Consumption '!$B204,Production_Consumption!$AA$83:$AA$99,0),MATCH('County Scaled Consumption '!H$2,Production_Consumption!$AA$83:$AJ$83,0)))*'CA Population'!$L204*10^6</f>
        <v>8.5865606139976602</v>
      </c>
      <c r="I204" s="143">
        <f>(INDEX(Production_Consumption!$AA$83:$AJ$99,MATCH('County Scaled Consumption '!$B204,Production_Consumption!$AA$83:$AA$99,0),MATCH('County Scaled Consumption '!I$2,Production_Consumption!$AA$83:$AJ$83,0)))*'CA Population'!$L204*10^6</f>
        <v>170.12112118336691</v>
      </c>
      <c r="J204" s="143">
        <f>(INDEX(Production_Consumption!$AA$83:$AJ$99,MATCH('County Scaled Consumption '!$B204,Production_Consumption!$AA$83:$AA$99,0),MATCH('County Scaled Consumption '!J$2,Production_Consumption!$AA$83:$AJ$83,0)))*'CA Population'!$L204*10^6</f>
        <v>109.05321583207589</v>
      </c>
      <c r="K204" s="143">
        <f>(INDEX(Production_Consumption!$AA$83:$AJ$99,MATCH('County Scaled Consumption '!$B204,Production_Consumption!$AA$83:$AA$99,0),MATCH('County Scaled Consumption '!K$2,Production_Consumption!$AA$83:$AJ$83,0)))*'CA Population'!$L204*10^6</f>
        <v>1556.1102826576837</v>
      </c>
      <c r="L204" s="131">
        <f t="shared" si="3"/>
        <v>0</v>
      </c>
    </row>
    <row r="205" spans="1:12" x14ac:dyDescent="0.2">
      <c r="A205" s="132" t="s">
        <v>330</v>
      </c>
      <c r="B205" s="129">
        <v>2017</v>
      </c>
      <c r="C205" s="143">
        <f>(INDEX(Production_Consumption!$AA$83:$AJ$99,MATCH('County Scaled Consumption '!$B205,Production_Consumption!$AA$83:$AA$99,0),MATCH('County Scaled Consumption '!C$2,Production_Consumption!$AA$83:$AJ$83,0)))*'CA Population'!$L205*10^6</f>
        <v>178.62587704789854</v>
      </c>
      <c r="D205" s="143">
        <f>(INDEX(Production_Consumption!$AA$83:$AJ$99,MATCH('County Scaled Consumption '!$B205,Production_Consumption!$AA$83:$AA$99,0),MATCH('County Scaled Consumption '!D$2,Production_Consumption!$AA$83:$AJ$83,0)))*'CA Population'!$L205*10^6</f>
        <v>667.3015554446024</v>
      </c>
      <c r="E205" s="143">
        <f>(INDEX(Production_Consumption!$AA$83:$AJ$99,MATCH('County Scaled Consumption '!$B205,Production_Consumption!$AA$83:$AA$99,0),MATCH('County Scaled Consumption '!E$2,Production_Consumption!$AA$83:$AJ$83,0)))*'CA Population'!$L205*10^6</f>
        <v>393.29863664126026</v>
      </c>
      <c r="F205" s="143">
        <f>(INDEX(Production_Consumption!$AA$83:$AJ$99,MATCH('County Scaled Consumption '!$B205,Production_Consumption!$AA$83:$AA$99,0),MATCH('County Scaled Consumption '!F$2,Production_Consumption!$AA$83:$AJ$83,0)))*'CA Population'!$L205*10^6</f>
        <v>116.58422228202383</v>
      </c>
      <c r="G205" s="143">
        <f>(INDEX(Production_Consumption!$AA$83:$AJ$99,MATCH('County Scaled Consumption '!$B205,Production_Consumption!$AA$83:$AA$99,0),MATCH('County Scaled Consumption '!G$2,Production_Consumption!$AA$83:$AJ$83,0)))*'CA Population'!$L205*10^6</f>
        <v>447.36284601089761</v>
      </c>
      <c r="H205" s="143">
        <f>(INDEX(Production_Consumption!$AA$83:$AJ$99,MATCH('County Scaled Consumption '!$B205,Production_Consumption!$AA$83:$AA$99,0),MATCH('County Scaled Consumption '!H$2,Production_Consumption!$AA$83:$AJ$83,0)))*'CA Population'!$L205*10^6</f>
        <v>12.207247959285109</v>
      </c>
      <c r="I205" s="143">
        <f>(INDEX(Production_Consumption!$AA$83:$AJ$99,MATCH('County Scaled Consumption '!$B205,Production_Consumption!$AA$83:$AA$99,0),MATCH('County Scaled Consumption '!I$2,Production_Consumption!$AA$83:$AJ$83,0)))*'CA Population'!$L205*10^6</f>
        <v>241.85594241442061</v>
      </c>
      <c r="J205" s="143">
        <f>(INDEX(Production_Consumption!$AA$83:$AJ$99,MATCH('County Scaled Consumption '!$B205,Production_Consumption!$AA$83:$AA$99,0),MATCH('County Scaled Consumption '!J$2,Production_Consumption!$AA$83:$AJ$83,0)))*'CA Population'!$L205*10^6</f>
        <v>155.03758795453248</v>
      </c>
      <c r="K205" s="143">
        <f>(INDEX(Production_Consumption!$AA$83:$AJ$99,MATCH('County Scaled Consumption '!$B205,Production_Consumption!$AA$83:$AA$99,0),MATCH('County Scaled Consumption '!K$2,Production_Consumption!$AA$83:$AJ$83,0)))*'CA Population'!$L205*10^6</f>
        <v>2212.2739157549208</v>
      </c>
      <c r="L205" s="131">
        <f t="shared" si="3"/>
        <v>0</v>
      </c>
    </row>
    <row r="206" spans="1:12" x14ac:dyDescent="0.2">
      <c r="A206" s="132" t="s">
        <v>331</v>
      </c>
      <c r="B206" s="129">
        <v>2017</v>
      </c>
      <c r="C206" s="143">
        <f>(INDEX(Production_Consumption!$AA$83:$AJ$99,MATCH('County Scaled Consumption '!$B206,Production_Consumption!$AA$83:$AA$99,0),MATCH('County Scaled Consumption '!C$2,Production_Consumption!$AA$83:$AJ$83,0)))*'CA Population'!$L206*10^6</f>
        <v>5760.0472422364801</v>
      </c>
      <c r="D206" s="143">
        <f>(INDEX(Production_Consumption!$AA$83:$AJ$99,MATCH('County Scaled Consumption '!$B206,Production_Consumption!$AA$83:$AA$99,0),MATCH('County Scaled Consumption '!D$2,Production_Consumption!$AA$83:$AJ$83,0)))*'CA Population'!$L206*10^6</f>
        <v>21518.09439764492</v>
      </c>
      <c r="E206" s="143">
        <f>(INDEX(Production_Consumption!$AA$83:$AJ$99,MATCH('County Scaled Consumption '!$B206,Production_Consumption!$AA$83:$AA$99,0),MATCH('County Scaled Consumption '!E$2,Production_Consumption!$AA$83:$AJ$83,0)))*'CA Population'!$L206*10^6</f>
        <v>12682.47784028171</v>
      </c>
      <c r="F206" s="143">
        <f>(INDEX(Production_Consumption!$AA$83:$AJ$99,MATCH('County Scaled Consumption '!$B206,Production_Consumption!$AA$83:$AA$99,0),MATCH('County Scaled Consumption '!F$2,Production_Consumption!$AA$83:$AJ$83,0)))*'CA Population'!$L206*10^6</f>
        <v>3759.4252251804769</v>
      </c>
      <c r="G206" s="143">
        <f>(INDEX(Production_Consumption!$AA$83:$AJ$99,MATCH('County Scaled Consumption '!$B206,Production_Consumption!$AA$83:$AA$99,0),MATCH('County Scaled Consumption '!G$2,Production_Consumption!$AA$83:$AJ$83,0)))*'CA Population'!$L206*10^6</f>
        <v>14425.855704843683</v>
      </c>
      <c r="H206" s="143">
        <f>(INDEX(Production_Consumption!$AA$83:$AJ$99,MATCH('County Scaled Consumption '!$B206,Production_Consumption!$AA$83:$AA$99,0),MATCH('County Scaled Consumption '!H$2,Production_Consumption!$AA$83:$AJ$83,0)))*'CA Population'!$L206*10^6</f>
        <v>393.64019427220109</v>
      </c>
      <c r="I206" s="143">
        <f>(INDEX(Production_Consumption!$AA$83:$AJ$99,MATCH('County Scaled Consumption '!$B206,Production_Consumption!$AA$83:$AA$99,0),MATCH('County Scaled Consumption '!I$2,Production_Consumption!$AA$83:$AJ$83,0)))*'CA Population'!$L206*10^6</f>
        <v>7798.991261210871</v>
      </c>
      <c r="J206" s="143">
        <f>(INDEX(Production_Consumption!$AA$83:$AJ$99,MATCH('County Scaled Consumption '!$B206,Production_Consumption!$AA$83:$AA$99,0),MATCH('County Scaled Consumption '!J$2,Production_Consumption!$AA$83:$AJ$83,0)))*'CA Population'!$L206*10^6</f>
        <v>4999.4090761051166</v>
      </c>
      <c r="K206" s="143">
        <f>(INDEX(Production_Consumption!$AA$83:$AJ$99,MATCH('County Scaled Consumption '!$B206,Production_Consumption!$AA$83:$AA$99,0),MATCH('County Scaled Consumption '!K$2,Production_Consumption!$AA$83:$AJ$83,0)))*'CA Population'!$L206*10^6</f>
        <v>71337.940941775465</v>
      </c>
      <c r="L206" s="131">
        <f t="shared" si="3"/>
        <v>0</v>
      </c>
    </row>
    <row r="207" spans="1:12" x14ac:dyDescent="0.2">
      <c r="A207" s="132" t="s">
        <v>332</v>
      </c>
      <c r="B207" s="129">
        <v>2017</v>
      </c>
      <c r="C207" s="143">
        <f>(INDEX(Production_Consumption!$AA$83:$AJ$99,MATCH('County Scaled Consumption '!$B207,Production_Consumption!$AA$83:$AA$99,0),MATCH('County Scaled Consumption '!C$2,Production_Consumption!$AA$83:$AJ$83,0)))*'CA Population'!$L207*10^6</f>
        <v>1856.9522542598954</v>
      </c>
      <c r="D207" s="143">
        <f>(INDEX(Production_Consumption!$AA$83:$AJ$99,MATCH('County Scaled Consumption '!$B207,Production_Consumption!$AA$83:$AA$99,0),MATCH('County Scaled Consumption '!D$2,Production_Consumption!$AA$83:$AJ$83,0)))*'CA Population'!$L207*10^6</f>
        <v>6937.1087108600268</v>
      </c>
      <c r="E207" s="143">
        <f>(INDEX(Production_Consumption!$AA$83:$AJ$99,MATCH('County Scaled Consumption '!$B207,Production_Consumption!$AA$83:$AA$99,0),MATCH('County Scaled Consumption '!E$2,Production_Consumption!$AA$83:$AJ$83,0)))*'CA Population'!$L207*10^6</f>
        <v>4088.6393504592397</v>
      </c>
      <c r="F207" s="143">
        <f>(INDEX(Production_Consumption!$AA$83:$AJ$99,MATCH('County Scaled Consumption '!$B207,Production_Consumption!$AA$83:$AA$99,0),MATCH('County Scaled Consumption '!F$2,Production_Consumption!$AA$83:$AJ$83,0)))*'CA Population'!$L207*10^6</f>
        <v>1211.9819253270273</v>
      </c>
      <c r="G207" s="143">
        <f>(INDEX(Production_Consumption!$AA$83:$AJ$99,MATCH('County Scaled Consumption '!$B207,Production_Consumption!$AA$83:$AA$99,0),MATCH('County Scaled Consumption '!G$2,Production_Consumption!$AA$83:$AJ$83,0)))*'CA Population'!$L207*10^6</f>
        <v>4650.6780490113315</v>
      </c>
      <c r="H207" s="143">
        <f>(INDEX(Production_Consumption!$AA$83:$AJ$99,MATCH('County Scaled Consumption '!$B207,Production_Consumption!$AA$83:$AA$99,0),MATCH('County Scaled Consumption '!H$2,Production_Consumption!$AA$83:$AJ$83,0)))*'CA Population'!$L207*10^6</f>
        <v>126.90365467163242</v>
      </c>
      <c r="I207" s="143">
        <f>(INDEX(Production_Consumption!$AA$83:$AJ$99,MATCH('County Scaled Consumption '!$B207,Production_Consumption!$AA$83:$AA$99,0),MATCH('County Scaled Consumption '!I$2,Production_Consumption!$AA$83:$AJ$83,0)))*'CA Population'!$L207*10^6</f>
        <v>2514.2770179495305</v>
      </c>
      <c r="J207" s="143">
        <f>(INDEX(Production_Consumption!$AA$83:$AJ$99,MATCH('County Scaled Consumption '!$B207,Production_Consumption!$AA$83:$AA$99,0),MATCH('County Scaled Consumption '!J$2,Production_Consumption!$AA$83:$AJ$83,0)))*'CA Population'!$L207*10^6</f>
        <v>1611.7339951253882</v>
      </c>
      <c r="K207" s="143">
        <f>(INDEX(Production_Consumption!$AA$83:$AJ$99,MATCH('County Scaled Consumption '!$B207,Production_Consumption!$AA$83:$AA$99,0),MATCH('County Scaled Consumption '!K$2,Production_Consumption!$AA$83:$AJ$83,0)))*'CA Population'!$L207*10^6</f>
        <v>22998.274957664071</v>
      </c>
      <c r="L207" s="131">
        <f t="shared" si="3"/>
        <v>0</v>
      </c>
    </row>
    <row r="208" spans="1:12" x14ac:dyDescent="0.2">
      <c r="A208" s="132" t="s">
        <v>333</v>
      </c>
      <c r="B208" s="129">
        <v>2017</v>
      </c>
      <c r="C208" s="143">
        <f>(INDEX(Production_Consumption!$AA$83:$AJ$99,MATCH('County Scaled Consumption '!$B208,Production_Consumption!$AA$83:$AA$99,0),MATCH('County Scaled Consumption '!C$2,Production_Consumption!$AA$83:$AJ$83,0)))*'CA Population'!$L208*10^6</f>
        <v>1286.3323236521244</v>
      </c>
      <c r="D208" s="143">
        <f>(INDEX(Production_Consumption!$AA$83:$AJ$99,MATCH('County Scaled Consumption '!$B208,Production_Consumption!$AA$83:$AA$99,0),MATCH('County Scaled Consumption '!D$2,Production_Consumption!$AA$83:$AJ$83,0)))*'CA Population'!$L208*10^6</f>
        <v>4805.4155118945055</v>
      </c>
      <c r="E208" s="143">
        <f>(INDEX(Production_Consumption!$AA$83:$AJ$99,MATCH('County Scaled Consumption '!$B208,Production_Consumption!$AA$83:$AA$99,0),MATCH('County Scaled Consumption '!E$2,Production_Consumption!$AA$83:$AJ$83,0)))*'CA Population'!$L208*10^6</f>
        <v>2832.2478104575207</v>
      </c>
      <c r="F208" s="143">
        <f>(INDEX(Production_Consumption!$AA$83:$AJ$99,MATCH('County Scaled Consumption '!$B208,Production_Consumption!$AA$83:$AA$99,0),MATCH('County Scaled Consumption '!F$2,Production_Consumption!$AA$83:$AJ$83,0)))*'CA Population'!$L208*10^6</f>
        <v>839.55391026014729</v>
      </c>
      <c r="G208" s="143">
        <f>(INDEX(Production_Consumption!$AA$83:$AJ$99,MATCH('County Scaled Consumption '!$B208,Production_Consumption!$AA$83:$AA$99,0),MATCH('County Scaled Consumption '!G$2,Production_Consumption!$AA$83:$AJ$83,0)))*'CA Population'!$L208*10^6</f>
        <v>3221.5785234214218</v>
      </c>
      <c r="H208" s="143">
        <f>(INDEX(Production_Consumption!$AA$83:$AJ$99,MATCH('County Scaled Consumption '!$B208,Production_Consumption!$AA$83:$AA$99,0),MATCH('County Scaled Consumption '!H$2,Production_Consumption!$AA$83:$AJ$83,0)))*'CA Population'!$L208*10^6</f>
        <v>87.907630699297954</v>
      </c>
      <c r="I208" s="143">
        <f>(INDEX(Production_Consumption!$AA$83:$AJ$99,MATCH('County Scaled Consumption '!$B208,Production_Consumption!$AA$83:$AA$99,0),MATCH('County Scaled Consumption '!I$2,Production_Consumption!$AA$83:$AJ$83,0)))*'CA Population'!$L208*10^6</f>
        <v>1741.6687970220164</v>
      </c>
      <c r="J208" s="143">
        <f>(INDEX(Production_Consumption!$AA$83:$AJ$99,MATCH('County Scaled Consumption '!$B208,Production_Consumption!$AA$83:$AA$99,0),MATCH('County Scaled Consumption '!J$2,Production_Consumption!$AA$83:$AJ$83,0)))*'CA Population'!$L208*10^6</f>
        <v>1116.4667967648229</v>
      </c>
      <c r="K208" s="143">
        <f>(INDEX(Production_Consumption!$AA$83:$AJ$99,MATCH('County Scaled Consumption '!$B208,Production_Consumption!$AA$83:$AA$99,0),MATCH('County Scaled Consumption '!K$2,Production_Consumption!$AA$83:$AJ$83,0)))*'CA Population'!$L208*10^6</f>
        <v>15931.171304171859</v>
      </c>
      <c r="L208" s="131">
        <f t="shared" si="3"/>
        <v>0</v>
      </c>
    </row>
    <row r="209" spans="1:12" x14ac:dyDescent="0.2">
      <c r="A209" s="132" t="s">
        <v>334</v>
      </c>
      <c r="B209" s="129">
        <v>2017</v>
      </c>
      <c r="C209" s="143">
        <f>(INDEX(Production_Consumption!$AA$83:$AJ$99,MATCH('County Scaled Consumption '!$B209,Production_Consumption!$AA$83:$AA$99,0),MATCH('County Scaled Consumption '!C$2,Production_Consumption!$AA$83:$AJ$83,0)))*'CA Population'!$L209*10^6</f>
        <v>41787.010243265286</v>
      </c>
      <c r="D209" s="143">
        <f>(INDEX(Production_Consumption!$AA$83:$AJ$99,MATCH('County Scaled Consumption '!$B209,Production_Consumption!$AA$83:$AA$99,0),MATCH('County Scaled Consumption '!D$2,Production_Consumption!$AA$83:$AJ$83,0)))*'CA Population'!$L209*10^6</f>
        <v>156105.80837194837</v>
      </c>
      <c r="E209" s="143">
        <f>(INDEX(Production_Consumption!$AA$83:$AJ$99,MATCH('County Scaled Consumption '!$B209,Production_Consumption!$AA$83:$AA$99,0),MATCH('County Scaled Consumption '!E$2,Production_Consumption!$AA$83:$AJ$83,0)))*'CA Population'!$L209*10^6</f>
        <v>92006.681392436934</v>
      </c>
      <c r="F209" s="143">
        <f>(INDEX(Production_Consumption!$AA$83:$AJ$99,MATCH('County Scaled Consumption '!$B209,Production_Consumption!$AA$83:$AA$99,0),MATCH('County Scaled Consumption '!F$2,Production_Consumption!$AA$83:$AJ$83,0)))*'CA Population'!$L209*10^6</f>
        <v>27273.238184833092</v>
      </c>
      <c r="G209" s="143">
        <f>(INDEX(Production_Consumption!$AA$83:$AJ$99,MATCH('County Scaled Consumption '!$B209,Production_Consumption!$AA$83:$AA$99,0),MATCH('County Scaled Consumption '!G$2,Production_Consumption!$AA$83:$AJ$83,0)))*'CA Population'!$L209*10^6</f>
        <v>104654.24236210134</v>
      </c>
      <c r="H209" s="143">
        <f>(INDEX(Production_Consumption!$AA$83:$AJ$99,MATCH('County Scaled Consumption '!$B209,Production_Consumption!$AA$83:$AA$99,0),MATCH('County Scaled Consumption '!H$2,Production_Consumption!$AA$83:$AJ$83,0)))*'CA Population'!$L209*10^6</f>
        <v>2855.7138749831956</v>
      </c>
      <c r="I209" s="143">
        <f>(INDEX(Production_Consumption!$AA$83:$AJ$99,MATCH('County Scaled Consumption '!$B209,Production_Consumption!$AA$83:$AA$99,0),MATCH('County Scaled Consumption '!I$2,Production_Consumption!$AA$83:$AJ$83,0)))*'CA Population'!$L209*10^6</f>
        <v>56578.794237947572</v>
      </c>
      <c r="J209" s="143">
        <f>(INDEX(Production_Consumption!$AA$83:$AJ$99,MATCH('County Scaled Consumption '!$B209,Production_Consumption!$AA$83:$AA$99,0),MATCH('County Scaled Consumption '!J$2,Production_Consumption!$AA$83:$AJ$83,0)))*'CA Population'!$L209*10^6</f>
        <v>36268.861953354986</v>
      </c>
      <c r="K209" s="143">
        <f>(INDEX(Production_Consumption!$AA$83:$AJ$99,MATCH('County Scaled Consumption '!$B209,Production_Consumption!$AA$83:$AA$99,0),MATCH('County Scaled Consumption '!K$2,Production_Consumption!$AA$83:$AJ$83,0)))*'CA Population'!$L209*10^6</f>
        <v>517530.35062087083</v>
      </c>
      <c r="L209" s="131">
        <f t="shared" si="3"/>
        <v>0</v>
      </c>
    </row>
    <row r="210" spans="1:12" x14ac:dyDescent="0.2">
      <c r="A210" s="132" t="s">
        <v>335</v>
      </c>
      <c r="B210" s="129">
        <v>2017</v>
      </c>
      <c r="C210" s="143">
        <f>(INDEX(Production_Consumption!$AA$83:$AJ$99,MATCH('County Scaled Consumption '!$B210,Production_Consumption!$AA$83:$AA$99,0),MATCH('County Scaled Consumption '!C$2,Production_Consumption!$AA$83:$AJ$83,0)))*'CA Population'!$L210*10^6</f>
        <v>5036.0303358557821</v>
      </c>
      <c r="D210" s="143">
        <f>(INDEX(Production_Consumption!$AA$83:$AJ$99,MATCH('County Scaled Consumption '!$B210,Production_Consumption!$AA$83:$AA$99,0),MATCH('County Scaled Consumption '!D$2,Production_Consumption!$AA$83:$AJ$83,0)))*'CA Population'!$L210*10^6</f>
        <v>18813.348502029385</v>
      </c>
      <c r="E210" s="143">
        <f>(INDEX(Production_Consumption!$AA$83:$AJ$99,MATCH('County Scaled Consumption '!$B210,Production_Consumption!$AA$83:$AA$99,0),MATCH('County Scaled Consumption '!E$2,Production_Consumption!$AA$83:$AJ$83,0)))*'CA Population'!$L210*10^6</f>
        <v>11088.336683967642</v>
      </c>
      <c r="F210" s="143">
        <f>(INDEX(Production_Consumption!$AA$83:$AJ$99,MATCH('County Scaled Consumption '!$B210,Production_Consumption!$AA$83:$AA$99,0),MATCH('County Scaled Consumption '!F$2,Production_Consumption!$AA$83:$AJ$83,0)))*'CA Population'!$L210*10^6</f>
        <v>3286.8792013655948</v>
      </c>
      <c r="G210" s="143">
        <f>(INDEX(Production_Consumption!$AA$83:$AJ$99,MATCH('County Scaled Consumption '!$B210,Production_Consumption!$AA$83:$AA$99,0),MATCH('County Scaled Consumption '!G$2,Production_Consumption!$AA$83:$AJ$83,0)))*'CA Population'!$L210*10^6</f>
        <v>12612.578316642974</v>
      </c>
      <c r="H210" s="143">
        <f>(INDEX(Production_Consumption!$AA$83:$AJ$99,MATCH('County Scaled Consumption '!$B210,Production_Consumption!$AA$83:$AA$99,0),MATCH('County Scaled Consumption '!H$2,Production_Consumption!$AA$83:$AJ$83,0)))*'CA Population'!$L210*10^6</f>
        <v>344.16105917167079</v>
      </c>
      <c r="I210" s="143">
        <f>(INDEX(Production_Consumption!$AA$83:$AJ$99,MATCH('County Scaled Consumption '!$B210,Production_Consumption!$AA$83:$AA$99,0),MATCH('County Scaled Consumption '!I$2,Production_Consumption!$AA$83:$AJ$83,0)))*'CA Population'!$L210*10^6</f>
        <v>6818.6865365503909</v>
      </c>
      <c r="J210" s="143">
        <f>(INDEX(Production_Consumption!$AA$83:$AJ$99,MATCH('County Scaled Consumption '!$B210,Production_Consumption!$AA$83:$AA$99,0),MATCH('County Scaled Consumption '!J$2,Production_Consumption!$AA$83:$AJ$83,0)))*'CA Population'!$L210*10^6</f>
        <v>4371.0016098483311</v>
      </c>
      <c r="K210" s="143">
        <f>(INDEX(Production_Consumption!$AA$83:$AJ$99,MATCH('County Scaled Consumption '!$B210,Production_Consumption!$AA$83:$AA$99,0),MATCH('County Scaled Consumption '!K$2,Production_Consumption!$AA$83:$AJ$83,0)))*'CA Population'!$L210*10^6</f>
        <v>62371.02224543177</v>
      </c>
      <c r="L210" s="131">
        <f t="shared" si="3"/>
        <v>0</v>
      </c>
    </row>
    <row r="211" spans="1:12" x14ac:dyDescent="0.2">
      <c r="A211" s="132" t="s">
        <v>336</v>
      </c>
      <c r="B211" s="129">
        <v>2017</v>
      </c>
      <c r="C211" s="143">
        <f>(INDEX(Production_Consumption!$AA$83:$AJ$99,MATCH('County Scaled Consumption '!$B211,Production_Consumption!$AA$83:$AA$99,0),MATCH('County Scaled Consumption '!C$2,Production_Consumption!$AA$83:$AJ$83,0)))*'CA Population'!$L211*10^6</f>
        <v>240.58122575180039</v>
      </c>
      <c r="D211" s="143">
        <f>(INDEX(Production_Consumption!$AA$83:$AJ$99,MATCH('County Scaled Consumption '!$B211,Production_Consumption!$AA$83:$AA$99,0),MATCH('County Scaled Consumption '!D$2,Production_Consumption!$AA$83:$AJ$83,0)))*'CA Population'!$L211*10^6</f>
        <v>898.7512269115216</v>
      </c>
      <c r="E211" s="143">
        <f>(INDEX(Production_Consumption!$AA$83:$AJ$99,MATCH('County Scaled Consumption '!$B211,Production_Consumption!$AA$83:$AA$99,0),MATCH('County Scaled Consumption '!E$2,Production_Consumption!$AA$83:$AJ$83,0)))*'CA Population'!$L211*10^6</f>
        <v>529.71198604272729</v>
      </c>
      <c r="F211" s="143">
        <f>(INDEX(Production_Consumption!$AA$83:$AJ$99,MATCH('County Scaled Consumption '!$B211,Production_Consumption!$AA$83:$AA$99,0),MATCH('County Scaled Consumption '!F$2,Production_Consumption!$AA$83:$AJ$83,0)))*'CA Population'!$L211*10^6</f>
        <v>157.02078312208138</v>
      </c>
      <c r="G211" s="143">
        <f>(INDEX(Production_Consumption!$AA$83:$AJ$99,MATCH('County Scaled Consumption '!$B211,Production_Consumption!$AA$83:$AA$99,0),MATCH('County Scaled Consumption '!G$2,Production_Consumption!$AA$83:$AJ$83,0)))*'CA Population'!$L211*10^6</f>
        <v>602.52805264186577</v>
      </c>
      <c r="H211" s="143">
        <f>(INDEX(Production_Consumption!$AA$83:$AJ$99,MATCH('County Scaled Consumption '!$B211,Production_Consumption!$AA$83:$AA$99,0),MATCH('County Scaled Consumption '!H$2,Production_Consumption!$AA$83:$AJ$83,0)))*'CA Population'!$L211*10^6</f>
        <v>16.441261062715245</v>
      </c>
      <c r="I211" s="143">
        <f>(INDEX(Production_Consumption!$AA$83:$AJ$99,MATCH('County Scaled Consumption '!$B211,Production_Consumption!$AA$83:$AA$99,0),MATCH('County Scaled Consumption '!I$2,Production_Consumption!$AA$83:$AJ$83,0)))*'CA Population'!$L211*10^6</f>
        <v>325.74227230142907</v>
      </c>
      <c r="J211" s="143">
        <f>(INDEX(Production_Consumption!$AA$83:$AJ$99,MATCH('County Scaled Consumption '!$B211,Production_Consumption!$AA$83:$AA$99,0),MATCH('County Scaled Consumption '!J$2,Production_Consumption!$AA$83:$AJ$83,0)))*'CA Population'!$L211*10^6</f>
        <v>208.81147549356592</v>
      </c>
      <c r="K211" s="143">
        <f>(INDEX(Production_Consumption!$AA$83:$AJ$99,MATCH('County Scaled Consumption '!$B211,Production_Consumption!$AA$83:$AA$99,0),MATCH('County Scaled Consumption '!K$2,Production_Consumption!$AA$83:$AJ$83,0)))*'CA Population'!$L211*10^6</f>
        <v>2979.5882833277069</v>
      </c>
      <c r="L211" s="131">
        <f t="shared" si="3"/>
        <v>0</v>
      </c>
    </row>
    <row r="212" spans="1:12" x14ac:dyDescent="0.2">
      <c r="A212" s="132" t="s">
        <v>337</v>
      </c>
      <c r="B212" s="129">
        <v>2017</v>
      </c>
      <c r="C212" s="143">
        <f>(INDEX(Production_Consumption!$AA$83:$AJ$99,MATCH('County Scaled Consumption '!$B212,Production_Consumption!$AA$83:$AA$99,0),MATCH('County Scaled Consumption '!C$2,Production_Consumption!$AA$83:$AJ$83,0)))*'CA Population'!$L212*10^6</f>
        <v>31201.777951557506</v>
      </c>
      <c r="D212" s="143">
        <f>(INDEX(Production_Consumption!$AA$83:$AJ$99,MATCH('County Scaled Consumption '!$B212,Production_Consumption!$AA$83:$AA$99,0),MATCH('County Scaled Consumption '!D$2,Production_Consumption!$AA$83:$AJ$83,0)))*'CA Population'!$L212*10^6</f>
        <v>116562.03067447094</v>
      </c>
      <c r="E212" s="143">
        <f>(INDEX(Production_Consumption!$AA$83:$AJ$99,MATCH('County Scaled Consumption '!$B212,Production_Consumption!$AA$83:$AA$99,0),MATCH('County Scaled Consumption '!E$2,Production_Consumption!$AA$83:$AJ$83,0)))*'CA Population'!$L212*10^6</f>
        <v>68700.106232873892</v>
      </c>
      <c r="F212" s="143">
        <f>(INDEX(Production_Consumption!$AA$83:$AJ$99,MATCH('County Scaled Consumption '!$B212,Production_Consumption!$AA$83:$AA$99,0),MATCH('County Scaled Consumption '!F$2,Production_Consumption!$AA$83:$AJ$83,0)))*'CA Population'!$L212*10^6</f>
        <v>20364.54670743645</v>
      </c>
      <c r="G212" s="143">
        <f>(INDEX(Production_Consumption!$AA$83:$AJ$99,MATCH('County Scaled Consumption '!$B212,Production_Consumption!$AA$83:$AA$99,0),MATCH('County Scaled Consumption '!G$2,Production_Consumption!$AA$83:$AJ$83,0)))*'CA Population'!$L212*10^6</f>
        <v>78143.863675842789</v>
      </c>
      <c r="H212" s="143">
        <f>(INDEX(Production_Consumption!$AA$83:$AJ$99,MATCH('County Scaled Consumption '!$B212,Production_Consumption!$AA$83:$AA$99,0),MATCH('County Scaled Consumption '!H$2,Production_Consumption!$AA$83:$AJ$83,0)))*'CA Population'!$L212*10^6</f>
        <v>2132.3217359099785</v>
      </c>
      <c r="I212" s="143">
        <f>(INDEX(Production_Consumption!$AA$83:$AJ$99,MATCH('County Scaled Consumption '!$B212,Production_Consumption!$AA$83:$AA$99,0),MATCH('County Scaled Consumption '!I$2,Production_Consumption!$AA$83:$AJ$83,0)))*'CA Population'!$L212*10^6</f>
        <v>42246.596832416843</v>
      </c>
      <c r="J212" s="143">
        <f>(INDEX(Production_Consumption!$AA$83:$AJ$99,MATCH('County Scaled Consumption '!$B212,Production_Consumption!$AA$83:$AA$99,0),MATCH('County Scaled Consumption '!J$2,Production_Consumption!$AA$83:$AJ$83,0)))*'CA Population'!$L212*10^6</f>
        <v>27081.453557847206</v>
      </c>
      <c r="K212" s="143">
        <f>(INDEX(Production_Consumption!$AA$83:$AJ$99,MATCH('County Scaled Consumption '!$B212,Production_Consumption!$AA$83:$AA$99,0),MATCH('County Scaled Consumption '!K$2,Production_Consumption!$AA$83:$AJ$83,0)))*'CA Population'!$L212*10^6</f>
        <v>386432.69736835564</v>
      </c>
      <c r="L212" s="131">
        <f t="shared" si="3"/>
        <v>0</v>
      </c>
    </row>
    <row r="213" spans="1:12" x14ac:dyDescent="0.2">
      <c r="A213" s="132" t="s">
        <v>338</v>
      </c>
      <c r="B213" s="129">
        <v>2017</v>
      </c>
      <c r="C213" s="143">
        <f>(INDEX(Production_Consumption!$AA$83:$AJ$99,MATCH('County Scaled Consumption '!$B213,Production_Consumption!$AA$83:$AA$99,0),MATCH('County Scaled Consumption '!C$2,Production_Consumption!$AA$83:$AJ$83,0)))*'CA Population'!$L213*10^6</f>
        <v>19859.744321864309</v>
      </c>
      <c r="D213" s="143">
        <f>(INDEX(Production_Consumption!$AA$83:$AJ$99,MATCH('County Scaled Consumption '!$B213,Production_Consumption!$AA$83:$AA$99,0),MATCH('County Scaled Consumption '!D$2,Production_Consumption!$AA$83:$AJ$83,0)))*'CA Population'!$L213*10^6</f>
        <v>74191.032652892274</v>
      </c>
      <c r="E213" s="143">
        <f>(INDEX(Production_Consumption!$AA$83:$AJ$99,MATCH('County Scaled Consumption '!$B213,Production_Consumption!$AA$83:$AA$99,0),MATCH('County Scaled Consumption '!E$2,Production_Consumption!$AA$83:$AJ$83,0)))*'CA Population'!$L213*10^6</f>
        <v>43727.205122350621</v>
      </c>
      <c r="F213" s="143">
        <f>(INDEX(Production_Consumption!$AA$83:$AJ$99,MATCH('County Scaled Consumption '!$B213,Production_Consumption!$AA$83:$AA$99,0),MATCH('County Scaled Consumption '!F$2,Production_Consumption!$AA$83:$AJ$83,0)))*'CA Population'!$L213*10^6</f>
        <v>12961.911704783583</v>
      </c>
      <c r="G213" s="143">
        <f>(INDEX(Production_Consumption!$AA$83:$AJ$99,MATCH('County Scaled Consumption '!$B213,Production_Consumption!$AA$83:$AA$99,0),MATCH('County Scaled Consumption '!G$2,Production_Consumption!$AA$83:$AJ$83,0)))*'CA Population'!$L213*10^6</f>
        <v>49738.100031808921</v>
      </c>
      <c r="H213" s="143">
        <f>(INDEX(Production_Consumption!$AA$83:$AJ$99,MATCH('County Scaled Consumption '!$B213,Production_Consumption!$AA$83:$AA$99,0),MATCH('County Scaled Consumption '!H$2,Production_Consumption!$AA$83:$AJ$83,0)))*'CA Population'!$L213*10^6</f>
        <v>1357.2099818437487</v>
      </c>
      <c r="I213" s="143">
        <f>(INDEX(Production_Consumption!$AA$83:$AJ$99,MATCH('County Scaled Consumption '!$B213,Production_Consumption!$AA$83:$AA$99,0),MATCH('County Scaled Consumption '!I$2,Production_Consumption!$AA$83:$AJ$83,0)))*'CA Population'!$L213*10^6</f>
        <v>26889.705223314049</v>
      </c>
      <c r="J213" s="143">
        <f>(INDEX(Production_Consumption!$AA$83:$AJ$99,MATCH('County Scaled Consumption '!$B213,Production_Consumption!$AA$83:$AA$99,0),MATCH('County Scaled Consumption '!J$2,Production_Consumption!$AA$83:$AJ$83,0)))*'CA Population'!$L213*10^6</f>
        <v>17237.182584861032</v>
      </c>
      <c r="K213" s="143">
        <f>(INDEX(Production_Consumption!$AA$83:$AJ$99,MATCH('County Scaled Consumption '!$B213,Production_Consumption!$AA$83:$AA$99,0),MATCH('County Scaled Consumption '!K$2,Production_Consumption!$AA$83:$AJ$83,0)))*'CA Population'!$L213*10^6</f>
        <v>245962.09162371853</v>
      </c>
      <c r="L213" s="131">
        <f t="shared" si="3"/>
        <v>0</v>
      </c>
    </row>
    <row r="214" spans="1:12" x14ac:dyDescent="0.2">
      <c r="A214" s="132" t="s">
        <v>339</v>
      </c>
      <c r="B214" s="129">
        <v>2017</v>
      </c>
      <c r="C214" s="143">
        <f>(INDEX(Production_Consumption!$AA$83:$AJ$99,MATCH('County Scaled Consumption '!$B214,Production_Consumption!$AA$83:$AA$99,0),MATCH('County Scaled Consumption '!C$2,Production_Consumption!$AA$83:$AJ$83,0)))*'CA Population'!$L214*10^6</f>
        <v>781.80685836368013</v>
      </c>
      <c r="D214" s="143">
        <f>(INDEX(Production_Consumption!$AA$83:$AJ$99,MATCH('County Scaled Consumption '!$B214,Production_Consumption!$AA$83:$AA$99,0),MATCH('County Scaled Consumption '!D$2,Production_Consumption!$AA$83:$AJ$83,0)))*'CA Population'!$L214*10^6</f>
        <v>2920.63468779189</v>
      </c>
      <c r="E214" s="143">
        <f>(INDEX(Production_Consumption!$AA$83:$AJ$99,MATCH('County Scaled Consumption '!$B214,Production_Consumption!$AA$83:$AA$99,0),MATCH('County Scaled Consumption '!E$2,Production_Consumption!$AA$83:$AJ$83,0)))*'CA Population'!$L214*10^6</f>
        <v>1721.3831310049804</v>
      </c>
      <c r="F214" s="143">
        <f>(INDEX(Production_Consumption!$AA$83:$AJ$99,MATCH('County Scaled Consumption '!$B214,Production_Consumption!$AA$83:$AA$99,0),MATCH('County Scaled Consumption '!F$2,Production_Consumption!$AA$83:$AJ$83,0)))*'CA Population'!$L214*10^6</f>
        <v>510.26394419125012</v>
      </c>
      <c r="G214" s="143">
        <f>(INDEX(Production_Consumption!$AA$83:$AJ$99,MATCH('County Scaled Consumption '!$B214,Production_Consumption!$AA$83:$AA$99,0),MATCH('County Scaled Consumption '!G$2,Production_Consumption!$AA$83:$AJ$83,0)))*'CA Population'!$L214*10^6</f>
        <v>1958.0104908015583</v>
      </c>
      <c r="H214" s="143">
        <f>(INDEX(Production_Consumption!$AA$83:$AJ$99,MATCH('County Scaled Consumption '!$B214,Production_Consumption!$AA$83:$AA$99,0),MATCH('County Scaled Consumption '!H$2,Production_Consumption!$AA$83:$AJ$83,0)))*'CA Population'!$L214*10^6</f>
        <v>53.428486029244183</v>
      </c>
      <c r="I214" s="143">
        <f>(INDEX(Production_Consumption!$AA$83:$AJ$99,MATCH('County Scaled Consumption '!$B214,Production_Consumption!$AA$83:$AA$99,0),MATCH('County Scaled Consumption '!I$2,Production_Consumption!$AA$83:$AJ$83,0)))*'CA Population'!$L214*10^6</f>
        <v>1058.5511888901867</v>
      </c>
      <c r="J214" s="143">
        <f>(INDEX(Production_Consumption!$AA$83:$AJ$99,MATCH('County Scaled Consumption '!$B214,Production_Consumption!$AA$83:$AA$99,0),MATCH('County Scaled Consumption '!J$2,Production_Consumption!$AA$83:$AJ$83,0)))*'CA Population'!$L214*10^6</f>
        <v>678.56601501535783</v>
      </c>
      <c r="K214" s="143">
        <f>(INDEX(Production_Consumption!$AA$83:$AJ$99,MATCH('County Scaled Consumption '!$B214,Production_Consumption!$AA$83:$AA$99,0),MATCH('County Scaled Consumption '!K$2,Production_Consumption!$AA$83:$AJ$83,0)))*'CA Population'!$L214*10^6</f>
        <v>9682.6448020881489</v>
      </c>
      <c r="L214" s="131">
        <f t="shared" si="3"/>
        <v>0</v>
      </c>
    </row>
    <row r="215" spans="1:12" x14ac:dyDescent="0.2">
      <c r="A215" s="132" t="s">
        <v>340</v>
      </c>
      <c r="B215" s="129">
        <v>2017</v>
      </c>
      <c r="C215" s="143">
        <f>(INDEX(Production_Consumption!$AA$83:$AJ$99,MATCH('County Scaled Consumption '!$B215,Production_Consumption!$AA$83:$AA$99,0),MATCH('County Scaled Consumption '!C$2,Production_Consumption!$AA$83:$AJ$83,0)))*'CA Population'!$L215*10^6</f>
        <v>28113.405654076789</v>
      </c>
      <c r="D215" s="143">
        <f>(INDEX(Production_Consumption!$AA$83:$AJ$99,MATCH('County Scaled Consumption '!$B215,Production_Consumption!$AA$83:$AA$99,0),MATCH('County Scaled Consumption '!D$2,Production_Consumption!$AA$83:$AJ$83,0)))*'CA Population'!$L215*10^6</f>
        <v>105024.64498343649</v>
      </c>
      <c r="E215" s="143">
        <f>(INDEX(Production_Consumption!$AA$83:$AJ$99,MATCH('County Scaled Consumption '!$B215,Production_Consumption!$AA$83:$AA$99,0),MATCH('County Scaled Consumption '!E$2,Production_Consumption!$AA$83:$AJ$83,0)))*'CA Population'!$L215*10^6</f>
        <v>61900.124986516785</v>
      </c>
      <c r="F215" s="143">
        <f>(INDEX(Production_Consumption!$AA$83:$AJ$99,MATCH('County Scaled Consumption '!$B215,Production_Consumption!$AA$83:$AA$99,0),MATCH('County Scaled Consumption '!F$2,Production_Consumption!$AA$83:$AJ$83,0)))*'CA Population'!$L215*10^6</f>
        <v>18348.850614744417</v>
      </c>
      <c r="G215" s="143">
        <f>(INDEX(Production_Consumption!$AA$83:$AJ$99,MATCH('County Scaled Consumption '!$B215,Production_Consumption!$AA$83:$AA$99,0),MATCH('County Scaled Consumption '!G$2,Production_Consumption!$AA$83:$AJ$83,0)))*'CA Population'!$L215*10^6</f>
        <v>70409.133168841814</v>
      </c>
      <c r="H215" s="143">
        <f>(INDEX(Production_Consumption!$AA$83:$AJ$99,MATCH('County Scaled Consumption '!$B215,Production_Consumption!$AA$83:$AA$99,0),MATCH('County Scaled Consumption '!H$2,Production_Consumption!$AA$83:$AJ$83,0)))*'CA Population'!$L215*10^6</f>
        <v>1921.2631421104661</v>
      </c>
      <c r="I215" s="143">
        <f>(INDEX(Production_Consumption!$AA$83:$AJ$99,MATCH('County Scaled Consumption '!$B215,Production_Consumption!$AA$83:$AA$99,0),MATCH('County Scaled Consumption '!I$2,Production_Consumption!$AA$83:$AJ$83,0)))*'CA Population'!$L215*10^6</f>
        <v>38065.001170700394</v>
      </c>
      <c r="J215" s="143">
        <f>(INDEX(Production_Consumption!$AA$83:$AJ$99,MATCH('County Scaled Consumption '!$B215,Production_Consumption!$AA$83:$AA$99,0),MATCH('County Scaled Consumption '!J$2,Production_Consumption!$AA$83:$AJ$83,0)))*'CA Population'!$L215*10^6</f>
        <v>24400.913651646413</v>
      </c>
      <c r="K215" s="143">
        <f>(INDEX(Production_Consumption!$AA$83:$AJ$99,MATCH('County Scaled Consumption '!$B215,Production_Consumption!$AA$83:$AA$99,0),MATCH('County Scaled Consumption '!K$2,Production_Consumption!$AA$83:$AJ$83,0)))*'CA Population'!$L215*10^6</f>
        <v>348183.33737207355</v>
      </c>
      <c r="L215" s="131">
        <f t="shared" si="3"/>
        <v>0</v>
      </c>
    </row>
    <row r="216" spans="1:12" x14ac:dyDescent="0.2">
      <c r="A216" s="132" t="s">
        <v>341</v>
      </c>
      <c r="B216" s="129">
        <v>2017</v>
      </c>
      <c r="C216" s="143">
        <f>(INDEX(Production_Consumption!$AA$83:$AJ$99,MATCH('County Scaled Consumption '!$B216,Production_Consumption!$AA$83:$AA$99,0),MATCH('County Scaled Consumption '!C$2,Production_Consumption!$AA$83:$AJ$83,0)))*'CA Population'!$L216*10^6</f>
        <v>43406.403483905284</v>
      </c>
      <c r="D216" s="143">
        <f>(INDEX(Production_Consumption!$AA$83:$AJ$99,MATCH('County Scaled Consumption '!$B216,Production_Consumption!$AA$83:$AA$99,0),MATCH('County Scaled Consumption '!D$2,Production_Consumption!$AA$83:$AJ$83,0)))*'CA Population'!$L216*10^6</f>
        <v>162155.45608377332</v>
      </c>
      <c r="E216" s="143">
        <f>(INDEX(Production_Consumption!$AA$83:$AJ$99,MATCH('County Scaled Consumption '!$B216,Production_Consumption!$AA$83:$AA$99,0),MATCH('County Scaled Consumption '!E$2,Production_Consumption!$AA$83:$AJ$83,0)))*'CA Population'!$L216*10^6</f>
        <v>95572.263066580359</v>
      </c>
      <c r="F216" s="143">
        <f>(INDEX(Production_Consumption!$AA$83:$AJ$99,MATCH('County Scaled Consumption '!$B216,Production_Consumption!$AA$83:$AA$99,0),MATCH('County Scaled Consumption '!F$2,Production_Consumption!$AA$83:$AJ$83,0)))*'CA Population'!$L216*10^6</f>
        <v>28330.171842200969</v>
      </c>
      <c r="G216" s="143">
        <f>(INDEX(Production_Consumption!$AA$83:$AJ$99,MATCH('County Scaled Consumption '!$B216,Production_Consumption!$AA$83:$AA$99,0),MATCH('County Scaled Consumption '!G$2,Production_Consumption!$AA$83:$AJ$83,0)))*'CA Population'!$L216*10^6</f>
        <v>108709.96139294062</v>
      </c>
      <c r="H216" s="143">
        <f>(INDEX(Production_Consumption!$AA$83:$AJ$99,MATCH('County Scaled Consumption '!$B216,Production_Consumption!$AA$83:$AA$99,0),MATCH('County Scaled Consumption '!H$2,Production_Consumption!$AA$83:$AJ$83,0)))*'CA Population'!$L216*10^6</f>
        <v>2966.3828058166705</v>
      </c>
      <c r="I216" s="143">
        <f>(INDEX(Production_Consumption!$AA$83:$AJ$99,MATCH('County Scaled Consumption '!$B216,Production_Consumption!$AA$83:$AA$99,0),MATCH('County Scaled Consumption '!I$2,Production_Consumption!$AA$83:$AJ$83,0)))*'CA Population'!$L216*10^6</f>
        <v>58771.420999687725</v>
      </c>
      <c r="J216" s="143">
        <f>(INDEX(Production_Consumption!$AA$83:$AJ$99,MATCH('County Scaled Consumption '!$B216,Production_Consumption!$AA$83:$AA$99,0),MATCH('County Scaled Consumption '!J$2,Production_Consumption!$AA$83:$AJ$83,0)))*'CA Population'!$L216*10^6</f>
        <v>37674.407589452123</v>
      </c>
      <c r="K216" s="143">
        <f>(INDEX(Production_Consumption!$AA$83:$AJ$99,MATCH('County Scaled Consumption '!$B216,Production_Consumption!$AA$83:$AA$99,0),MATCH('County Scaled Consumption '!K$2,Production_Consumption!$AA$83:$AJ$83,0)))*'CA Population'!$L216*10^6</f>
        <v>537586.46726435714</v>
      </c>
      <c r="L216" s="131">
        <f t="shared" si="3"/>
        <v>0</v>
      </c>
    </row>
    <row r="217" spans="1:12" x14ac:dyDescent="0.2">
      <c r="A217" s="132" t="s">
        <v>342</v>
      </c>
      <c r="B217" s="129">
        <v>2017</v>
      </c>
      <c r="C217" s="143">
        <f>(INDEX(Production_Consumption!$AA$83:$AJ$99,MATCH('County Scaled Consumption '!$B217,Production_Consumption!$AA$83:$AA$99,0),MATCH('County Scaled Consumption '!C$2,Production_Consumption!$AA$83:$AJ$83,0)))*'CA Population'!$L217*10^6</f>
        <v>11546.124928965522</v>
      </c>
      <c r="D217" s="143">
        <f>(INDEX(Production_Consumption!$AA$83:$AJ$99,MATCH('County Scaled Consumption '!$B217,Production_Consumption!$AA$83:$AA$99,0),MATCH('County Scaled Consumption '!D$2,Production_Consumption!$AA$83:$AJ$83,0)))*'CA Population'!$L217*10^6</f>
        <v>43133.432018869047</v>
      </c>
      <c r="E217" s="143">
        <f>(INDEX(Production_Consumption!$AA$83:$AJ$99,MATCH('County Scaled Consumption '!$B217,Production_Consumption!$AA$83:$AA$99,0),MATCH('County Scaled Consumption '!E$2,Production_Consumption!$AA$83:$AJ$83,0)))*'CA Population'!$L217*10^6</f>
        <v>25422.269539559031</v>
      </c>
      <c r="F217" s="143">
        <f>(INDEX(Production_Consumption!$AA$83:$AJ$99,MATCH('County Scaled Consumption '!$B217,Production_Consumption!$AA$83:$AA$99,0),MATCH('County Scaled Consumption '!F$2,Production_Consumption!$AA$83:$AJ$83,0)))*'CA Population'!$L217*10^6</f>
        <v>7535.8398092207963</v>
      </c>
      <c r="G217" s="143">
        <f>(INDEX(Production_Consumption!$AA$83:$AJ$99,MATCH('County Scaled Consumption '!$B217,Production_Consumption!$AA$83:$AA$99,0),MATCH('County Scaled Consumption '!G$2,Production_Consumption!$AA$83:$AJ$83,0)))*'CA Population'!$L217*10^6</f>
        <v>28916.903832664237</v>
      </c>
      <c r="H217" s="143">
        <f>(INDEX(Production_Consumption!$AA$83:$AJ$99,MATCH('County Scaled Consumption '!$B217,Production_Consumption!$AA$83:$AA$99,0),MATCH('County Scaled Consumption '!H$2,Production_Consumption!$AA$83:$AJ$83,0)))*'CA Population'!$L217*10^6</f>
        <v>789.05930263939592</v>
      </c>
      <c r="I217" s="143">
        <f>(INDEX(Production_Consumption!$AA$83:$AJ$99,MATCH('County Scaled Consumption '!$B217,Production_Consumption!$AA$83:$AA$99,0),MATCH('County Scaled Consumption '!I$2,Production_Consumption!$AA$83:$AJ$83,0)))*'CA Population'!$L217*10^6</f>
        <v>15633.227234936307</v>
      </c>
      <c r="J217" s="143">
        <f>(INDEX(Production_Consumption!$AA$83:$AJ$99,MATCH('County Scaled Consumption '!$B217,Production_Consumption!$AA$83:$AA$99,0),MATCH('County Scaled Consumption '!J$2,Production_Consumption!$AA$83:$AJ$83,0)))*'CA Population'!$L217*10^6</f>
        <v>10021.411168374565</v>
      </c>
      <c r="K217" s="143">
        <f>(INDEX(Production_Consumption!$AA$83:$AJ$99,MATCH('County Scaled Consumption '!$B217,Production_Consumption!$AA$83:$AA$99,0),MATCH('County Scaled Consumption '!K$2,Production_Consumption!$AA$83:$AJ$83,0)))*'CA Population'!$L217*10^6</f>
        <v>142998.26783522891</v>
      </c>
      <c r="L217" s="131">
        <f t="shared" si="3"/>
        <v>0</v>
      </c>
    </row>
    <row r="218" spans="1:12" x14ac:dyDescent="0.2">
      <c r="A218" s="132" t="s">
        <v>343</v>
      </c>
      <c r="B218" s="129">
        <v>2017</v>
      </c>
      <c r="C218" s="143">
        <f>(INDEX(Production_Consumption!$AA$83:$AJ$99,MATCH('County Scaled Consumption '!$B218,Production_Consumption!$AA$83:$AA$99,0),MATCH('County Scaled Consumption '!C$2,Production_Consumption!$AA$83:$AJ$83,0)))*'CA Population'!$L218*10^6</f>
        <v>9787.2763085175739</v>
      </c>
      <c r="D218" s="143">
        <f>(INDEX(Production_Consumption!$AA$83:$AJ$99,MATCH('County Scaled Consumption '!$B218,Production_Consumption!$AA$83:$AA$99,0),MATCH('County Scaled Consumption '!D$2,Production_Consumption!$AA$83:$AJ$83,0)))*'CA Population'!$L218*10^6</f>
        <v>36562.813922467554</v>
      </c>
      <c r="E218" s="143">
        <f>(INDEX(Production_Consumption!$AA$83:$AJ$99,MATCH('County Scaled Consumption '!$B218,Production_Consumption!$AA$83:$AA$99,0),MATCH('County Scaled Consumption '!E$2,Production_Consumption!$AA$83:$AJ$83,0)))*'CA Population'!$L218*10^6</f>
        <v>21549.634869191275</v>
      </c>
      <c r="F218" s="143">
        <f>(INDEX(Production_Consumption!$AA$83:$AJ$99,MATCH('County Scaled Consumption '!$B218,Production_Consumption!$AA$83:$AA$99,0),MATCH('County Scaled Consumption '!F$2,Production_Consumption!$AA$83:$AJ$83,0)))*'CA Population'!$L218*10^6</f>
        <v>6387.8874413130407</v>
      </c>
      <c r="G218" s="143">
        <f>(INDEX(Production_Consumption!$AA$83:$AJ$99,MATCH('County Scaled Consumption '!$B218,Production_Consumption!$AA$83:$AA$99,0),MATCH('County Scaled Consumption '!G$2,Production_Consumption!$AA$83:$AJ$83,0)))*'CA Population'!$L218*10^6</f>
        <v>24511.923224311824</v>
      </c>
      <c r="H218" s="143">
        <f>(INDEX(Production_Consumption!$AA$83:$AJ$99,MATCH('County Scaled Consumption '!$B218,Production_Consumption!$AA$83:$AA$99,0),MATCH('County Scaled Consumption '!H$2,Production_Consumption!$AA$83:$AJ$83,0)))*'CA Population'!$L218*10^6</f>
        <v>668.86002587448866</v>
      </c>
      <c r="I218" s="143">
        <f>(INDEX(Production_Consumption!$AA$83:$AJ$99,MATCH('County Scaled Consumption '!$B218,Production_Consumption!$AA$83:$AA$99,0),MATCH('County Scaled Consumption '!I$2,Production_Consumption!$AA$83:$AJ$83,0)))*'CA Population'!$L218*10^6</f>
        <v>13251.780617609555</v>
      </c>
      <c r="J218" s="143">
        <f>(INDEX(Production_Consumption!$AA$83:$AJ$99,MATCH('County Scaled Consumption '!$B218,Production_Consumption!$AA$83:$AA$99,0),MATCH('County Scaled Consumption '!J$2,Production_Consumption!$AA$83:$AJ$83,0)))*'CA Population'!$L218*10^6</f>
        <v>8494.82581468426</v>
      </c>
      <c r="K218" s="143">
        <f>(INDEX(Production_Consumption!$AA$83:$AJ$99,MATCH('County Scaled Consumption '!$B218,Production_Consumption!$AA$83:$AA$99,0),MATCH('County Scaled Consumption '!K$2,Production_Consumption!$AA$83:$AJ$83,0)))*'CA Population'!$L218*10^6</f>
        <v>121215.00222396958</v>
      </c>
      <c r="L218" s="131">
        <f t="shared" si="3"/>
        <v>0</v>
      </c>
    </row>
    <row r="219" spans="1:12" x14ac:dyDescent="0.2">
      <c r="A219" s="132" t="s">
        <v>344</v>
      </c>
      <c r="B219" s="129">
        <v>2017</v>
      </c>
      <c r="C219" s="143">
        <f>(INDEX(Production_Consumption!$AA$83:$AJ$99,MATCH('County Scaled Consumption '!$B219,Production_Consumption!$AA$83:$AA$99,0),MATCH('County Scaled Consumption '!C$2,Production_Consumption!$AA$83:$AJ$83,0)))*'CA Population'!$L219*10^6</f>
        <v>3657.6782228137477</v>
      </c>
      <c r="D219" s="143">
        <f>(INDEX(Production_Consumption!$AA$83:$AJ$99,MATCH('County Scaled Consumption '!$B219,Production_Consumption!$AA$83:$AA$99,0),MATCH('County Scaled Consumption '!D$2,Production_Consumption!$AA$83:$AJ$83,0)))*'CA Population'!$L219*10^6</f>
        <v>13664.170095271073</v>
      </c>
      <c r="E219" s="143">
        <f>(INDEX(Production_Consumption!$AA$83:$AJ$99,MATCH('County Scaled Consumption '!$B219,Production_Consumption!$AA$83:$AA$99,0),MATCH('County Scaled Consumption '!E$2,Production_Consumption!$AA$83:$AJ$83,0)))*'CA Population'!$L219*10^6</f>
        <v>8053.4796082167013</v>
      </c>
      <c r="F219" s="143">
        <f>(INDEX(Production_Consumption!$AA$83:$AJ$99,MATCH('County Scaled Consumption '!$B219,Production_Consumption!$AA$83:$AA$99,0),MATCH('County Scaled Consumption '!F$2,Production_Consumption!$AA$83:$AJ$83,0)))*'CA Population'!$L219*10^6</f>
        <v>2387.266492470681</v>
      </c>
      <c r="G219" s="143">
        <f>(INDEX(Production_Consumption!$AA$83:$AJ$99,MATCH('County Scaled Consumption '!$B219,Production_Consumption!$AA$83:$AA$99,0),MATCH('County Scaled Consumption '!G$2,Production_Consumption!$AA$83:$AJ$83,0)))*'CA Population'!$L219*10^6</f>
        <v>9160.5391480388007</v>
      </c>
      <c r="H219" s="143">
        <f>(INDEX(Production_Consumption!$AA$83:$AJ$99,MATCH('County Scaled Consumption '!$B219,Production_Consumption!$AA$83:$AA$99,0),MATCH('County Scaled Consumption '!H$2,Production_Consumption!$AA$83:$AJ$83,0)))*'CA Population'!$L219*10^6</f>
        <v>249.96481897856128</v>
      </c>
      <c r="I219" s="143">
        <f>(INDEX(Production_Consumption!$AA$83:$AJ$99,MATCH('County Scaled Consumption '!$B219,Production_Consumption!$AA$83:$AA$99,0),MATCH('County Scaled Consumption '!I$2,Production_Consumption!$AA$83:$AJ$83,0)))*'CA Population'!$L219*10^6</f>
        <v>4952.4247452126338</v>
      </c>
      <c r="J219" s="143">
        <f>(INDEX(Production_Consumption!$AA$83:$AJ$99,MATCH('County Scaled Consumption '!$B219,Production_Consumption!$AA$83:$AA$99,0),MATCH('County Scaled Consumption '!J$2,Production_Consumption!$AA$83:$AJ$83,0)))*'CA Population'!$L219*10^6</f>
        <v>3174.6666191416521</v>
      </c>
      <c r="K219" s="143">
        <f>(INDEX(Production_Consumption!$AA$83:$AJ$99,MATCH('County Scaled Consumption '!$B219,Production_Consumption!$AA$83:$AA$99,0),MATCH('County Scaled Consumption '!K$2,Production_Consumption!$AA$83:$AJ$83,0)))*'CA Population'!$L219*10^6</f>
        <v>45300.189750143858</v>
      </c>
      <c r="L219" s="131">
        <f t="shared" si="3"/>
        <v>0</v>
      </c>
    </row>
    <row r="220" spans="1:12" x14ac:dyDescent="0.2">
      <c r="A220" s="132" t="s">
        <v>345</v>
      </c>
      <c r="B220" s="129">
        <v>2017</v>
      </c>
      <c r="C220" s="143">
        <f>(INDEX(Production_Consumption!$AA$83:$AJ$99,MATCH('County Scaled Consumption '!$B220,Production_Consumption!$AA$83:$AA$99,0),MATCH('County Scaled Consumption '!C$2,Production_Consumption!$AA$83:$AJ$83,0)))*'CA Population'!$L220*10^6</f>
        <v>10109.969723887758</v>
      </c>
      <c r="D220" s="143">
        <f>(INDEX(Production_Consumption!$AA$83:$AJ$99,MATCH('County Scaled Consumption '!$B220,Production_Consumption!$AA$83:$AA$99,0),MATCH('County Scaled Consumption '!D$2,Production_Consumption!$AA$83:$AJ$83,0)))*'CA Population'!$L220*10^6</f>
        <v>37768.315731987095</v>
      </c>
      <c r="E220" s="143">
        <f>(INDEX(Production_Consumption!$AA$83:$AJ$99,MATCH('County Scaled Consumption '!$B220,Production_Consumption!$AA$83:$AA$99,0),MATCH('County Scaled Consumption '!E$2,Production_Consumption!$AA$83:$AJ$83,0)))*'CA Population'!$L220*10^6</f>
        <v>22260.141557335759</v>
      </c>
      <c r="F220" s="143">
        <f>(INDEX(Production_Consumption!$AA$83:$AJ$99,MATCH('County Scaled Consumption '!$B220,Production_Consumption!$AA$83:$AA$99,0),MATCH('County Scaled Consumption '!F$2,Production_Consumption!$AA$83:$AJ$83,0)))*'CA Population'!$L220*10^6</f>
        <v>6598.5006037966323</v>
      </c>
      <c r="G220" s="143">
        <f>(INDEX(Production_Consumption!$AA$83:$AJ$99,MATCH('County Scaled Consumption '!$B220,Production_Consumption!$AA$83:$AA$99,0),MATCH('County Scaled Consumption '!G$2,Production_Consumption!$AA$83:$AJ$83,0)))*'CA Population'!$L220*10^6</f>
        <v>25320.098652613699</v>
      </c>
      <c r="H220" s="143">
        <f>(INDEX(Production_Consumption!$AA$83:$AJ$99,MATCH('County Scaled Consumption '!$B220,Production_Consumption!$AA$83:$AA$99,0),MATCH('County Scaled Consumption '!H$2,Production_Consumption!$AA$83:$AJ$83,0)))*'CA Population'!$L220*10^6</f>
        <v>690.91281352963972</v>
      </c>
      <c r="I220" s="143">
        <f>(INDEX(Production_Consumption!$AA$83:$AJ$99,MATCH('County Scaled Consumption '!$B220,Production_Consumption!$AA$83:$AA$99,0),MATCH('County Scaled Consumption '!I$2,Production_Consumption!$AA$83:$AJ$83,0)))*'CA Population'!$L220*10^6</f>
        <v>13688.701187994531</v>
      </c>
      <c r="J220" s="143">
        <f>(INDEX(Production_Consumption!$AA$83:$AJ$99,MATCH('County Scaled Consumption '!$B220,Production_Consumption!$AA$83:$AA$99,0),MATCH('County Scaled Consumption '!J$2,Production_Consumption!$AA$83:$AJ$83,0)))*'CA Population'!$L220*10^6</f>
        <v>8774.9062240551175</v>
      </c>
      <c r="K220" s="143">
        <f>(INDEX(Production_Consumption!$AA$83:$AJ$99,MATCH('County Scaled Consumption '!$B220,Production_Consumption!$AA$83:$AA$99,0),MATCH('County Scaled Consumption '!K$2,Production_Consumption!$AA$83:$AJ$83,0)))*'CA Population'!$L220*10^6</f>
        <v>125211.54649520022</v>
      </c>
      <c r="L220" s="131">
        <f t="shared" si="3"/>
        <v>0</v>
      </c>
    </row>
    <row r="221" spans="1:12" x14ac:dyDescent="0.2">
      <c r="A221" s="132" t="s">
        <v>346</v>
      </c>
      <c r="B221" s="129">
        <v>2017</v>
      </c>
      <c r="C221" s="143">
        <f>(INDEX(Production_Consumption!$AA$83:$AJ$99,MATCH('County Scaled Consumption '!$B221,Production_Consumption!$AA$83:$AA$99,0),MATCH('County Scaled Consumption '!C$2,Production_Consumption!$AA$83:$AJ$83,0)))*'CA Population'!$L221*10^6</f>
        <v>5875.8899472573921</v>
      </c>
      <c r="D221" s="143">
        <f>(INDEX(Production_Consumption!$AA$83:$AJ$99,MATCH('County Scaled Consumption '!$B221,Production_Consumption!$AA$83:$AA$99,0),MATCH('County Scaled Consumption '!D$2,Production_Consumption!$AA$83:$AJ$83,0)))*'CA Population'!$L221*10^6</f>
        <v>21950.853740943403</v>
      </c>
      <c r="E221" s="143">
        <f>(INDEX(Production_Consumption!$AA$83:$AJ$99,MATCH('County Scaled Consumption '!$B221,Production_Consumption!$AA$83:$AA$99,0),MATCH('County Scaled Consumption '!E$2,Production_Consumption!$AA$83:$AJ$83,0)))*'CA Population'!$L221*10^6</f>
        <v>12937.54042529196</v>
      </c>
      <c r="F221" s="143">
        <f>(INDEX(Production_Consumption!$AA$83:$AJ$99,MATCH('County Scaled Consumption '!$B221,Production_Consumption!$AA$83:$AA$99,0),MATCH('County Scaled Consumption '!F$2,Production_Consumption!$AA$83:$AJ$83,0)))*'CA Population'!$L221*10^6</f>
        <v>3835.0325889908581</v>
      </c>
      <c r="G221" s="143">
        <f>(INDEX(Production_Consumption!$AA$83:$AJ$99,MATCH('County Scaled Consumption '!$B221,Production_Consumption!$AA$83:$AA$99,0),MATCH('County Scaled Consumption '!G$2,Production_Consumption!$AA$83:$AJ$83,0)))*'CA Population'!$L221*10^6</f>
        <v>14715.980086955797</v>
      </c>
      <c r="H221" s="143">
        <f>(INDEX(Production_Consumption!$AA$83:$AJ$99,MATCH('County Scaled Consumption '!$B221,Production_Consumption!$AA$83:$AA$99,0),MATCH('County Scaled Consumption '!H$2,Production_Consumption!$AA$83:$AJ$83,0)))*'CA Population'!$L221*10^6</f>
        <v>401.55685588828595</v>
      </c>
      <c r="I221" s="143">
        <f>(INDEX(Production_Consumption!$AA$83:$AJ$99,MATCH('County Scaled Consumption '!$B221,Production_Consumption!$AA$83:$AA$99,0),MATCH('County Scaled Consumption '!I$2,Production_Consumption!$AA$83:$AJ$83,0)))*'CA Population'!$L221*10^6</f>
        <v>7955.8400171565472</v>
      </c>
      <c r="J221" s="143">
        <f>(INDEX(Production_Consumption!$AA$83:$AJ$99,MATCH('County Scaled Consumption '!$B221,Production_Consumption!$AA$83:$AA$99,0),MATCH('County Scaled Consumption '!J$2,Production_Consumption!$AA$83:$AJ$83,0)))*'CA Population'!$L221*10^6</f>
        <v>5099.9542707062019</v>
      </c>
      <c r="K221" s="143">
        <f>(INDEX(Production_Consumption!$AA$83:$AJ$99,MATCH('County Scaled Consumption '!$B221,Production_Consumption!$AA$83:$AA$99,0),MATCH('County Scaled Consumption '!K$2,Production_Consumption!$AA$83:$AJ$83,0)))*'CA Population'!$L221*10^6</f>
        <v>72772.647933190456</v>
      </c>
      <c r="L221" s="131">
        <f t="shared" si="3"/>
        <v>0</v>
      </c>
    </row>
    <row r="222" spans="1:12" x14ac:dyDescent="0.2">
      <c r="A222" s="132" t="s">
        <v>347</v>
      </c>
      <c r="B222" s="129">
        <v>2017</v>
      </c>
      <c r="C222" s="143">
        <f>(INDEX(Production_Consumption!$AA$83:$AJ$99,MATCH('County Scaled Consumption '!$B222,Production_Consumption!$AA$83:$AA$99,0),MATCH('County Scaled Consumption '!C$2,Production_Consumption!$AA$83:$AJ$83,0)))*'CA Population'!$L222*10^6</f>
        <v>25452.387292099149</v>
      </c>
      <c r="D222" s="143">
        <f>(INDEX(Production_Consumption!$AA$83:$AJ$99,MATCH('County Scaled Consumption '!$B222,Production_Consumption!$AA$83:$AA$99,0),MATCH('County Scaled Consumption '!D$2,Production_Consumption!$AA$83:$AJ$83,0)))*'CA Population'!$L222*10^6</f>
        <v>95083.746602077255</v>
      </c>
      <c r="E222" s="143">
        <f>(INDEX(Production_Consumption!$AA$83:$AJ$99,MATCH('County Scaled Consumption '!$B222,Production_Consumption!$AA$83:$AA$99,0),MATCH('County Scaled Consumption '!E$2,Production_Consumption!$AA$83:$AJ$83,0)))*'CA Population'!$L222*10^6</f>
        <v>56041.092067324862</v>
      </c>
      <c r="F222" s="143">
        <f>(INDEX(Production_Consumption!$AA$83:$AJ$99,MATCH('County Scaled Consumption '!$B222,Production_Consumption!$AA$83:$AA$99,0),MATCH('County Scaled Consumption '!F$2,Production_Consumption!$AA$83:$AJ$83,0)))*'CA Population'!$L222*10^6</f>
        <v>16612.07674224352</v>
      </c>
      <c r="G222" s="143">
        <f>(INDEX(Production_Consumption!$AA$83:$AJ$99,MATCH('County Scaled Consumption '!$B222,Production_Consumption!$AA$83:$AA$99,0),MATCH('County Scaled Consumption '!G$2,Production_Consumption!$AA$83:$AJ$83,0)))*'CA Population'!$L222*10^6</f>
        <v>63744.697044716537</v>
      </c>
      <c r="H222" s="143">
        <f>(INDEX(Production_Consumption!$AA$83:$AJ$99,MATCH('County Scaled Consumption '!$B222,Production_Consumption!$AA$83:$AA$99,0),MATCH('County Scaled Consumption '!H$2,Production_Consumption!$AA$83:$AJ$83,0)))*'CA Population'!$L222*10^6</f>
        <v>1739.4098098513261</v>
      </c>
      <c r="I222" s="143">
        <f>(INDEX(Production_Consumption!$AA$83:$AJ$99,MATCH('County Scaled Consumption '!$B222,Production_Consumption!$AA$83:$AA$99,0),MATCH('County Scaled Consumption '!I$2,Production_Consumption!$AA$83:$AJ$83,0)))*'CA Population'!$L222*10^6</f>
        <v>34462.034375774019</v>
      </c>
      <c r="J222" s="143">
        <f>(INDEX(Production_Consumption!$AA$83:$AJ$99,MATCH('County Scaled Consumption '!$B222,Production_Consumption!$AA$83:$AA$99,0),MATCH('County Scaled Consumption '!J$2,Production_Consumption!$AA$83:$AJ$83,0)))*'CA Population'!$L222*10^6</f>
        <v>22091.293818495884</v>
      </c>
      <c r="K222" s="143">
        <f>(INDEX(Production_Consumption!$AA$83:$AJ$99,MATCH('County Scaled Consumption '!$B222,Production_Consumption!$AA$83:$AA$99,0),MATCH('County Scaled Consumption '!K$2,Production_Consumption!$AA$83:$AJ$83,0)))*'CA Population'!$L222*10^6</f>
        <v>315226.73775258259</v>
      </c>
      <c r="L222" s="131">
        <f t="shared" si="3"/>
        <v>0</v>
      </c>
    </row>
    <row r="223" spans="1:12" x14ac:dyDescent="0.2">
      <c r="A223" s="132" t="s">
        <v>348</v>
      </c>
      <c r="B223" s="129">
        <v>2017</v>
      </c>
      <c r="C223" s="143">
        <f>(INDEX(Production_Consumption!$AA$83:$AJ$99,MATCH('County Scaled Consumption '!$B223,Production_Consumption!$AA$83:$AA$99,0),MATCH('County Scaled Consumption '!C$2,Production_Consumption!$AA$83:$AJ$83,0)))*'CA Population'!$L223*10^6</f>
        <v>3610.8470748220816</v>
      </c>
      <c r="D223" s="143">
        <f>(INDEX(Production_Consumption!$AA$83:$AJ$99,MATCH('County Scaled Consumption '!$B223,Production_Consumption!$AA$83:$AA$99,0),MATCH('County Scaled Consumption '!D$2,Production_Consumption!$AA$83:$AJ$83,0)))*'CA Population'!$L223*10^6</f>
        <v>13489.220651133619</v>
      </c>
      <c r="E223" s="143">
        <f>(INDEX(Production_Consumption!$AA$83:$AJ$99,MATCH('County Scaled Consumption '!$B223,Production_Consumption!$AA$83:$AA$99,0),MATCH('County Scaled Consumption '!E$2,Production_Consumption!$AA$83:$AJ$83,0)))*'CA Population'!$L223*10^6</f>
        <v>7950.3667392311609</v>
      </c>
      <c r="F223" s="143">
        <f>(INDEX(Production_Consumption!$AA$83:$AJ$99,MATCH('County Scaled Consumption '!$B223,Production_Consumption!$AA$83:$AA$99,0),MATCH('County Scaled Consumption '!F$2,Production_Consumption!$AA$83:$AJ$83,0)))*'CA Population'!$L223*10^6</f>
        <v>2356.7010835981541</v>
      </c>
      <c r="G223" s="143">
        <f>(INDEX(Production_Consumption!$AA$83:$AJ$99,MATCH('County Scaled Consumption '!$B223,Production_Consumption!$AA$83:$AA$99,0),MATCH('County Scaled Consumption '!G$2,Production_Consumption!$AA$83:$AJ$83,0)))*'CA Population'!$L223*10^6</f>
        <v>9043.2520226023717</v>
      </c>
      <c r="H223" s="143">
        <f>(INDEX(Production_Consumption!$AA$83:$AJ$99,MATCH('County Scaled Consumption '!$B223,Production_Consumption!$AA$83:$AA$99,0),MATCH('County Scaled Consumption '!H$2,Production_Consumption!$AA$83:$AJ$83,0)))*'CA Population'!$L223*10^6</f>
        <v>246.76438998585184</v>
      </c>
      <c r="I223" s="143">
        <f>(INDEX(Production_Consumption!$AA$83:$AJ$99,MATCH('County Scaled Consumption '!$B223,Production_Consumption!$AA$83:$AA$99,0),MATCH('County Scaled Consumption '!I$2,Production_Consumption!$AA$83:$AJ$83,0)))*'CA Population'!$L223*10^6</f>
        <v>4889.0162871601842</v>
      </c>
      <c r="J223" s="143">
        <f>(INDEX(Production_Consumption!$AA$83:$AJ$99,MATCH('County Scaled Consumption '!$B223,Production_Consumption!$AA$83:$AA$99,0),MATCH('County Scaled Consumption '!J$2,Production_Consumption!$AA$83:$AJ$83,0)))*'CA Population'!$L223*10^6</f>
        <v>3134.0197187834096</v>
      </c>
      <c r="K223" s="143">
        <f>(INDEX(Production_Consumption!$AA$83:$AJ$99,MATCH('County Scaled Consumption '!$B223,Production_Consumption!$AA$83:$AA$99,0),MATCH('County Scaled Consumption '!K$2,Production_Consumption!$AA$83:$AJ$83,0)))*'CA Population'!$L223*10^6</f>
        <v>44720.18796731683</v>
      </c>
      <c r="L223" s="131">
        <f t="shared" si="3"/>
        <v>0</v>
      </c>
    </row>
    <row r="224" spans="1:12" x14ac:dyDescent="0.2">
      <c r="A224" s="132" t="s">
        <v>349</v>
      </c>
      <c r="B224" s="129">
        <v>2017</v>
      </c>
      <c r="C224" s="143">
        <f>(INDEX(Production_Consumption!$AA$83:$AJ$99,MATCH('County Scaled Consumption '!$B224,Production_Consumption!$AA$83:$AA$99,0),MATCH('County Scaled Consumption '!C$2,Production_Consumption!$AA$83:$AJ$83,0)))*'CA Population'!$L224*10^6</f>
        <v>2335.9071769019365</v>
      </c>
      <c r="D224" s="143">
        <f>(INDEX(Production_Consumption!$AA$83:$AJ$99,MATCH('County Scaled Consumption '!$B224,Production_Consumption!$AA$83:$AA$99,0),MATCH('County Scaled Consumption '!D$2,Production_Consumption!$AA$83:$AJ$83,0)))*'CA Population'!$L224*10^6</f>
        <v>8726.3643895385449</v>
      </c>
      <c r="E224" s="143">
        <f>(INDEX(Production_Consumption!$AA$83:$AJ$99,MATCH('County Scaled Consumption '!$B224,Production_Consumption!$AA$83:$AA$99,0),MATCH('County Scaled Consumption '!E$2,Production_Consumption!$AA$83:$AJ$83,0)))*'CA Population'!$L224*10^6</f>
        <v>5143.2027832659141</v>
      </c>
      <c r="F224" s="143">
        <f>(INDEX(Production_Consumption!$AA$83:$AJ$99,MATCH('County Scaled Consumption '!$B224,Production_Consumption!$AA$83:$AA$99,0),MATCH('County Scaled Consumption '!F$2,Production_Consumption!$AA$83:$AJ$83,0)))*'CA Population'!$L224*10^6</f>
        <v>1524.5826978869632</v>
      </c>
      <c r="G224" s="143">
        <f>(INDEX(Production_Consumption!$AA$83:$AJ$99,MATCH('County Scaled Consumption '!$B224,Production_Consumption!$AA$83:$AA$99,0),MATCH('County Scaled Consumption '!G$2,Production_Consumption!$AA$83:$AJ$83,0)))*'CA Population'!$L224*10^6</f>
        <v>5850.2054682475546</v>
      </c>
      <c r="H224" s="143">
        <f>(INDEX(Production_Consumption!$AA$83:$AJ$99,MATCH('County Scaled Consumption '!$B224,Production_Consumption!$AA$83:$AA$99,0),MATCH('County Scaled Consumption '!H$2,Production_Consumption!$AA$83:$AJ$83,0)))*'CA Population'!$L224*10^6</f>
        <v>159.63531482434263</v>
      </c>
      <c r="I224" s="143">
        <f>(INDEX(Production_Consumption!$AA$83:$AJ$99,MATCH('County Scaled Consumption '!$B224,Production_Consumption!$AA$83:$AA$99,0),MATCH('County Scaled Consumption '!I$2,Production_Consumption!$AA$83:$AJ$83,0)))*'CA Population'!$L224*10^6</f>
        <v>3162.7726116677613</v>
      </c>
      <c r="J224" s="143">
        <f>(INDEX(Production_Consumption!$AA$83:$AJ$99,MATCH('County Scaled Consumption '!$B224,Production_Consumption!$AA$83:$AA$99,0),MATCH('County Scaled Consumption '!J$2,Production_Consumption!$AA$83:$AJ$83,0)))*'CA Population'!$L224*10^6</f>
        <v>2027.4409306074181</v>
      </c>
      <c r="K224" s="143">
        <f>(INDEX(Production_Consumption!$AA$83:$AJ$99,MATCH('County Scaled Consumption '!$B224,Production_Consumption!$AA$83:$AA$99,0),MATCH('County Scaled Consumption '!K$2,Production_Consumption!$AA$83:$AJ$83,0)))*'CA Population'!$L224*10^6</f>
        <v>28930.111372940435</v>
      </c>
      <c r="L224" s="131">
        <f t="shared" si="3"/>
        <v>0</v>
      </c>
    </row>
    <row r="225" spans="1:12" x14ac:dyDescent="0.2">
      <c r="A225" s="132" t="s">
        <v>350</v>
      </c>
      <c r="B225" s="129">
        <v>2017</v>
      </c>
      <c r="C225" s="143">
        <f>(INDEX(Production_Consumption!$AA$83:$AJ$99,MATCH('County Scaled Consumption '!$B225,Production_Consumption!$AA$83:$AA$99,0),MATCH('County Scaled Consumption '!C$2,Production_Consumption!$AA$83:$AJ$83,0)))*'CA Population'!$L225*10^6</f>
        <v>42.205849424588067</v>
      </c>
      <c r="D225" s="143">
        <f>(INDEX(Production_Consumption!$AA$83:$AJ$99,MATCH('County Scaled Consumption '!$B225,Production_Consumption!$AA$83:$AA$99,0),MATCH('County Scaled Consumption '!D$2,Production_Consumption!$AA$83:$AJ$83,0)))*'CA Population'!$L225*10^6</f>
        <v>157.67048669178041</v>
      </c>
      <c r="E225" s="143">
        <f>(INDEX(Production_Consumption!$AA$83:$AJ$99,MATCH('County Scaled Consumption '!$B225,Production_Consumption!$AA$83:$AA$99,0),MATCH('County Scaled Consumption '!E$2,Production_Consumption!$AA$83:$AJ$83,0)))*'CA Population'!$L225*10^6</f>
        <v>92.928881925241129</v>
      </c>
      <c r="F225" s="143">
        <f>(INDEX(Production_Consumption!$AA$83:$AJ$99,MATCH('County Scaled Consumption '!$B225,Production_Consumption!$AA$83:$AA$99,0),MATCH('County Scaled Consumption '!F$2,Production_Consumption!$AA$83:$AJ$83,0)))*'CA Population'!$L225*10^6</f>
        <v>27.546603057956496</v>
      </c>
      <c r="G225" s="143">
        <f>(INDEX(Production_Consumption!$AA$83:$AJ$99,MATCH('County Scaled Consumption '!$B225,Production_Consumption!$AA$83:$AA$99,0),MATCH('County Scaled Consumption '!G$2,Production_Consumption!$AA$83:$AJ$83,0)))*'CA Population'!$L225*10^6</f>
        <v>105.70321181307953</v>
      </c>
      <c r="H225" s="143">
        <f>(INDEX(Production_Consumption!$AA$83:$AJ$99,MATCH('County Scaled Consumption '!$B225,Production_Consumption!$AA$83:$AA$99,0),MATCH('County Scaled Consumption '!H$2,Production_Consumption!$AA$83:$AJ$83,0)))*'CA Population'!$L225*10^6</f>
        <v>2.8843372403430756</v>
      </c>
      <c r="I225" s="143">
        <f>(INDEX(Production_Consumption!$AA$83:$AJ$99,MATCH('County Scaled Consumption '!$B225,Production_Consumption!$AA$83:$AA$99,0),MATCH('County Scaled Consumption '!I$2,Production_Consumption!$AA$83:$AJ$83,0)))*'CA Population'!$L225*10^6</f>
        <v>57.145894294182654</v>
      </c>
      <c r="J225" s="143">
        <f>(INDEX(Production_Consumption!$AA$83:$AJ$99,MATCH('County Scaled Consumption '!$B225,Production_Consumption!$AA$83:$AA$99,0),MATCH('County Scaled Consumption '!J$2,Production_Consumption!$AA$83:$AJ$83,0)))*'CA Population'!$L225*10^6</f>
        <v>36.632391680885561</v>
      </c>
      <c r="K225" s="143">
        <f>(INDEX(Production_Consumption!$AA$83:$AJ$99,MATCH('County Scaled Consumption '!$B225,Production_Consumption!$AA$83:$AA$99,0),MATCH('County Scaled Consumption '!K$2,Production_Consumption!$AA$83:$AJ$83,0)))*'CA Population'!$L225*10^6</f>
        <v>522.717656128057</v>
      </c>
      <c r="L225" s="131">
        <f t="shared" si="3"/>
        <v>0</v>
      </c>
    </row>
    <row r="226" spans="1:12" x14ac:dyDescent="0.2">
      <c r="A226" s="132" t="s">
        <v>351</v>
      </c>
      <c r="B226" s="129">
        <v>2017</v>
      </c>
      <c r="C226" s="143">
        <f>(INDEX(Production_Consumption!$AA$83:$AJ$99,MATCH('County Scaled Consumption '!$B226,Production_Consumption!$AA$83:$AA$99,0),MATCH('County Scaled Consumption '!C$2,Production_Consumption!$AA$83:$AJ$83,0)))*'CA Population'!$L226*10^6</f>
        <v>586.32229364089164</v>
      </c>
      <c r="D226" s="143">
        <f>(INDEX(Production_Consumption!$AA$83:$AJ$99,MATCH('County Scaled Consumption '!$B226,Production_Consumption!$AA$83:$AA$99,0),MATCH('County Scaled Consumption '!D$2,Production_Consumption!$AA$83:$AJ$83,0)))*'CA Population'!$L226*10^6</f>
        <v>2190.3532959756953</v>
      </c>
      <c r="E226" s="143">
        <f>(INDEX(Production_Consumption!$AA$83:$AJ$99,MATCH('County Scaled Consumption '!$B226,Production_Consumption!$AA$83:$AA$99,0),MATCH('County Scaled Consumption '!E$2,Production_Consumption!$AA$83:$AJ$83,0)))*'CA Population'!$L226*10^6</f>
        <v>1290.965018800182</v>
      </c>
      <c r="F226" s="143">
        <f>(INDEX(Production_Consumption!$AA$83:$AJ$99,MATCH('County Scaled Consumption '!$B226,Production_Consumption!$AA$83:$AA$99,0),MATCH('County Scaled Consumption '!F$2,Production_Consumption!$AA$83:$AJ$83,0)))*'CA Population'!$L226*10^6</f>
        <v>382.67651776123182</v>
      </c>
      <c r="G226" s="143">
        <f>(INDEX(Production_Consumption!$AA$83:$AJ$99,MATCH('County Scaled Consumption '!$B226,Production_Consumption!$AA$83:$AA$99,0),MATCH('County Scaled Consumption '!G$2,Production_Consumption!$AA$83:$AJ$83,0)))*'CA Population'!$L226*10^6</f>
        <v>1468.4255959873665</v>
      </c>
      <c r="H226" s="143">
        <f>(INDEX(Production_Consumption!$AA$83:$AJ$99,MATCH('County Scaled Consumption '!$B226,Production_Consumption!$AA$83:$AA$99,0),MATCH('County Scaled Consumption '!H$2,Production_Consumption!$AA$83:$AJ$83,0)))*'CA Population'!$L226*10^6</f>
        <v>40.069119552100986</v>
      </c>
      <c r="I226" s="143">
        <f>(INDEX(Production_Consumption!$AA$83:$AJ$99,MATCH('County Scaled Consumption '!$B226,Production_Consumption!$AA$83:$AA$99,0),MATCH('County Scaled Consumption '!I$2,Production_Consumption!$AA$83:$AJ$83,0)))*'CA Population'!$L226*10^6</f>
        <v>793.86891323185682</v>
      </c>
      <c r="J226" s="143">
        <f>(INDEX(Production_Consumption!$AA$83:$AJ$99,MATCH('County Scaled Consumption '!$B226,Production_Consumption!$AA$83:$AA$99,0),MATCH('County Scaled Consumption '!J$2,Production_Consumption!$AA$83:$AJ$83,0)))*'CA Population'!$L226*10^6</f>
        <v>508.89599912602574</v>
      </c>
      <c r="K226" s="143">
        <f>(INDEX(Production_Consumption!$AA$83:$AJ$99,MATCH('County Scaled Consumption '!$B226,Production_Consumption!$AA$83:$AA$99,0),MATCH('County Scaled Consumption '!K$2,Production_Consumption!$AA$83:$AJ$83,0)))*'CA Population'!$L226*10^6</f>
        <v>7261.5767540753513</v>
      </c>
      <c r="L226" s="131">
        <f t="shared" si="3"/>
        <v>0</v>
      </c>
    </row>
    <row r="227" spans="1:12" x14ac:dyDescent="0.2">
      <c r="A227" s="132" t="s">
        <v>352</v>
      </c>
      <c r="B227" s="129">
        <v>2017</v>
      </c>
      <c r="C227" s="143">
        <f>(INDEX(Production_Consumption!$AA$83:$AJ$99,MATCH('County Scaled Consumption '!$B227,Production_Consumption!$AA$83:$AA$99,0),MATCH('County Scaled Consumption '!C$2,Production_Consumption!$AA$83:$AJ$83,0)))*'CA Population'!$L227*10^6</f>
        <v>5718.3669949217874</v>
      </c>
      <c r="D227" s="143">
        <f>(INDEX(Production_Consumption!$AA$83:$AJ$99,MATCH('County Scaled Consumption '!$B227,Production_Consumption!$AA$83:$AA$99,0),MATCH('County Scaled Consumption '!D$2,Production_Consumption!$AA$83:$AJ$83,0)))*'CA Population'!$L227*10^6</f>
        <v>21362.387428844693</v>
      </c>
      <c r="E227" s="143">
        <f>(INDEX(Production_Consumption!$AA$83:$AJ$99,MATCH('County Scaled Consumption '!$B227,Production_Consumption!$AA$83:$AA$99,0),MATCH('County Scaled Consumption '!E$2,Production_Consumption!$AA$83:$AJ$83,0)))*'CA Population'!$L227*10^6</f>
        <v>12590.706229613321</v>
      </c>
      <c r="F227" s="143">
        <f>(INDEX(Production_Consumption!$AA$83:$AJ$99,MATCH('County Scaled Consumption '!$B227,Production_Consumption!$AA$83:$AA$99,0),MATCH('County Scaled Consumption '!F$2,Production_Consumption!$AA$83:$AJ$83,0)))*'CA Population'!$L227*10^6</f>
        <v>3732.2216682378125</v>
      </c>
      <c r="G227" s="143">
        <f>(INDEX(Production_Consumption!$AA$83:$AJ$99,MATCH('County Scaled Consumption '!$B227,Production_Consumption!$AA$83:$AA$99,0),MATCH('County Scaled Consumption '!G$2,Production_Consumption!$AA$83:$AJ$83,0)))*'CA Population'!$L227*10^6</f>
        <v>14321.46884685144</v>
      </c>
      <c r="H227" s="143">
        <f>(INDEX(Production_Consumption!$AA$83:$AJ$99,MATCH('County Scaled Consumption '!$B227,Production_Consumption!$AA$83:$AA$99,0),MATCH('County Scaled Consumption '!H$2,Production_Consumption!$AA$83:$AJ$83,0)))*'CA Population'!$L227*10^6</f>
        <v>390.79177654917237</v>
      </c>
      <c r="I227" s="143">
        <f>(INDEX(Production_Consumption!$AA$83:$AJ$99,MATCH('County Scaled Consumption '!$B227,Production_Consumption!$AA$83:$AA$99,0),MATCH('County Scaled Consumption '!I$2,Production_Consumption!$AA$83:$AJ$83,0)))*'CA Population'!$L227*10^6</f>
        <v>7742.557021889219</v>
      </c>
      <c r="J227" s="143">
        <f>(INDEX(Production_Consumption!$AA$83:$AJ$99,MATCH('County Scaled Consumption '!$B227,Production_Consumption!$AA$83:$AA$99,0),MATCH('County Scaled Consumption '!J$2,Production_Consumption!$AA$83:$AJ$83,0)))*'CA Population'!$L227*10^6</f>
        <v>4963.2328785921127</v>
      </c>
      <c r="K227" s="143">
        <f>(INDEX(Production_Consumption!$AA$83:$AJ$99,MATCH('County Scaled Consumption '!$B227,Production_Consumption!$AA$83:$AA$99,0),MATCH('County Scaled Consumption '!K$2,Production_Consumption!$AA$83:$AJ$83,0)))*'CA Population'!$L227*10^6</f>
        <v>70821.732845499559</v>
      </c>
      <c r="L227" s="131">
        <f t="shared" si="3"/>
        <v>0</v>
      </c>
    </row>
    <row r="228" spans="1:12" x14ac:dyDescent="0.2">
      <c r="A228" s="132" t="s">
        <v>353</v>
      </c>
      <c r="B228" s="129">
        <v>2017</v>
      </c>
      <c r="C228" s="143">
        <f>(INDEX(Production_Consumption!$AA$83:$AJ$99,MATCH('County Scaled Consumption '!$B228,Production_Consumption!$AA$83:$AA$99,0),MATCH('County Scaled Consumption '!C$2,Production_Consumption!$AA$83:$AJ$83,0)))*'CA Population'!$L228*10^6</f>
        <v>6614.7682532953777</v>
      </c>
      <c r="D228" s="143">
        <f>(INDEX(Production_Consumption!$AA$83:$AJ$99,MATCH('County Scaled Consumption '!$B228,Production_Consumption!$AA$83:$AA$99,0),MATCH('County Scaled Consumption '!D$2,Production_Consumption!$AA$83:$AJ$83,0)))*'CA Population'!$L228*10^6</f>
        <v>24711.118104942627</v>
      </c>
      <c r="E228" s="143">
        <f>(INDEX(Production_Consumption!$AA$83:$AJ$99,MATCH('County Scaled Consumption '!$B228,Production_Consumption!$AA$83:$AA$99,0),MATCH('County Scaled Consumption '!E$2,Production_Consumption!$AA$83:$AJ$83,0)))*'CA Population'!$L228*10^6</f>
        <v>14564.403426393528</v>
      </c>
      <c r="F228" s="143">
        <f>(INDEX(Production_Consumption!$AA$83:$AJ$99,MATCH('County Scaled Consumption '!$B228,Production_Consumption!$AA$83:$AA$99,0),MATCH('County Scaled Consumption '!F$2,Production_Consumption!$AA$83:$AJ$83,0)))*'CA Population'!$L228*10^6</f>
        <v>4317.278241715625</v>
      </c>
      <c r="G228" s="143">
        <f>(INDEX(Production_Consumption!$AA$83:$AJ$99,MATCH('County Scaled Consumption '!$B228,Production_Consumption!$AA$83:$AA$99,0),MATCH('County Scaled Consumption '!G$2,Production_Consumption!$AA$83:$AJ$83,0)))*'CA Population'!$L228*10^6</f>
        <v>16566.477379440628</v>
      </c>
      <c r="H228" s="143">
        <f>(INDEX(Production_Consumption!$AA$83:$AJ$99,MATCH('County Scaled Consumption '!$B228,Production_Consumption!$AA$83:$AA$99,0),MATCH('County Scaled Consumption '!H$2,Production_Consumption!$AA$83:$AJ$83,0)))*'CA Population'!$L228*10^6</f>
        <v>452.05161534087983</v>
      </c>
      <c r="I228" s="143">
        <f>(INDEX(Production_Consumption!$AA$83:$AJ$99,MATCH('County Scaled Consumption '!$B228,Production_Consumption!$AA$83:$AA$99,0),MATCH('County Scaled Consumption '!I$2,Production_Consumption!$AA$83:$AJ$83,0)))*'CA Population'!$L228*10^6</f>
        <v>8956.2667861653226</v>
      </c>
      <c r="J228" s="143">
        <f>(INDEX(Production_Consumption!$AA$83:$AJ$99,MATCH('County Scaled Consumption '!$B228,Production_Consumption!$AA$83:$AA$99,0),MATCH('County Scaled Consumption '!J$2,Production_Consumption!$AA$83:$AJ$83,0)))*'CA Population'!$L228*10^6</f>
        <v>5741.2606270598371</v>
      </c>
      <c r="K228" s="143">
        <f>(INDEX(Production_Consumption!$AA$83:$AJ$99,MATCH('County Scaled Consumption '!$B228,Production_Consumption!$AA$83:$AA$99,0),MATCH('County Scaled Consumption '!K$2,Production_Consumption!$AA$83:$AJ$83,0)))*'CA Population'!$L228*10^6</f>
        <v>81923.624434353827</v>
      </c>
      <c r="L228" s="131">
        <f t="shared" si="3"/>
        <v>0</v>
      </c>
    </row>
    <row r="229" spans="1:12" x14ac:dyDescent="0.2">
      <c r="A229" s="132" t="s">
        <v>354</v>
      </c>
      <c r="B229" s="129">
        <v>2017</v>
      </c>
      <c r="C229" s="143">
        <f>(INDEX(Production_Consumption!$AA$83:$AJ$99,MATCH('County Scaled Consumption '!$B229,Production_Consumption!$AA$83:$AA$99,0),MATCH('County Scaled Consumption '!C$2,Production_Consumption!$AA$83:$AJ$83,0)))*'CA Population'!$L229*10^6</f>
        <v>7186.5313684921712</v>
      </c>
      <c r="D229" s="143">
        <f>(INDEX(Production_Consumption!$AA$83:$AJ$99,MATCH('County Scaled Consumption '!$B229,Production_Consumption!$AA$83:$AA$99,0),MATCH('County Scaled Consumption '!D$2,Production_Consumption!$AA$83:$AJ$83,0)))*'CA Population'!$L229*10^6</f>
        <v>26847.081955322279</v>
      </c>
      <c r="E229" s="143">
        <f>(INDEX(Production_Consumption!$AA$83:$AJ$99,MATCH('County Scaled Consumption '!$B229,Production_Consumption!$AA$83:$AA$99,0),MATCH('County Scaled Consumption '!E$2,Production_Consumption!$AA$83:$AJ$83,0)))*'CA Population'!$L229*10^6</f>
        <v>15823.312031378902</v>
      </c>
      <c r="F229" s="143">
        <f>(INDEX(Production_Consumption!$AA$83:$AJ$99,MATCH('County Scaled Consumption '!$B229,Production_Consumption!$AA$83:$AA$99,0),MATCH('County Scaled Consumption '!F$2,Production_Consumption!$AA$83:$AJ$83,0)))*'CA Population'!$L229*10^6</f>
        <v>4690.4523820832655</v>
      </c>
      <c r="G229" s="143">
        <f>(INDEX(Production_Consumption!$AA$83:$AJ$99,MATCH('County Scaled Consumption '!$B229,Production_Consumption!$AA$83:$AA$99,0),MATCH('County Scaled Consumption '!G$2,Production_Consumption!$AA$83:$AJ$83,0)))*'CA Population'!$L229*10^6</f>
        <v>17998.439974590852</v>
      </c>
      <c r="H229" s="143">
        <f>(INDEX(Production_Consumption!$AA$83:$AJ$99,MATCH('County Scaled Consumption '!$B229,Production_Consumption!$AA$83:$AA$99,0),MATCH('County Scaled Consumption '!H$2,Production_Consumption!$AA$83:$AJ$83,0)))*'CA Population'!$L229*10^6</f>
        <v>491.12576426337307</v>
      </c>
      <c r="I229" s="143">
        <f>(INDEX(Production_Consumption!$AA$83:$AJ$99,MATCH('County Scaled Consumption '!$B229,Production_Consumption!$AA$83:$AA$99,0),MATCH('County Scaled Consumption '!I$2,Production_Consumption!$AA$83:$AJ$83,0)))*'CA Population'!$L229*10^6</f>
        <v>9730.4228566580914</v>
      </c>
      <c r="J229" s="143">
        <f>(INDEX(Production_Consumption!$AA$83:$AJ$99,MATCH('County Scaled Consumption '!$B229,Production_Consumption!$AA$83:$AA$99,0),MATCH('County Scaled Consumption '!J$2,Production_Consumption!$AA$83:$AJ$83,0)))*'CA Population'!$L229*10^6</f>
        <v>6237.5200477355456</v>
      </c>
      <c r="K229" s="143">
        <f>(INDEX(Production_Consumption!$AA$83:$AJ$99,MATCH('County Scaled Consumption '!$B229,Production_Consumption!$AA$83:$AA$99,0),MATCH('County Scaled Consumption '!K$2,Production_Consumption!$AA$83:$AJ$83,0)))*'CA Population'!$L229*10^6</f>
        <v>89004.886380524491</v>
      </c>
      <c r="L229" s="131">
        <f t="shared" si="3"/>
        <v>0</v>
      </c>
    </row>
    <row r="230" spans="1:12" x14ac:dyDescent="0.2">
      <c r="A230" s="132" t="s">
        <v>355</v>
      </c>
      <c r="B230" s="129">
        <v>2017</v>
      </c>
      <c r="C230" s="143">
        <f>(INDEX(Production_Consumption!$AA$83:$AJ$99,MATCH('County Scaled Consumption '!$B230,Production_Consumption!$AA$83:$AA$99,0),MATCH('County Scaled Consumption '!C$2,Production_Consumption!$AA$83:$AJ$83,0)))*'CA Population'!$L230*10^6</f>
        <v>1294.6893971994589</v>
      </c>
      <c r="D230" s="143">
        <f>(INDEX(Production_Consumption!$AA$83:$AJ$99,MATCH('County Scaled Consumption '!$B230,Production_Consumption!$AA$83:$AA$99,0),MATCH('County Scaled Consumption '!D$2,Production_Consumption!$AA$83:$AJ$83,0)))*'CA Population'!$L230*10^6</f>
        <v>4836.6354463702128</v>
      </c>
      <c r="E230" s="143">
        <f>(INDEX(Production_Consumption!$AA$83:$AJ$99,MATCH('County Scaled Consumption '!$B230,Production_Consumption!$AA$83:$AA$99,0),MATCH('County Scaled Consumption '!E$2,Production_Consumption!$AA$83:$AJ$83,0)))*'CA Population'!$L230*10^6</f>
        <v>2850.6484234414725</v>
      </c>
      <c r="F230" s="143">
        <f>(INDEX(Production_Consumption!$AA$83:$AJ$99,MATCH('County Scaled Consumption '!$B230,Production_Consumption!$AA$83:$AA$99,0),MATCH('County Scaled Consumption '!F$2,Production_Consumption!$AA$83:$AJ$83,0)))*'CA Population'!$L230*10^6</f>
        <v>845.00834349329182</v>
      </c>
      <c r="G230" s="143">
        <f>(INDEX(Production_Consumption!$AA$83:$AJ$99,MATCH('County Scaled Consumption '!$B230,Production_Consumption!$AA$83:$AA$99,0),MATCH('County Scaled Consumption '!G$2,Production_Consumption!$AA$83:$AJ$83,0)))*'CA Population'!$L230*10^6</f>
        <v>3242.5085491727041</v>
      </c>
      <c r="H230" s="143">
        <f>(INDEX(Production_Consumption!$AA$83:$AJ$99,MATCH('County Scaled Consumption '!$B230,Production_Consumption!$AA$83:$AA$99,0),MATCH('County Scaled Consumption '!H$2,Production_Consumption!$AA$83:$AJ$83,0)))*'CA Population'!$L230*10^6</f>
        <v>88.478751024596278</v>
      </c>
      <c r="I230" s="143">
        <f>(INDEX(Production_Consumption!$AA$83:$AJ$99,MATCH('County Scaled Consumption '!$B230,Production_Consumption!$AA$83:$AA$99,0),MATCH('County Scaled Consumption '!I$2,Production_Consumption!$AA$83:$AJ$83,0)))*'CA Population'!$L230*10^6</f>
        <v>1752.9841110852481</v>
      </c>
      <c r="J230" s="143">
        <f>(INDEX(Production_Consumption!$AA$83:$AJ$99,MATCH('County Scaled Consumption '!$B230,Production_Consumption!$AA$83:$AA$99,0),MATCH('County Scaled Consumption '!J$2,Production_Consumption!$AA$83:$AJ$83,0)))*'CA Population'!$L230*10^6</f>
        <v>1123.720284034139</v>
      </c>
      <c r="K230" s="143">
        <f>(INDEX(Production_Consumption!$AA$83:$AJ$99,MATCH('County Scaled Consumption '!$B230,Production_Consumption!$AA$83:$AA$99,0),MATCH('County Scaled Consumption '!K$2,Production_Consumption!$AA$83:$AJ$83,0)))*'CA Population'!$L230*10^6</f>
        <v>16034.673305821125</v>
      </c>
      <c r="L230" s="131">
        <f t="shared" si="3"/>
        <v>0</v>
      </c>
    </row>
    <row r="231" spans="1:12" x14ac:dyDescent="0.2">
      <c r="A231" s="132" t="s">
        <v>356</v>
      </c>
      <c r="B231" s="129">
        <v>2017</v>
      </c>
      <c r="C231" s="143">
        <f>(INDEX(Production_Consumption!$AA$83:$AJ$99,MATCH('County Scaled Consumption '!$B231,Production_Consumption!$AA$83:$AA$99,0),MATCH('County Scaled Consumption '!C$2,Production_Consumption!$AA$83:$AJ$83,0)))*'CA Population'!$L231*10^6</f>
        <v>839.96473182358898</v>
      </c>
      <c r="D231" s="143">
        <f>(INDEX(Production_Consumption!$AA$83:$AJ$99,MATCH('County Scaled Consumption '!$B231,Production_Consumption!$AA$83:$AA$99,0),MATCH('County Scaled Consumption '!D$2,Production_Consumption!$AA$83:$AJ$83,0)))*'CA Population'!$L231*10^6</f>
        <v>3137.8979424923323</v>
      </c>
      <c r="E231" s="143">
        <f>(INDEX(Production_Consumption!$AA$83:$AJ$99,MATCH('County Scaled Consumption '!$B231,Production_Consumption!$AA$83:$AA$99,0),MATCH('County Scaled Consumption '!E$2,Production_Consumption!$AA$83:$AJ$83,0)))*'CA Population'!$L231*10^6</f>
        <v>1849.4351955756895</v>
      </c>
      <c r="F231" s="143">
        <f>(INDEX(Production_Consumption!$AA$83:$AJ$99,MATCH('County Scaled Consumption '!$B231,Production_Consumption!$AA$83:$AA$99,0),MATCH('County Scaled Consumption '!F$2,Production_Consumption!$AA$83:$AJ$83,0)))*'CA Population'!$L231*10^6</f>
        <v>548.22199684832219</v>
      </c>
      <c r="G231" s="143">
        <f>(INDEX(Production_Consumption!$AA$83:$AJ$99,MATCH('County Scaled Consumption '!$B231,Production_Consumption!$AA$83:$AA$99,0),MATCH('County Scaled Consumption '!G$2,Production_Consumption!$AA$83:$AJ$83,0)))*'CA Population'!$L231*10^6</f>
        <v>2103.6650410769912</v>
      </c>
      <c r="H231" s="143">
        <f>(INDEX(Production_Consumption!$AA$83:$AJ$99,MATCH('County Scaled Consumption '!$B231,Production_Consumption!$AA$83:$AA$99,0),MATCH('County Scaled Consumption '!H$2,Production_Consumption!$AA$83:$AJ$83,0)))*'CA Population'!$L231*10^6</f>
        <v>57.402980620078075</v>
      </c>
      <c r="I231" s="143">
        <f>(INDEX(Production_Consumption!$AA$83:$AJ$99,MATCH('County Scaled Consumption '!$B231,Production_Consumption!$AA$83:$AA$99,0),MATCH('County Scaled Consumption '!I$2,Production_Consumption!$AA$83:$AJ$83,0)))*'CA Population'!$L231*10^6</f>
        <v>1137.2958116006639</v>
      </c>
      <c r="J231" s="143">
        <f>(INDEX(Production_Consumption!$AA$83:$AJ$99,MATCH('County Scaled Consumption '!$B231,Production_Consumption!$AA$83:$AA$99,0),MATCH('County Scaled Consumption '!J$2,Production_Consumption!$AA$83:$AJ$83,0)))*'CA Population'!$L231*10^6</f>
        <v>729.04389969144734</v>
      </c>
      <c r="K231" s="143">
        <f>(INDEX(Production_Consumption!$AA$83:$AJ$99,MATCH('County Scaled Consumption '!$B231,Production_Consumption!$AA$83:$AA$99,0),MATCH('County Scaled Consumption '!K$2,Production_Consumption!$AA$83:$AJ$83,0)))*'CA Population'!$L231*10^6</f>
        <v>10402.927599729115</v>
      </c>
      <c r="L231" s="131">
        <f t="shared" si="3"/>
        <v>0</v>
      </c>
    </row>
    <row r="232" spans="1:12" x14ac:dyDescent="0.2">
      <c r="A232" s="132" t="s">
        <v>357</v>
      </c>
      <c r="B232" s="129">
        <v>2017</v>
      </c>
      <c r="C232" s="143">
        <f>(INDEX(Production_Consumption!$AA$83:$AJ$99,MATCH('County Scaled Consumption '!$B232,Production_Consumption!$AA$83:$AA$99,0),MATCH('County Scaled Consumption '!C$2,Production_Consumption!$AA$83:$AJ$83,0)))*'CA Population'!$L232*10^6</f>
        <v>179.17775926328855</v>
      </c>
      <c r="D232" s="143">
        <f>(INDEX(Production_Consumption!$AA$83:$AJ$99,MATCH('County Scaled Consumption '!$B232,Production_Consumption!$AA$83:$AA$99,0),MATCH('County Scaled Consumption '!D$2,Production_Consumption!$AA$83:$AJ$83,0)))*'CA Population'!$L232*10^6</f>
        <v>669.36324923073403</v>
      </c>
      <c r="E232" s="143">
        <f>(INDEX(Production_Consumption!$AA$83:$AJ$99,MATCH('County Scaled Consumption '!$B232,Production_Consumption!$AA$83:$AA$99,0),MATCH('County Scaled Consumption '!E$2,Production_Consumption!$AA$83:$AJ$83,0)))*'CA Population'!$L232*10^6</f>
        <v>394.51377146095524</v>
      </c>
      <c r="F232" s="143">
        <f>(INDEX(Production_Consumption!$AA$83:$AJ$99,MATCH('County Scaled Consumption '!$B232,Production_Consumption!$AA$83:$AA$99,0),MATCH('County Scaled Consumption '!F$2,Production_Consumption!$AA$83:$AJ$83,0)))*'CA Population'!$L232*10^6</f>
        <v>116.94442070308055</v>
      </c>
      <c r="G232" s="143">
        <f>(INDEX(Production_Consumption!$AA$83:$AJ$99,MATCH('County Scaled Consumption '!$B232,Production_Consumption!$AA$83:$AA$99,0),MATCH('County Scaled Consumption '!G$2,Production_Consumption!$AA$83:$AJ$83,0)))*'CA Population'!$L232*10^6</f>
        <v>448.74501752277467</v>
      </c>
      <c r="H232" s="143">
        <f>(INDEX(Production_Consumption!$AA$83:$AJ$99,MATCH('County Scaled Consumption '!$B232,Production_Consumption!$AA$83:$AA$99,0),MATCH('County Scaled Consumption '!H$2,Production_Consumption!$AA$83:$AJ$83,0)))*'CA Population'!$L232*10^6</f>
        <v>12.244963452465186</v>
      </c>
      <c r="I232" s="143">
        <f>(INDEX(Production_Consumption!$AA$83:$AJ$99,MATCH('County Scaled Consumption '!$B232,Production_Consumption!$AA$83:$AA$99,0),MATCH('County Scaled Consumption '!I$2,Production_Consumption!$AA$83:$AJ$83,0)))*'CA Population'!$L232*10^6</f>
        <v>242.60318013557742</v>
      </c>
      <c r="J232" s="143">
        <f>(INDEX(Production_Consumption!$AA$83:$AJ$99,MATCH('County Scaled Consumption '!$B232,Production_Consumption!$AA$83:$AA$99,0),MATCH('County Scaled Consumption '!J$2,Production_Consumption!$AA$83:$AJ$83,0)))*'CA Population'!$L232*10^6</f>
        <v>155.51659183080807</v>
      </c>
      <c r="K232" s="143">
        <f>(INDEX(Production_Consumption!$AA$83:$AJ$99,MATCH('County Scaled Consumption '!$B232,Production_Consumption!$AA$83:$AA$99,0),MATCH('County Scaled Consumption '!K$2,Production_Consumption!$AA$83:$AJ$83,0)))*'CA Population'!$L232*10^6</f>
        <v>2219.1089535996834</v>
      </c>
      <c r="L232" s="131">
        <f t="shared" si="3"/>
        <v>0</v>
      </c>
    </row>
    <row r="233" spans="1:12" x14ac:dyDescent="0.2">
      <c r="A233" s="132" t="s">
        <v>358</v>
      </c>
      <c r="B233" s="129">
        <v>2017</v>
      </c>
      <c r="C233" s="143">
        <f>(INDEX(Production_Consumption!$AA$83:$AJ$99,MATCH('County Scaled Consumption '!$B233,Production_Consumption!$AA$83:$AA$99,0),MATCH('County Scaled Consumption '!C$2,Production_Consumption!$AA$83:$AJ$83,0)))*'CA Population'!$L233*10^6</f>
        <v>6154.3670851326387</v>
      </c>
      <c r="D233" s="143">
        <f>(INDEX(Production_Consumption!$AA$83:$AJ$99,MATCH('County Scaled Consumption '!$B233,Production_Consumption!$AA$83:$AA$99,0),MATCH('County Scaled Consumption '!D$2,Production_Consumption!$AA$83:$AJ$83,0)))*'CA Population'!$L233*10^6</f>
        <v>22991.174607835961</v>
      </c>
      <c r="E233" s="143">
        <f>(INDEX(Production_Consumption!$AA$83:$AJ$99,MATCH('County Scaled Consumption '!$B233,Production_Consumption!$AA$83:$AA$99,0),MATCH('County Scaled Consumption '!E$2,Production_Consumption!$AA$83:$AJ$83,0)))*'CA Population'!$L233*10^6</f>
        <v>13550.691668953739</v>
      </c>
      <c r="F233" s="143">
        <f>(INDEX(Production_Consumption!$AA$83:$AJ$99,MATCH('County Scaled Consumption '!$B233,Production_Consumption!$AA$83:$AA$99,0),MATCH('County Scaled Consumption '!F$2,Production_Consumption!$AA$83:$AJ$83,0)))*'CA Population'!$L233*10^6</f>
        <v>4016.786997025501</v>
      </c>
      <c r="G233" s="143">
        <f>(INDEX(Production_Consumption!$AA$83:$AJ$99,MATCH('County Scaled Consumption '!$B233,Production_Consumption!$AA$83:$AA$99,0),MATCH('County Scaled Consumption '!G$2,Production_Consumption!$AA$83:$AJ$83,0)))*'CA Population'!$L233*10^6</f>
        <v>15413.41725007989</v>
      </c>
      <c r="H233" s="143">
        <f>(INDEX(Production_Consumption!$AA$83:$AJ$99,MATCH('County Scaled Consumption '!$B233,Production_Consumption!$AA$83:$AA$99,0),MATCH('County Scaled Consumption '!H$2,Production_Consumption!$AA$83:$AJ$83,0)))*'CA Population'!$L233*10^6</f>
        <v>420.5879141493665</v>
      </c>
      <c r="I233" s="143">
        <f>(INDEX(Production_Consumption!$AA$83:$AJ$99,MATCH('County Scaled Consumption '!$B233,Production_Consumption!$AA$83:$AA$99,0),MATCH('County Scaled Consumption '!I$2,Production_Consumption!$AA$83:$AJ$83,0)))*'CA Population'!$L233*10^6</f>
        <v>8332.8926129774118</v>
      </c>
      <c r="J233" s="143">
        <f>(INDEX(Production_Consumption!$AA$83:$AJ$99,MATCH('County Scaled Consumption '!$B233,Production_Consumption!$AA$83:$AA$99,0),MATCH('County Scaled Consumption '!J$2,Production_Consumption!$AA$83:$AJ$83,0)))*'CA Population'!$L233*10^6</f>
        <v>5341.6573457040249</v>
      </c>
      <c r="K233" s="143">
        <f>(INDEX(Production_Consumption!$AA$83:$AJ$99,MATCH('County Scaled Consumption '!$B233,Production_Consumption!$AA$83:$AA$99,0),MATCH('County Scaled Consumption '!K$2,Production_Consumption!$AA$83:$AJ$83,0)))*'CA Population'!$L233*10^6</f>
        <v>76221.575481858541</v>
      </c>
      <c r="L233" s="131">
        <f t="shared" si="3"/>
        <v>0</v>
      </c>
    </row>
    <row r="234" spans="1:12" x14ac:dyDescent="0.2">
      <c r="A234" s="132" t="s">
        <v>359</v>
      </c>
      <c r="B234" s="129">
        <v>2017</v>
      </c>
      <c r="C234" s="143">
        <f>(INDEX(Production_Consumption!$AA$83:$AJ$99,MATCH('County Scaled Consumption '!$B234,Production_Consumption!$AA$83:$AA$99,0),MATCH('County Scaled Consumption '!C$2,Production_Consumption!$AA$83:$AJ$83,0)))*'CA Population'!$L234*10^6</f>
        <v>718.95798607295637</v>
      </c>
      <c r="D234" s="143">
        <f>(INDEX(Production_Consumption!$AA$83:$AJ$99,MATCH('County Scaled Consumption '!$B234,Production_Consumption!$AA$83:$AA$99,0),MATCH('County Scaled Consumption '!D$2,Production_Consumption!$AA$83:$AJ$83,0)))*'CA Population'!$L234*10^6</f>
        <v>2685.847035909329</v>
      </c>
      <c r="E234" s="143">
        <f>(INDEX(Production_Consumption!$AA$83:$AJ$99,MATCH('County Scaled Consumption '!$B234,Production_Consumption!$AA$83:$AA$99,0),MATCH('County Scaled Consumption '!E$2,Production_Consumption!$AA$83:$AJ$83,0)))*'CA Population'!$L234*10^6</f>
        <v>1583.0024204668646</v>
      </c>
      <c r="F234" s="143">
        <f>(INDEX(Production_Consumption!$AA$83:$AJ$99,MATCH('County Scaled Consumption '!$B234,Production_Consumption!$AA$83:$AA$99,0),MATCH('County Scaled Consumption '!F$2,Production_Consumption!$AA$83:$AJ$83,0)))*'CA Population'!$L234*10^6</f>
        <v>469.24420495519593</v>
      </c>
      <c r="G234" s="143">
        <f>(INDEX(Production_Consumption!$AA$83:$AJ$99,MATCH('County Scaled Consumption '!$B234,Production_Consumption!$AA$83:$AA$99,0),MATCH('County Scaled Consumption '!G$2,Production_Consumption!$AA$83:$AJ$83,0)))*'CA Population'!$L234*10^6</f>
        <v>1800.6074826751699</v>
      </c>
      <c r="H234" s="143">
        <f>(INDEX(Production_Consumption!$AA$83:$AJ$99,MATCH('County Scaled Consumption '!$B234,Production_Consumption!$AA$83:$AA$99,0),MATCH('County Scaled Consumption '!H$2,Production_Consumption!$AA$83:$AJ$83,0)))*'CA Population'!$L234*10^6</f>
        <v>49.133409746379627</v>
      </c>
      <c r="I234" s="143">
        <f>(INDEX(Production_Consumption!$AA$83:$AJ$99,MATCH('County Scaled Consumption '!$B234,Production_Consumption!$AA$83:$AA$99,0),MATCH('County Scaled Consumption '!I$2,Production_Consumption!$AA$83:$AJ$83,0)))*'CA Population'!$L234*10^6</f>
        <v>973.45504554987656</v>
      </c>
      <c r="J234" s="143">
        <f>(INDEX(Production_Consumption!$AA$83:$AJ$99,MATCH('County Scaled Consumption '!$B234,Production_Consumption!$AA$83:$AA$99,0),MATCH('County Scaled Consumption '!J$2,Production_Consumption!$AA$83:$AJ$83,0)))*'CA Population'!$L234*10^6</f>
        <v>624.01659739092565</v>
      </c>
      <c r="K234" s="143">
        <f>(INDEX(Production_Consumption!$AA$83:$AJ$99,MATCH('County Scaled Consumption '!$B234,Production_Consumption!$AA$83:$AA$99,0),MATCH('County Scaled Consumption '!K$2,Production_Consumption!$AA$83:$AJ$83,0)))*'CA Population'!$L234*10^6</f>
        <v>8904.2641827666976</v>
      </c>
      <c r="L234" s="131">
        <f t="shared" si="3"/>
        <v>0</v>
      </c>
    </row>
    <row r="235" spans="1:12" x14ac:dyDescent="0.2">
      <c r="A235" s="132" t="s">
        <v>360</v>
      </c>
      <c r="B235" s="129">
        <v>2017</v>
      </c>
      <c r="C235" s="143">
        <f>(INDEX(Production_Consumption!$AA$83:$AJ$99,MATCH('County Scaled Consumption '!$B235,Production_Consumption!$AA$83:$AA$99,0),MATCH('County Scaled Consumption '!C$2,Production_Consumption!$AA$83:$AJ$83,0)))*'CA Population'!$L235*10^6</f>
        <v>11145.813222016557</v>
      </c>
      <c r="D235" s="143">
        <f>(INDEX(Production_Consumption!$AA$83:$AJ$99,MATCH('County Scaled Consumption '!$B235,Production_Consumption!$AA$83:$AA$99,0),MATCH('County Scaled Consumption '!D$2,Production_Consumption!$AA$83:$AJ$83,0)))*'CA Population'!$L235*10^6</f>
        <v>41637.967704714283</v>
      </c>
      <c r="E235" s="143">
        <f>(INDEX(Production_Consumption!$AA$83:$AJ$99,MATCH('County Scaled Consumption '!$B235,Production_Consumption!$AA$83:$AA$99,0),MATCH('County Scaled Consumption '!E$2,Production_Consumption!$AA$83:$AJ$83,0)))*'CA Population'!$L235*10^6</f>
        <v>24540.862818558882</v>
      </c>
      <c r="F235" s="143">
        <f>(INDEX(Production_Consumption!$AA$83:$AJ$99,MATCH('County Scaled Consumption '!$B235,Production_Consumption!$AA$83:$AA$99,0),MATCH('County Scaled Consumption '!F$2,Production_Consumption!$AA$83:$AJ$83,0)))*'CA Population'!$L235*10^6</f>
        <v>7274.5673116614425</v>
      </c>
      <c r="G235" s="143">
        <f>(INDEX(Production_Consumption!$AA$83:$AJ$99,MATCH('County Scaled Consumption '!$B235,Production_Consumption!$AA$83:$AA$99,0),MATCH('County Scaled Consumption '!G$2,Production_Consumption!$AA$83:$AJ$83,0)))*'CA Population'!$L235*10^6</f>
        <v>27914.335853870507</v>
      </c>
      <c r="H235" s="143">
        <f>(INDEX(Production_Consumption!$AA$83:$AJ$99,MATCH('County Scaled Consumption '!$B235,Production_Consumption!$AA$83:$AA$99,0),MATCH('County Scaled Consumption '!H$2,Production_Consumption!$AA$83:$AJ$83,0)))*'CA Population'!$L235*10^6</f>
        <v>761.70210026484676</v>
      </c>
      <c r="I235" s="143">
        <f>(INDEX(Production_Consumption!$AA$83:$AJ$99,MATCH('County Scaled Consumption '!$B235,Production_Consumption!$AA$83:$AA$99,0),MATCH('County Scaled Consumption '!I$2,Production_Consumption!$AA$83:$AJ$83,0)))*'CA Population'!$L235*10^6</f>
        <v>15091.21301648292</v>
      </c>
      <c r="J235" s="143">
        <f>(INDEX(Production_Consumption!$AA$83:$AJ$99,MATCH('County Scaled Consumption '!$B235,Production_Consumption!$AA$83:$AA$99,0),MATCH('County Scaled Consumption '!J$2,Production_Consumption!$AA$83:$AJ$83,0)))*'CA Population'!$L235*10^6</f>
        <v>9673.9622852618068</v>
      </c>
      <c r="K235" s="143">
        <f>(INDEX(Production_Consumption!$AA$83:$AJ$99,MATCH('County Scaled Consumption '!$B235,Production_Consumption!$AA$83:$AA$99,0),MATCH('County Scaled Consumption '!K$2,Production_Consumption!$AA$83:$AJ$83,0)))*'CA Population'!$L235*10^6</f>
        <v>138040.42431283125</v>
      </c>
      <c r="L235" s="131">
        <f t="shared" si="3"/>
        <v>0</v>
      </c>
    </row>
    <row r="236" spans="1:12" x14ac:dyDescent="0.2">
      <c r="A236" s="132" t="s">
        <v>361</v>
      </c>
      <c r="B236" s="129">
        <v>2017</v>
      </c>
      <c r="C236" s="143">
        <f>(INDEX(Production_Consumption!$AA$83:$AJ$99,MATCH('County Scaled Consumption '!$B236,Production_Consumption!$AA$83:$AA$99,0),MATCH('County Scaled Consumption '!C$2,Production_Consumption!$AA$83:$AJ$83,0)))*'CA Population'!$L236*10^6</f>
        <v>2861.9691886433384</v>
      </c>
      <c r="D236" s="143">
        <f>(INDEX(Production_Consumption!$AA$83:$AJ$99,MATCH('County Scaled Consumption '!$B236,Production_Consumption!$AA$83:$AA$99,0),MATCH('County Scaled Consumption '!D$2,Production_Consumption!$AA$83:$AJ$83,0)))*'CA Population'!$L236*10^6</f>
        <v>10691.600359247583</v>
      </c>
      <c r="E236" s="143">
        <f>(INDEX(Production_Consumption!$AA$83:$AJ$99,MATCH('County Scaled Consumption '!$B236,Production_Consumption!$AA$83:$AA$99,0),MATCH('County Scaled Consumption '!E$2,Production_Consumption!$AA$83:$AJ$83,0)))*'CA Population'!$L236*10^6</f>
        <v>6301.4866524679783</v>
      </c>
      <c r="F236" s="143">
        <f>(INDEX(Production_Consumption!$AA$83:$AJ$99,MATCH('County Scaled Consumption '!$B236,Production_Consumption!$AA$83:$AA$99,0),MATCH('County Scaled Consumption '!F$2,Production_Consumption!$AA$83:$AJ$83,0)))*'CA Population'!$L236*10^6</f>
        <v>1867.9289785299545</v>
      </c>
      <c r="G236" s="143">
        <f>(INDEX(Production_Consumption!$AA$83:$AJ$99,MATCH('County Scaled Consumption '!$B236,Production_Consumption!$AA$83:$AA$99,0),MATCH('County Scaled Consumption '!G$2,Production_Consumption!$AA$83:$AJ$83,0)))*'CA Population'!$L236*10^6</f>
        <v>7167.7110986761472</v>
      </c>
      <c r="H236" s="143">
        <f>(INDEX(Production_Consumption!$AA$83:$AJ$99,MATCH('County Scaled Consumption '!$B236,Production_Consumption!$AA$83:$AA$99,0),MATCH('County Scaled Consumption '!H$2,Production_Consumption!$AA$83:$AJ$83,0)))*'CA Population'!$L236*10^6</f>
        <v>195.58626171635228</v>
      </c>
      <c r="I236" s="143">
        <f>(INDEX(Production_Consumption!$AA$83:$AJ$99,MATCH('County Scaled Consumption '!$B236,Production_Consumption!$AA$83:$AA$99,0),MATCH('County Scaled Consumption '!I$2,Production_Consumption!$AA$83:$AJ$83,0)))*'CA Population'!$L236*10^6</f>
        <v>3875.0502822990202</v>
      </c>
      <c r="J236" s="143">
        <f>(INDEX(Production_Consumption!$AA$83:$AJ$99,MATCH('County Scaled Consumption '!$B236,Production_Consumption!$AA$83:$AA$99,0),MATCH('County Scaled Consumption '!J$2,Production_Consumption!$AA$83:$AJ$83,0)))*'CA Population'!$L236*10^6</f>
        <v>2484.0342683858285</v>
      </c>
      <c r="K236" s="143">
        <f>(INDEX(Production_Consumption!$AA$83:$AJ$99,MATCH('County Scaled Consumption '!$B236,Production_Consumption!$AA$83:$AA$99,0),MATCH('County Scaled Consumption '!K$2,Production_Consumption!$AA$83:$AJ$83,0)))*'CA Population'!$L236*10^6</f>
        <v>35445.367089966203</v>
      </c>
      <c r="L236" s="131">
        <f t="shared" si="3"/>
        <v>0</v>
      </c>
    </row>
    <row r="237" spans="1:12" x14ac:dyDescent="0.2">
      <c r="A237" s="132" t="s">
        <v>362</v>
      </c>
      <c r="B237" s="129">
        <v>2017</v>
      </c>
      <c r="C237" s="143">
        <f>(INDEX(Production_Consumption!$AA$83:$AJ$99,MATCH('County Scaled Consumption '!$B237,Production_Consumption!$AA$83:$AA$99,0),MATCH('County Scaled Consumption '!C$2,Production_Consumption!$AA$83:$AJ$83,0)))*'CA Population'!$L237*10^6</f>
        <v>997.34314357897222</v>
      </c>
      <c r="D237" s="143">
        <f>(INDEX(Production_Consumption!$AA$83:$AJ$99,MATCH('County Scaled Consumption '!$B237,Production_Consumption!$AA$83:$AA$99,0),MATCH('County Scaled Consumption '!D$2,Production_Consumption!$AA$83:$AJ$83,0)))*'CA Population'!$L237*10^6</f>
        <v>3725.8242871708671</v>
      </c>
      <c r="E237" s="143">
        <f>(INDEX(Production_Consumption!$AA$83:$AJ$99,MATCH('County Scaled Consumption '!$B237,Production_Consumption!$AA$83:$AA$99,0),MATCH('County Scaled Consumption '!E$2,Production_Consumption!$AA$83:$AJ$83,0)))*'CA Population'!$L237*10^6</f>
        <v>2195.9511416586947</v>
      </c>
      <c r="F237" s="143">
        <f>(INDEX(Production_Consumption!$AA$83:$AJ$99,MATCH('County Scaled Consumption '!$B237,Production_Consumption!$AA$83:$AA$99,0),MATCH('County Scaled Consumption '!F$2,Production_Consumption!$AA$83:$AJ$83,0)))*'CA Population'!$L237*10^6</f>
        <v>650.9385799196624</v>
      </c>
      <c r="G237" s="143">
        <f>(INDEX(Production_Consumption!$AA$83:$AJ$99,MATCH('County Scaled Consumption '!$B237,Production_Consumption!$AA$83:$AA$99,0),MATCH('County Scaled Consumption '!G$2,Production_Consumption!$AA$83:$AJ$83,0)))*'CA Population'!$L237*10^6</f>
        <v>2497.8142838806193</v>
      </c>
      <c r="H237" s="143">
        <f>(INDEX(Production_Consumption!$AA$83:$AJ$99,MATCH('County Scaled Consumption '!$B237,Production_Consumption!$AA$83:$AA$99,0),MATCH('County Scaled Consumption '!H$2,Production_Consumption!$AA$83:$AJ$83,0)))*'CA Population'!$L237*10^6</f>
        <v>68.158182091930186</v>
      </c>
      <c r="I237" s="143">
        <f>(INDEX(Production_Consumption!$AA$83:$AJ$99,MATCH('County Scaled Consumption '!$B237,Production_Consumption!$AA$83:$AA$99,0),MATCH('County Scaled Consumption '!I$2,Production_Consumption!$AA$83:$AJ$83,0)))*'CA Population'!$L237*10^6</f>
        <v>1350.3831017505472</v>
      </c>
      <c r="J237" s="143">
        <f>(INDEX(Production_Consumption!$AA$83:$AJ$99,MATCH('County Scaled Consumption '!$B237,Production_Consumption!$AA$83:$AA$99,0),MATCH('County Scaled Consumption '!J$2,Production_Consumption!$AA$83:$AJ$83,0)))*'CA Population'!$L237*10^6</f>
        <v>865.63983840936964</v>
      </c>
      <c r="K237" s="143">
        <f>(INDEX(Production_Consumption!$AA$83:$AJ$99,MATCH('County Scaled Consumption '!$B237,Production_Consumption!$AA$83:$AA$99,0),MATCH('County Scaled Consumption '!K$2,Production_Consumption!$AA$83:$AJ$83,0)))*'CA Population'!$L237*10^6</f>
        <v>12352.052558460664</v>
      </c>
      <c r="L237" s="131">
        <f t="shared" si="3"/>
        <v>0</v>
      </c>
    </row>
    <row r="238" spans="1:12" x14ac:dyDescent="0.2">
      <c r="A238" s="132" t="s">
        <v>363</v>
      </c>
      <c r="B238" s="129">
        <v>2017</v>
      </c>
      <c r="C238" s="143">
        <f>(INDEX(Production_Consumption!$AA$83:$AJ$99,MATCH('County Scaled Consumption '!$B238,Production_Consumption!$AA$83:$AA$99,0),MATCH('County Scaled Consumption '!C$2,Production_Consumption!$AA$83:$AJ$83,0)))*'CA Population'!$L238*10^6</f>
        <v>517092.58545593417</v>
      </c>
      <c r="D238" s="143">
        <f>(INDEX(Production_Consumption!$AA$83:$AJ$99,MATCH('County Scaled Consumption '!$B238,Production_Consumption!$AA$83:$AA$99,0),MATCH('County Scaled Consumption '!D$2,Production_Consumption!$AA$83:$AJ$83,0)))*'CA Population'!$L238*10^6</f>
        <v>1931728.4387137752</v>
      </c>
      <c r="E238" s="143">
        <f>(INDEX(Production_Consumption!$AA$83:$AJ$99,MATCH('County Scaled Consumption '!$B238,Production_Consumption!$AA$83:$AA$99,0),MATCH('County Scaled Consumption '!E$2,Production_Consumption!$AA$83:$AJ$83,0)))*'CA Population'!$L238*10^6</f>
        <v>1138534.9773403162</v>
      </c>
      <c r="F238" s="143">
        <f>(INDEX(Production_Consumption!$AA$83:$AJ$99,MATCH('County Scaled Consumption '!$B238,Production_Consumption!$AA$83:$AA$99,0),MATCH('County Scaled Consumption '!F$2,Production_Consumption!$AA$83:$AJ$83,0)))*'CA Population'!$L238*10^6</f>
        <v>337492.1815332257</v>
      </c>
      <c r="G238" s="143">
        <f>(INDEX(Production_Consumption!$AA$83:$AJ$99,MATCH('County Scaled Consumption '!$B238,Production_Consumption!$AA$83:$AA$99,0),MATCH('County Scaled Consumption '!G$2,Production_Consumption!$AA$83:$AJ$83,0)))*'CA Population'!$L238*10^6</f>
        <v>1295041.9866583459</v>
      </c>
      <c r="H238" s="143">
        <f>(INDEX(Production_Consumption!$AA$83:$AJ$99,MATCH('County Scaled Consumption '!$B238,Production_Consumption!$AA$83:$AA$99,0),MATCH('County Scaled Consumption '!H$2,Production_Consumption!$AA$83:$AJ$83,0)))*'CA Population'!$L238*10^6</f>
        <v>35337.978533064248</v>
      </c>
      <c r="I238" s="143">
        <f>(INDEX(Production_Consumption!$AA$83:$AJ$99,MATCH('County Scaled Consumption '!$B238,Production_Consumption!$AA$83:$AA$99,0),MATCH('County Scaled Consumption '!I$2,Production_Consumption!$AA$83:$AJ$83,0)))*'CA Population'!$L238*10^6</f>
        <v>700133.24294228049</v>
      </c>
      <c r="J238" s="143">
        <f>(INDEX(Production_Consumption!$AA$83:$AJ$99,MATCH('County Scaled Consumption '!$B238,Production_Consumption!$AA$83:$AA$99,0),MATCH('County Scaled Consumption '!J$2,Production_Consumption!$AA$83:$AJ$83,0)))*'CA Population'!$L238*10^6</f>
        <v>448808.36149380379</v>
      </c>
      <c r="K238" s="143">
        <f>(INDEX(Production_Consumption!$AA$83:$AJ$99,MATCH('County Scaled Consumption '!$B238,Production_Consumption!$AA$83:$AA$99,0),MATCH('County Scaled Consumption '!K$2,Production_Consumption!$AA$83:$AJ$83,0)))*'CA Population'!$L238*10^6</f>
        <v>6404169.7526707454</v>
      </c>
      <c r="L238" s="131">
        <f t="shared" si="3"/>
        <v>0</v>
      </c>
    </row>
    <row r="239" spans="1:12" x14ac:dyDescent="0.2">
      <c r="A239" s="132" t="s">
        <v>305</v>
      </c>
      <c r="B239" s="129">
        <v>2016</v>
      </c>
      <c r="C239" s="143">
        <f>(INDEX(Production_Consumption!$AA$83:$AJ$99,MATCH('County Scaled Consumption '!$B239,Production_Consumption!$AA$83:$AA$99,0),MATCH('County Scaled Consumption '!C$2,Production_Consumption!$AA$83:$AJ$83,0)))*'CA Population'!$L239*10^6</f>
        <v>19292.379667084479</v>
      </c>
      <c r="D239" s="143">
        <f>(INDEX(Production_Consumption!$AA$83:$AJ$99,MATCH('County Scaled Consumption '!$B239,Production_Consumption!$AA$83:$AA$99,0),MATCH('County Scaled Consumption '!D$2,Production_Consumption!$AA$83:$AJ$83,0)))*'CA Population'!$L239*10^6</f>
        <v>73881.451375566219</v>
      </c>
      <c r="E239" s="143">
        <f>(INDEX(Production_Consumption!$AA$83:$AJ$99,MATCH('County Scaled Consumption '!$B239,Production_Consumption!$AA$83:$AA$99,0),MATCH('County Scaled Consumption '!E$2,Production_Consumption!$AA$83:$AJ$83,0)))*'CA Population'!$L239*10^6</f>
        <v>38645.608296747247</v>
      </c>
      <c r="F239" s="143">
        <f>(INDEX(Production_Consumption!$AA$83:$AJ$99,MATCH('County Scaled Consumption '!$B239,Production_Consumption!$AA$83:$AA$99,0),MATCH('County Scaled Consumption '!F$2,Production_Consumption!$AA$83:$AJ$83,0)))*'CA Population'!$L239*10^6</f>
        <v>13444.486159268481</v>
      </c>
      <c r="G239" s="143">
        <f>(INDEX(Production_Consumption!$AA$83:$AJ$99,MATCH('County Scaled Consumption '!$B239,Production_Consumption!$AA$83:$AA$99,0),MATCH('County Scaled Consumption '!G$2,Production_Consumption!$AA$83:$AJ$83,0)))*'CA Population'!$L239*10^6</f>
        <v>50342.98577732237</v>
      </c>
      <c r="H239" s="143">
        <f>(INDEX(Production_Consumption!$AA$83:$AJ$99,MATCH('County Scaled Consumption '!$B239,Production_Consumption!$AA$83:$AA$99,0),MATCH('County Scaled Consumption '!H$2,Production_Consumption!$AA$83:$AJ$83,0)))*'CA Population'!$L239*10^6</f>
        <v>1380.4848580660457</v>
      </c>
      <c r="I239" s="143">
        <f>(INDEX(Production_Consumption!$AA$83:$AJ$99,MATCH('County Scaled Consumption '!$B239,Production_Consumption!$AA$83:$AA$99,0),MATCH('County Scaled Consumption '!I$2,Production_Consumption!$AA$83:$AJ$83,0)))*'CA Population'!$L239*10^6</f>
        <v>27527.286806652039</v>
      </c>
      <c r="J239" s="143">
        <f>(INDEX(Production_Consumption!$AA$83:$AJ$99,MATCH('County Scaled Consumption '!$B239,Production_Consumption!$AA$83:$AA$99,0),MATCH('County Scaled Consumption '!J$2,Production_Consumption!$AA$83:$AJ$83,0)))*'CA Population'!$L239*10^6</f>
        <v>16939.382648903589</v>
      </c>
      <c r="K239" s="143">
        <f>(INDEX(Production_Consumption!$AA$83:$AJ$99,MATCH('County Scaled Consumption '!$B239,Production_Consumption!$AA$83:$AA$99,0),MATCH('County Scaled Consumption '!K$2,Production_Consumption!$AA$83:$AJ$83,0)))*'CA Population'!$L239*10^6</f>
        <v>241454.06558961046</v>
      </c>
      <c r="L239" s="131">
        <f t="shared" si="3"/>
        <v>0</v>
      </c>
    </row>
    <row r="240" spans="1:12" x14ac:dyDescent="0.2">
      <c r="A240" s="132" t="s">
        <v>306</v>
      </c>
      <c r="B240" s="129">
        <v>2016</v>
      </c>
      <c r="C240" s="143">
        <f>(INDEX(Production_Consumption!$AA$83:$AJ$99,MATCH('County Scaled Consumption '!$B240,Production_Consumption!$AA$83:$AA$99,0),MATCH('County Scaled Consumption '!C$2,Production_Consumption!$AA$83:$AJ$83,0)))*'CA Population'!$L240*10^6</f>
        <v>13.742847528032321</v>
      </c>
      <c r="D240" s="143">
        <f>(INDEX(Production_Consumption!$AA$83:$AJ$99,MATCH('County Scaled Consumption '!$B240,Production_Consumption!$AA$83:$AA$99,0),MATCH('County Scaled Consumption '!D$2,Production_Consumption!$AA$83:$AJ$83,0)))*'CA Population'!$L240*10^6</f>
        <v>52.629148862151837</v>
      </c>
      <c r="E240" s="143">
        <f>(INDEX(Production_Consumption!$AA$83:$AJ$99,MATCH('County Scaled Consumption '!$B240,Production_Consumption!$AA$83:$AA$99,0),MATCH('County Scaled Consumption '!E$2,Production_Consumption!$AA$83:$AJ$83,0)))*'CA Population'!$L240*10^6</f>
        <v>27.529040564984889</v>
      </c>
      <c r="F240" s="143">
        <f>(INDEX(Production_Consumption!$AA$83:$AJ$99,MATCH('County Scaled Consumption '!$B240,Production_Consumption!$AA$83:$AA$99,0),MATCH('County Scaled Consumption '!F$2,Production_Consumption!$AA$83:$AJ$83,0)))*'CA Population'!$L240*10^6</f>
        <v>9.577124572911222</v>
      </c>
      <c r="G240" s="143">
        <f>(INDEX(Production_Consumption!$AA$83:$AJ$99,MATCH('County Scaled Consumption '!$B240,Production_Consumption!$AA$83:$AA$99,0),MATCH('County Scaled Consumption '!G$2,Production_Consumption!$AA$83:$AJ$83,0)))*'CA Population'!$L240*10^6</f>
        <v>35.861619436406016</v>
      </c>
      <c r="H240" s="143">
        <f>(INDEX(Production_Consumption!$AA$83:$AJ$99,MATCH('County Scaled Consumption '!$B240,Production_Consumption!$AA$83:$AA$99,0),MATCH('County Scaled Consumption '!H$2,Production_Consumption!$AA$83:$AJ$83,0)))*'CA Population'!$L240*10^6</f>
        <v>0.98338272657610815</v>
      </c>
      <c r="I240" s="143">
        <f>(INDEX(Production_Consumption!$AA$83:$AJ$99,MATCH('County Scaled Consumption '!$B240,Production_Consumption!$AA$83:$AA$99,0),MATCH('County Scaled Consumption '!I$2,Production_Consumption!$AA$83:$AJ$83,0)))*'CA Population'!$L240*10^6</f>
        <v>19.60894985338037</v>
      </c>
      <c r="J240" s="143">
        <f>(INDEX(Production_Consumption!$AA$83:$AJ$99,MATCH('County Scaled Consumption '!$B240,Production_Consumption!$AA$83:$AA$99,0),MATCH('County Scaled Consumption '!J$2,Production_Consumption!$AA$83:$AJ$83,0)))*'CA Population'!$L240*10^6</f>
        <v>12.066699752963082</v>
      </c>
      <c r="K240" s="143">
        <f>(INDEX(Production_Consumption!$AA$83:$AJ$99,MATCH('County Scaled Consumption '!$B240,Production_Consumption!$AA$83:$AA$99,0),MATCH('County Scaled Consumption '!K$2,Production_Consumption!$AA$83:$AJ$83,0)))*'CA Population'!$L240*10^6</f>
        <v>171.99881329740586</v>
      </c>
      <c r="L240" s="131">
        <f t="shared" si="3"/>
        <v>0</v>
      </c>
    </row>
    <row r="241" spans="1:12" x14ac:dyDescent="0.2">
      <c r="A241" s="132" t="s">
        <v>307</v>
      </c>
      <c r="B241" s="129">
        <v>2016</v>
      </c>
      <c r="C241" s="143">
        <f>(INDEX(Production_Consumption!$AA$83:$AJ$99,MATCH('County Scaled Consumption '!$B241,Production_Consumption!$AA$83:$AA$99,0),MATCH('County Scaled Consumption '!C$2,Production_Consumption!$AA$83:$AJ$83,0)))*'CA Population'!$L241*10^6</f>
        <v>426.2293305187236</v>
      </c>
      <c r="D241" s="143">
        <f>(INDEX(Production_Consumption!$AA$83:$AJ$99,MATCH('County Scaled Consumption '!$B241,Production_Consumption!$AA$83:$AA$99,0),MATCH('County Scaled Consumption '!D$2,Production_Consumption!$AA$83:$AJ$83,0)))*'CA Population'!$L241*10^6</f>
        <v>1632.2735764570482</v>
      </c>
      <c r="E241" s="143">
        <f>(INDEX(Production_Consumption!$AA$83:$AJ$99,MATCH('County Scaled Consumption '!$B241,Production_Consumption!$AA$83:$AA$99,0),MATCH('County Scaled Consumption '!E$2,Production_Consumption!$AA$83:$AJ$83,0)))*'CA Population'!$L241*10^6</f>
        <v>853.80300595653227</v>
      </c>
      <c r="F241" s="143">
        <f>(INDEX(Production_Consumption!$AA$83:$AJ$99,MATCH('County Scaled Consumption '!$B241,Production_Consumption!$AA$83:$AA$99,0),MATCH('County Scaled Consumption '!F$2,Production_Consumption!$AA$83:$AJ$83,0)))*'CA Population'!$L241*10^6</f>
        <v>297.03097459823368</v>
      </c>
      <c r="G241" s="143">
        <f>(INDEX(Production_Consumption!$AA$83:$AJ$99,MATCH('County Scaled Consumption '!$B241,Production_Consumption!$AA$83:$AA$99,0),MATCH('County Scaled Consumption '!G$2,Production_Consumption!$AA$83:$AJ$83,0)))*'CA Population'!$L241*10^6</f>
        <v>1112.2348561692224</v>
      </c>
      <c r="H241" s="143">
        <f>(INDEX(Production_Consumption!$AA$83:$AJ$99,MATCH('County Scaled Consumption '!$B241,Production_Consumption!$AA$83:$AA$99,0),MATCH('County Scaled Consumption '!H$2,Production_Consumption!$AA$83:$AJ$83,0)))*'CA Population'!$L241*10^6</f>
        <v>30.499251362372085</v>
      </c>
      <c r="I241" s="143">
        <f>(INDEX(Production_Consumption!$AA$83:$AJ$99,MATCH('County Scaled Consumption '!$B241,Production_Consumption!$AA$83:$AA$99,0),MATCH('County Scaled Consumption '!I$2,Production_Consumption!$AA$83:$AJ$83,0)))*'CA Population'!$L241*10^6</f>
        <v>608.16432337863614</v>
      </c>
      <c r="J241" s="143">
        <f>(INDEX(Production_Consumption!$AA$83:$AJ$99,MATCH('County Scaled Consumption '!$B241,Production_Consumption!$AA$83:$AA$99,0),MATCH('County Scaled Consumption '!J$2,Production_Consumption!$AA$83:$AJ$83,0)))*'CA Population'!$L241*10^6</f>
        <v>374.24422753617603</v>
      </c>
      <c r="K241" s="143">
        <f>(INDEX(Production_Consumption!$AA$83:$AJ$99,MATCH('County Scaled Consumption '!$B241,Production_Consumption!$AA$83:$AA$99,0),MATCH('County Scaled Consumption '!K$2,Production_Consumption!$AA$83:$AJ$83,0)))*'CA Population'!$L241*10^6</f>
        <v>5334.4795459769439</v>
      </c>
      <c r="L241" s="131">
        <f t="shared" si="3"/>
        <v>0</v>
      </c>
    </row>
    <row r="242" spans="1:12" x14ac:dyDescent="0.2">
      <c r="A242" s="132" t="s">
        <v>308</v>
      </c>
      <c r="B242" s="129">
        <v>2016</v>
      </c>
      <c r="C242" s="143">
        <f>(INDEX(Production_Consumption!$AA$83:$AJ$99,MATCH('County Scaled Consumption '!$B242,Production_Consumption!$AA$83:$AA$99,0),MATCH('County Scaled Consumption '!C$2,Production_Consumption!$AA$83:$AJ$83,0)))*'CA Population'!$L242*10^6</f>
        <v>2649.0580433854107</v>
      </c>
      <c r="D242" s="143">
        <f>(INDEX(Production_Consumption!$AA$83:$AJ$99,MATCH('County Scaled Consumption '!$B242,Production_Consumption!$AA$83:$AA$99,0),MATCH('County Scaled Consumption '!D$2,Production_Consumption!$AA$83:$AJ$83,0)))*'CA Population'!$L242*10^6</f>
        <v>10144.744007777917</v>
      </c>
      <c r="E242" s="143">
        <f>(INDEX(Production_Consumption!$AA$83:$AJ$99,MATCH('County Scaled Consumption '!$B242,Production_Consumption!$AA$83:$AA$99,0),MATCH('County Scaled Consumption '!E$2,Production_Consumption!$AA$83:$AJ$83,0)))*'CA Population'!$L242*10^6</f>
        <v>5306.4713252914853</v>
      </c>
      <c r="F242" s="143">
        <f>(INDEX(Production_Consumption!$AA$83:$AJ$99,MATCH('County Scaled Consumption '!$B242,Production_Consumption!$AA$83:$AA$99,0),MATCH('County Scaled Consumption '!F$2,Production_Consumption!$AA$83:$AJ$83,0)))*'CA Population'!$L242*10^6</f>
        <v>1846.0773017109236</v>
      </c>
      <c r="G242" s="143">
        <f>(INDEX(Production_Consumption!$AA$83:$AJ$99,MATCH('County Scaled Consumption '!$B242,Production_Consumption!$AA$83:$AA$99,0),MATCH('County Scaled Consumption '!G$2,Production_Consumption!$AA$83:$AJ$83,0)))*'CA Population'!$L242*10^6</f>
        <v>6912.6511971453001</v>
      </c>
      <c r="H242" s="143">
        <f>(INDEX(Production_Consumption!$AA$83:$AJ$99,MATCH('County Scaled Consumption '!$B242,Production_Consumption!$AA$83:$AA$99,0),MATCH('County Scaled Consumption '!H$2,Production_Consumption!$AA$83:$AJ$83,0)))*'CA Population'!$L242*10^6</f>
        <v>189.55590653603804</v>
      </c>
      <c r="I242" s="143">
        <f>(INDEX(Production_Consumption!$AA$83:$AJ$99,MATCH('County Scaled Consumption '!$B242,Production_Consumption!$AA$83:$AA$99,0),MATCH('County Scaled Consumption '!I$2,Production_Consumption!$AA$83:$AJ$83,0)))*'CA Population'!$L242*10^6</f>
        <v>3779.8022735449708</v>
      </c>
      <c r="J242" s="143">
        <f>(INDEX(Production_Consumption!$AA$83:$AJ$99,MATCH('County Scaled Consumption '!$B242,Production_Consumption!$AA$83:$AA$99,0),MATCH('County Scaled Consumption '!J$2,Production_Consumption!$AA$83:$AJ$83,0)))*'CA Population'!$L242*10^6</f>
        <v>2325.9654138271853</v>
      </c>
      <c r="K242" s="143">
        <f>(INDEX(Production_Consumption!$AA$83:$AJ$99,MATCH('County Scaled Consumption '!$B242,Production_Consumption!$AA$83:$AA$99,0),MATCH('County Scaled Consumption '!K$2,Production_Consumption!$AA$83:$AJ$83,0)))*'CA Population'!$L242*10^6</f>
        <v>33154.325469219228</v>
      </c>
      <c r="L242" s="131">
        <f t="shared" si="3"/>
        <v>0</v>
      </c>
    </row>
    <row r="243" spans="1:12" x14ac:dyDescent="0.2">
      <c r="A243" s="132" t="s">
        <v>309</v>
      </c>
      <c r="B243" s="129">
        <v>2016</v>
      </c>
      <c r="C243" s="143">
        <f>(INDEX(Production_Consumption!$AA$83:$AJ$99,MATCH('County Scaled Consumption '!$B243,Production_Consumption!$AA$83:$AA$99,0),MATCH('County Scaled Consumption '!C$2,Production_Consumption!$AA$83:$AJ$83,0)))*'CA Population'!$L243*10^6</f>
        <v>535.09586364741347</v>
      </c>
      <c r="D243" s="143">
        <f>(INDEX(Production_Consumption!$AA$83:$AJ$99,MATCH('County Scaled Consumption '!$B243,Production_Consumption!$AA$83:$AA$99,0),MATCH('County Scaled Consumption '!D$2,Production_Consumption!$AA$83:$AJ$83,0)))*'CA Population'!$L243*10^6</f>
        <v>2049.1852075036127</v>
      </c>
      <c r="E243" s="143">
        <f>(INDEX(Production_Consumption!$AA$83:$AJ$99,MATCH('County Scaled Consumption '!$B243,Production_Consumption!$AA$83:$AA$99,0),MATCH('County Scaled Consumption '!E$2,Production_Consumption!$AA$83:$AJ$83,0)))*'CA Population'!$L243*10^6</f>
        <v>1071.879441757467</v>
      </c>
      <c r="F243" s="143">
        <f>(INDEX(Production_Consumption!$AA$83:$AJ$99,MATCH('County Scaled Consumption '!$B243,Production_Consumption!$AA$83:$AA$99,0),MATCH('County Scaled Consumption '!F$2,Production_Consumption!$AA$83:$AJ$83,0)))*'CA Population'!$L243*10^6</f>
        <v>372.89795540171718</v>
      </c>
      <c r="G243" s="143">
        <f>(INDEX(Production_Consumption!$AA$83:$AJ$99,MATCH('County Scaled Consumption '!$B243,Production_Consumption!$AA$83:$AA$99,0),MATCH('County Scaled Consumption '!G$2,Production_Consumption!$AA$83:$AJ$83,0)))*'CA Population'!$L243*10^6</f>
        <v>1396.3193715841257</v>
      </c>
      <c r="H243" s="143">
        <f>(INDEX(Production_Consumption!$AA$83:$AJ$99,MATCH('County Scaled Consumption '!$B243,Production_Consumption!$AA$83:$AA$99,0),MATCH('County Scaled Consumption '!H$2,Production_Consumption!$AA$83:$AJ$83,0)))*'CA Population'!$L243*10^6</f>
        <v>38.289301274706922</v>
      </c>
      <c r="I243" s="143">
        <f>(INDEX(Production_Consumption!$AA$83:$AJ$99,MATCH('County Scaled Consumption '!$B243,Production_Consumption!$AA$83:$AA$99,0),MATCH('County Scaled Consumption '!I$2,Production_Consumption!$AA$83:$AJ$83,0)))*'CA Population'!$L243*10^6</f>
        <v>763.50028155451082</v>
      </c>
      <c r="J243" s="143">
        <f>(INDEX(Production_Consumption!$AA$83:$AJ$99,MATCH('County Scaled Consumption '!$B243,Production_Consumption!$AA$83:$AA$99,0),MATCH('County Scaled Consumption '!J$2,Production_Consumption!$AA$83:$AJ$83,0)))*'CA Population'!$L243*10^6</f>
        <v>469.83284304910649</v>
      </c>
      <c r="K243" s="143">
        <f>(INDEX(Production_Consumption!$AA$83:$AJ$99,MATCH('County Scaled Consumption '!$B243,Production_Consumption!$AA$83:$AA$99,0),MATCH('County Scaled Consumption '!K$2,Production_Consumption!$AA$83:$AJ$83,0)))*'CA Population'!$L243*10^6</f>
        <v>6697.00026577266</v>
      </c>
      <c r="L243" s="131">
        <f t="shared" si="3"/>
        <v>0</v>
      </c>
    </row>
    <row r="244" spans="1:12" x14ac:dyDescent="0.2">
      <c r="A244" s="132" t="s">
        <v>310</v>
      </c>
      <c r="B244" s="129">
        <v>2016</v>
      </c>
      <c r="C244" s="143">
        <f>(INDEX(Production_Consumption!$AA$83:$AJ$99,MATCH('County Scaled Consumption '!$B244,Production_Consumption!$AA$83:$AA$99,0),MATCH('County Scaled Consumption '!C$2,Production_Consumption!$AA$83:$AJ$83,0)))*'CA Population'!$L244*10^6</f>
        <v>256.17046252769364</v>
      </c>
      <c r="D244" s="143">
        <f>(INDEX(Production_Consumption!$AA$83:$AJ$99,MATCH('County Scaled Consumption '!$B244,Production_Consumption!$AA$83:$AA$99,0),MATCH('County Scaled Consumption '!D$2,Production_Consumption!$AA$83:$AJ$83,0)))*'CA Population'!$L244*10^6</f>
        <v>981.02182818778715</v>
      </c>
      <c r="E244" s="143">
        <f>(INDEX(Production_Consumption!$AA$83:$AJ$99,MATCH('County Scaled Consumption '!$B244,Production_Consumption!$AA$83:$AA$99,0),MATCH('County Scaled Consumption '!E$2,Production_Consumption!$AA$83:$AJ$83,0)))*'CA Population'!$L244*10^6</f>
        <v>513.14889727846185</v>
      </c>
      <c r="F244" s="143">
        <f>(INDEX(Production_Consumption!$AA$83:$AJ$99,MATCH('County Scaled Consumption '!$B244,Production_Consumption!$AA$83:$AA$99,0),MATCH('County Scaled Consumption '!F$2,Production_Consumption!$AA$83:$AJ$83,0)))*'CA Population'!$L244*10^6</f>
        <v>178.52023945719199</v>
      </c>
      <c r="G244" s="143">
        <f>(INDEX(Production_Consumption!$AA$83:$AJ$99,MATCH('County Scaled Consumption '!$B244,Production_Consumption!$AA$83:$AA$99,0),MATCH('County Scaled Consumption '!G$2,Production_Consumption!$AA$83:$AJ$83,0)))*'CA Population'!$L244*10^6</f>
        <v>668.47046212784369</v>
      </c>
      <c r="H244" s="143">
        <f>(INDEX(Production_Consumption!$AA$83:$AJ$99,MATCH('County Scaled Consumption '!$B244,Production_Consumption!$AA$83:$AA$99,0),MATCH('County Scaled Consumption '!H$2,Production_Consumption!$AA$83:$AJ$83,0)))*'CA Population'!$L244*10^6</f>
        <v>18.330524834456543</v>
      </c>
      <c r="I244" s="143">
        <f>(INDEX(Production_Consumption!$AA$83:$AJ$99,MATCH('County Scaled Consumption '!$B244,Production_Consumption!$AA$83:$AA$99,0),MATCH('County Scaled Consumption '!I$2,Production_Consumption!$AA$83:$AJ$83,0)))*'CA Population'!$L244*10^6</f>
        <v>365.51622532204726</v>
      </c>
      <c r="J244" s="143">
        <f>(INDEX(Production_Consumption!$AA$83:$AJ$99,MATCH('County Scaled Consumption '!$B244,Production_Consumption!$AA$83:$AA$99,0),MATCH('County Scaled Consumption '!J$2,Production_Consumption!$AA$83:$AJ$83,0)))*'CA Population'!$L244*10^6</f>
        <v>224.92660641065439</v>
      </c>
      <c r="K244" s="143">
        <f>(INDEX(Production_Consumption!$AA$83:$AJ$99,MATCH('County Scaled Consumption '!$B244,Production_Consumption!$AA$83:$AA$99,0),MATCH('County Scaled Consumption '!K$2,Production_Consumption!$AA$83:$AJ$83,0)))*'CA Population'!$L244*10^6</f>
        <v>3206.1052461461363</v>
      </c>
      <c r="L244" s="131">
        <f t="shared" si="3"/>
        <v>0</v>
      </c>
    </row>
    <row r="245" spans="1:12" x14ac:dyDescent="0.2">
      <c r="A245" s="132" t="s">
        <v>311</v>
      </c>
      <c r="B245" s="129">
        <v>2016</v>
      </c>
      <c r="C245" s="143">
        <f>(INDEX(Production_Consumption!$AA$83:$AJ$99,MATCH('County Scaled Consumption '!$B245,Production_Consumption!$AA$83:$AA$99,0),MATCH('County Scaled Consumption '!C$2,Production_Consumption!$AA$83:$AJ$83,0)))*'CA Population'!$L245*10^6</f>
        <v>13336.40458642444</v>
      </c>
      <c r="D245" s="143">
        <f>(INDEX(Production_Consumption!$AA$83:$AJ$99,MATCH('County Scaled Consumption '!$B245,Production_Consumption!$AA$83:$AA$99,0),MATCH('County Scaled Consumption '!D$2,Production_Consumption!$AA$83:$AJ$83,0)))*'CA Population'!$L245*10^6</f>
        <v>51072.648578333668</v>
      </c>
      <c r="E245" s="143">
        <f>(INDEX(Production_Consumption!$AA$83:$AJ$99,MATCH('County Scaled Consumption '!$B245,Production_Consumption!$AA$83:$AA$99,0),MATCH('County Scaled Consumption '!E$2,Production_Consumption!$AA$83:$AJ$83,0)))*'CA Population'!$L245*10^6</f>
        <v>26714.872743938187</v>
      </c>
      <c r="F245" s="143">
        <f>(INDEX(Production_Consumption!$AA$83:$AJ$99,MATCH('County Scaled Consumption '!$B245,Production_Consumption!$AA$83:$AA$99,0),MATCH('County Scaled Consumption '!F$2,Production_Consumption!$AA$83:$AJ$83,0)))*'CA Population'!$L245*10^6</f>
        <v>9293.8823499571208</v>
      </c>
      <c r="G245" s="143">
        <f>(INDEX(Production_Consumption!$AA$83:$AJ$99,MATCH('County Scaled Consumption '!$B245,Production_Consumption!$AA$83:$AA$99,0),MATCH('County Scaled Consumption '!G$2,Production_Consumption!$AA$83:$AJ$83,0)))*'CA Population'!$L245*10^6</f>
        <v>34801.01667087114</v>
      </c>
      <c r="H245" s="143">
        <f>(INDEX(Production_Consumption!$AA$83:$AJ$99,MATCH('County Scaled Consumption '!$B245,Production_Consumption!$AA$83:$AA$99,0),MATCH('County Scaled Consumption '!H$2,Production_Consumption!$AA$83:$AJ$83,0)))*'CA Population'!$L245*10^6</f>
        <v>954.29930938031259</v>
      </c>
      <c r="I245" s="143">
        <f>(INDEX(Production_Consumption!$AA$83:$AJ$99,MATCH('County Scaled Consumption '!$B245,Production_Consumption!$AA$83:$AA$99,0),MATCH('County Scaled Consumption '!I$2,Production_Consumption!$AA$83:$AJ$83,0)))*'CA Population'!$L245*10^6</f>
        <v>19029.017692742447</v>
      </c>
      <c r="J245" s="143">
        <f>(INDEX(Production_Consumption!$AA$83:$AJ$99,MATCH('County Scaled Consumption '!$B245,Production_Consumption!$AA$83:$AA$99,0),MATCH('County Scaled Consumption '!J$2,Production_Consumption!$AA$83:$AJ$83,0)))*'CA Population'!$L245*10^6</f>
        <v>11709.82866543268</v>
      </c>
      <c r="K245" s="143">
        <f>(INDEX(Production_Consumption!$AA$83:$AJ$99,MATCH('County Scaled Consumption '!$B245,Production_Consumption!$AA$83:$AA$99,0),MATCH('County Scaled Consumption '!K$2,Production_Consumption!$AA$83:$AJ$83,0)))*'CA Population'!$L245*10^6</f>
        <v>166911.97059707998</v>
      </c>
      <c r="L245" s="131">
        <f t="shared" si="3"/>
        <v>0</v>
      </c>
    </row>
    <row r="246" spans="1:12" x14ac:dyDescent="0.2">
      <c r="A246" s="132" t="s">
        <v>312</v>
      </c>
      <c r="B246" s="129">
        <v>2016</v>
      </c>
      <c r="C246" s="143">
        <f>(INDEX(Production_Consumption!$AA$83:$AJ$99,MATCH('County Scaled Consumption '!$B246,Production_Consumption!$AA$83:$AA$99,0),MATCH('County Scaled Consumption '!C$2,Production_Consumption!$AA$83:$AJ$83,0)))*'CA Population'!$L246*10^6</f>
        <v>315.56510993369915</v>
      </c>
      <c r="D246" s="143">
        <f>(INDEX(Production_Consumption!$AA$83:$AJ$99,MATCH('County Scaled Consumption '!$B246,Production_Consumption!$AA$83:$AA$99,0),MATCH('County Scaled Consumption '!D$2,Production_Consumption!$AA$83:$AJ$83,0)))*'CA Population'!$L246*10^6</f>
        <v>1208.4775817039031</v>
      </c>
      <c r="E246" s="143">
        <f>(INDEX(Production_Consumption!$AA$83:$AJ$99,MATCH('County Scaled Consumption '!$B246,Production_Consumption!$AA$83:$AA$99,0),MATCH('County Scaled Consumption '!E$2,Production_Consumption!$AA$83:$AJ$83,0)))*'CA Population'!$L246*10^6</f>
        <v>632.12552526241552</v>
      </c>
      <c r="F246" s="143">
        <f>(INDEX(Production_Consumption!$AA$83:$AJ$99,MATCH('County Scaled Consumption '!$B246,Production_Consumption!$AA$83:$AA$99,0),MATCH('County Scaled Consumption '!F$2,Production_Consumption!$AA$83:$AJ$83,0)))*'CA Population'!$L246*10^6</f>
        <v>219.9112201845243</v>
      </c>
      <c r="G246" s="143">
        <f>(INDEX(Production_Consumption!$AA$83:$AJ$99,MATCH('County Scaled Consumption '!$B246,Production_Consumption!$AA$83:$AA$99,0),MATCH('County Scaled Consumption '!G$2,Production_Consumption!$AA$83:$AJ$83,0)))*'CA Population'!$L246*10^6</f>
        <v>823.4593199674573</v>
      </c>
      <c r="H246" s="143">
        <f>(INDEX(Production_Consumption!$AA$83:$AJ$99,MATCH('County Scaled Consumption '!$B246,Production_Consumption!$AA$83:$AA$99,0),MATCH('County Scaled Consumption '!H$2,Production_Consumption!$AA$83:$AJ$83,0)))*'CA Population'!$L246*10^6</f>
        <v>22.580566188041068</v>
      </c>
      <c r="I246" s="143">
        <f>(INDEX(Production_Consumption!$AA$83:$AJ$99,MATCH('County Scaled Consumption '!$B246,Production_Consumption!$AA$83:$AA$99,0),MATCH('County Scaled Consumption '!I$2,Production_Consumption!$AA$83:$AJ$83,0)))*'CA Population'!$L246*10^6</f>
        <v>450.26333906015066</v>
      </c>
      <c r="J246" s="143">
        <f>(INDEX(Production_Consumption!$AA$83:$AJ$99,MATCH('County Scaled Consumption '!$B246,Production_Consumption!$AA$83:$AA$99,0),MATCH('County Scaled Consumption '!J$2,Production_Consumption!$AA$83:$AJ$83,0)))*'CA Population'!$L246*10^6</f>
        <v>277.0771796975568</v>
      </c>
      <c r="K246" s="143">
        <f>(INDEX(Production_Consumption!$AA$83:$AJ$99,MATCH('County Scaled Consumption '!$B246,Production_Consumption!$AA$83:$AA$99,0),MATCH('County Scaled Consumption '!K$2,Production_Consumption!$AA$83:$AJ$83,0)))*'CA Population'!$L246*10^6</f>
        <v>3949.4598419977474</v>
      </c>
      <c r="L246" s="131">
        <f t="shared" si="3"/>
        <v>0</v>
      </c>
    </row>
    <row r="247" spans="1:12" x14ac:dyDescent="0.2">
      <c r="A247" s="132" t="s">
        <v>313</v>
      </c>
      <c r="B247" s="129">
        <v>2016</v>
      </c>
      <c r="C247" s="143">
        <f>(INDEX(Production_Consumption!$AA$83:$AJ$99,MATCH('County Scaled Consumption '!$B247,Production_Consumption!$AA$83:$AA$99,0),MATCH('County Scaled Consumption '!C$2,Production_Consumption!$AA$83:$AJ$83,0)))*'CA Population'!$L247*10^6</f>
        <v>2171.2516405175056</v>
      </c>
      <c r="D247" s="143">
        <f>(INDEX(Production_Consumption!$AA$83:$AJ$99,MATCH('County Scaled Consumption '!$B247,Production_Consumption!$AA$83:$AA$99,0),MATCH('County Scaled Consumption '!D$2,Production_Consumption!$AA$83:$AJ$83,0)))*'CA Population'!$L247*10^6</f>
        <v>8314.9526015550837</v>
      </c>
      <c r="E247" s="143">
        <f>(INDEX(Production_Consumption!$AA$83:$AJ$99,MATCH('County Scaled Consumption '!$B247,Production_Consumption!$AA$83:$AA$99,0),MATCH('County Scaled Consumption '!E$2,Production_Consumption!$AA$83:$AJ$83,0)))*'CA Population'!$L247*10^6</f>
        <v>4349.3514984193771</v>
      </c>
      <c r="F247" s="143">
        <f>(INDEX(Production_Consumption!$AA$83:$AJ$99,MATCH('County Scaled Consumption '!$B247,Production_Consumption!$AA$83:$AA$99,0),MATCH('County Scaled Consumption '!F$2,Production_Consumption!$AA$83:$AJ$83,0)))*'CA Population'!$L247*10^6</f>
        <v>1513.103263203511</v>
      </c>
      <c r="G247" s="143">
        <f>(INDEX(Production_Consumption!$AA$83:$AJ$99,MATCH('County Scaled Consumption '!$B247,Production_Consumption!$AA$83:$AA$99,0),MATCH('County Scaled Consumption '!G$2,Production_Consumption!$AA$83:$AJ$83,0)))*'CA Population'!$L247*10^6</f>
        <v>5665.8272511635414</v>
      </c>
      <c r="H247" s="143">
        <f>(INDEX(Production_Consumption!$AA$83:$AJ$99,MATCH('County Scaled Consumption '!$B247,Production_Consumption!$AA$83:$AA$99,0),MATCH('County Scaled Consumption '!H$2,Production_Consumption!$AA$83:$AJ$83,0)))*'CA Population'!$L247*10^6</f>
        <v>155.36600795284116</v>
      </c>
      <c r="I247" s="143">
        <f>(INDEX(Production_Consumption!$AA$83:$AJ$99,MATCH('County Scaled Consumption '!$B247,Production_Consumption!$AA$83:$AA$99,0),MATCH('County Scaled Consumption '!I$2,Production_Consumption!$AA$83:$AJ$83,0)))*'CA Population'!$L247*10^6</f>
        <v>3098.0453251141903</v>
      </c>
      <c r="J247" s="143">
        <f>(INDEX(Production_Consumption!$AA$83:$AJ$99,MATCH('County Scaled Consumption '!$B247,Production_Consumption!$AA$83:$AA$99,0),MATCH('County Scaled Consumption '!J$2,Production_Consumption!$AA$83:$AJ$83,0)))*'CA Population'!$L247*10^6</f>
        <v>1906.4347167362141</v>
      </c>
      <c r="K247" s="143">
        <f>(INDEX(Production_Consumption!$AA$83:$AJ$99,MATCH('County Scaled Consumption '!$B247,Production_Consumption!$AA$83:$AA$99,0),MATCH('County Scaled Consumption '!K$2,Production_Consumption!$AA$83:$AJ$83,0)))*'CA Population'!$L247*10^6</f>
        <v>27174.332304662265</v>
      </c>
      <c r="L247" s="131">
        <f t="shared" si="3"/>
        <v>0</v>
      </c>
    </row>
    <row r="248" spans="1:12" x14ac:dyDescent="0.2">
      <c r="A248" s="132" t="s">
        <v>314</v>
      </c>
      <c r="B248" s="129">
        <v>2016</v>
      </c>
      <c r="C248" s="143">
        <f>(INDEX(Production_Consumption!$AA$83:$AJ$99,MATCH('County Scaled Consumption '!$B248,Production_Consumption!$AA$83:$AA$99,0),MATCH('County Scaled Consumption '!C$2,Production_Consumption!$AA$83:$AJ$83,0)))*'CA Population'!$L248*10^6</f>
        <v>11634.373025792607</v>
      </c>
      <c r="D248" s="143">
        <f>(INDEX(Production_Consumption!$AA$83:$AJ$99,MATCH('County Scaled Consumption '!$B248,Production_Consumption!$AA$83:$AA$99,0),MATCH('County Scaled Consumption '!D$2,Production_Consumption!$AA$83:$AJ$83,0)))*'CA Population'!$L248*10^6</f>
        <v>44554.605487929191</v>
      </c>
      <c r="E248" s="143">
        <f>(INDEX(Production_Consumption!$AA$83:$AJ$99,MATCH('County Scaled Consumption '!$B248,Production_Consumption!$AA$83:$AA$99,0),MATCH('County Scaled Consumption '!E$2,Production_Consumption!$AA$83:$AJ$83,0)))*'CA Population'!$L248*10^6</f>
        <v>23305.441344809009</v>
      </c>
      <c r="F248" s="143">
        <f>(INDEX(Production_Consumption!$AA$83:$AJ$99,MATCH('County Scaled Consumption '!$B248,Production_Consumption!$AA$83:$AA$99,0),MATCH('County Scaled Consumption '!F$2,Production_Consumption!$AA$83:$AJ$83,0)))*'CA Population'!$L248*10^6</f>
        <v>8107.7694828858639</v>
      </c>
      <c r="G248" s="143">
        <f>(INDEX(Production_Consumption!$AA$83:$AJ$99,MATCH('County Scaled Consumption '!$B248,Production_Consumption!$AA$83:$AA$99,0),MATCH('County Scaled Consumption '!G$2,Production_Consumption!$AA$83:$AJ$83,0)))*'CA Population'!$L248*10^6</f>
        <v>30359.607569036318</v>
      </c>
      <c r="H248" s="143">
        <f>(INDEX(Production_Consumption!$AA$83:$AJ$99,MATCH('County Scaled Consumption '!$B248,Production_Consumption!$AA$83:$AA$99,0),MATCH('County Scaled Consumption '!H$2,Production_Consumption!$AA$83:$AJ$83,0)))*'CA Population'!$L248*10^6</f>
        <v>832.50879737771288</v>
      </c>
      <c r="I248" s="143">
        <f>(INDEX(Production_Consumption!$AA$83:$AJ$99,MATCH('County Scaled Consumption '!$B248,Production_Consumption!$AA$83:$AA$99,0),MATCH('County Scaled Consumption '!I$2,Production_Consumption!$AA$83:$AJ$83,0)))*'CA Population'!$L248*10^6</f>
        <v>16600.477941193669</v>
      </c>
      <c r="J248" s="143">
        <f>(INDEX(Production_Consumption!$AA$83:$AJ$99,MATCH('County Scaled Consumption '!$B248,Production_Consumption!$AA$83:$AA$99,0),MATCH('County Scaled Consumption '!J$2,Production_Consumption!$AA$83:$AJ$83,0)))*'CA Population'!$L248*10^6</f>
        <v>10215.385554547634</v>
      </c>
      <c r="K248" s="143">
        <f>(INDEX(Production_Consumption!$AA$83:$AJ$99,MATCH('County Scaled Consumption '!$B248,Production_Consumption!$AA$83:$AA$99,0),MATCH('County Scaled Consumption '!K$2,Production_Consumption!$AA$83:$AJ$83,0)))*'CA Population'!$L248*10^6</f>
        <v>145610.169203572</v>
      </c>
      <c r="L248" s="131">
        <f t="shared" si="3"/>
        <v>0</v>
      </c>
    </row>
    <row r="249" spans="1:12" x14ac:dyDescent="0.2">
      <c r="A249" s="132" t="s">
        <v>315</v>
      </c>
      <c r="B249" s="129">
        <v>2016</v>
      </c>
      <c r="C249" s="143">
        <f>(INDEX(Production_Consumption!$AA$83:$AJ$99,MATCH('County Scaled Consumption '!$B249,Production_Consumption!$AA$83:$AA$99,0),MATCH('County Scaled Consumption '!C$2,Production_Consumption!$AA$83:$AJ$83,0)))*'CA Population'!$L249*10^6</f>
        <v>333.22265843572347</v>
      </c>
      <c r="D249" s="143">
        <f>(INDEX(Production_Consumption!$AA$83:$AJ$99,MATCH('County Scaled Consumption '!$B249,Production_Consumption!$AA$83:$AA$99,0),MATCH('County Scaled Consumption '!D$2,Production_Consumption!$AA$83:$AJ$83,0)))*'CA Population'!$L249*10^6</f>
        <v>1276.0983383744647</v>
      </c>
      <c r="E249" s="143">
        <f>(INDEX(Production_Consumption!$AA$83:$AJ$99,MATCH('County Scaled Consumption '!$B249,Production_Consumption!$AA$83:$AA$99,0),MATCH('County Scaled Consumption '!E$2,Production_Consumption!$AA$83:$AJ$83,0)))*'CA Population'!$L249*10^6</f>
        <v>667.49631490400111</v>
      </c>
      <c r="F249" s="143">
        <f>(INDEX(Production_Consumption!$AA$83:$AJ$99,MATCH('County Scaled Consumption '!$B249,Production_Consumption!$AA$83:$AA$99,0),MATCH('County Scaled Consumption '!F$2,Production_Consumption!$AA$83:$AJ$83,0)))*'CA Population'!$L249*10^6</f>
        <v>232.21642413233539</v>
      </c>
      <c r="G249" s="143">
        <f>(INDEX(Production_Consumption!$AA$83:$AJ$99,MATCH('County Scaled Consumption '!$B249,Production_Consumption!$AA$83:$AA$99,0),MATCH('County Scaled Consumption '!G$2,Production_Consumption!$AA$83:$AJ$83,0)))*'CA Population'!$L249*10^6</f>
        <v>869.53625440683265</v>
      </c>
      <c r="H249" s="143">
        <f>(INDEX(Production_Consumption!$AA$83:$AJ$99,MATCH('County Scaled Consumption '!$B249,Production_Consumption!$AA$83:$AA$99,0),MATCH('County Scaled Consumption '!H$2,Production_Consumption!$AA$83:$AJ$83,0)))*'CA Population'!$L249*10^6</f>
        <v>23.844069123306241</v>
      </c>
      <c r="I249" s="143">
        <f>(INDEX(Production_Consumption!$AA$83:$AJ$99,MATCH('County Scaled Consumption '!$B249,Production_Consumption!$AA$83:$AA$99,0),MATCH('County Scaled Consumption '!I$2,Production_Consumption!$AA$83:$AJ$83,0)))*'CA Population'!$L249*10^6</f>
        <v>475.45797084250603</v>
      </c>
      <c r="J249" s="143">
        <f>(INDEX(Production_Consumption!$AA$83:$AJ$99,MATCH('County Scaled Consumption '!$B249,Production_Consumption!$AA$83:$AA$99,0),MATCH('County Scaled Consumption '!J$2,Production_Consumption!$AA$83:$AJ$83,0)))*'CA Population'!$L249*10^6</f>
        <v>292.58112352817113</v>
      </c>
      <c r="K249" s="143">
        <f>(INDEX(Production_Consumption!$AA$83:$AJ$99,MATCH('County Scaled Consumption '!$B249,Production_Consumption!$AA$83:$AA$99,0),MATCH('County Scaled Consumption '!K$2,Production_Consumption!$AA$83:$AJ$83,0)))*'CA Population'!$L249*10^6</f>
        <v>4170.4531537473404</v>
      </c>
      <c r="L249" s="131">
        <f t="shared" si="3"/>
        <v>0</v>
      </c>
    </row>
    <row r="250" spans="1:12" x14ac:dyDescent="0.2">
      <c r="A250" s="132" t="s">
        <v>316</v>
      </c>
      <c r="B250" s="129">
        <v>2016</v>
      </c>
      <c r="C250" s="143">
        <f>(INDEX(Production_Consumption!$AA$83:$AJ$99,MATCH('County Scaled Consumption '!$B250,Production_Consumption!$AA$83:$AA$99,0),MATCH('County Scaled Consumption '!C$2,Production_Consumption!$AA$83:$AJ$83,0)))*'CA Population'!$L250*10^6</f>
        <v>1594.4896393130721</v>
      </c>
      <c r="D250" s="143">
        <f>(INDEX(Production_Consumption!$AA$83:$AJ$99,MATCH('County Scaled Consumption '!$B250,Production_Consumption!$AA$83:$AA$99,0),MATCH('County Scaled Consumption '!D$2,Production_Consumption!$AA$83:$AJ$83,0)))*'CA Population'!$L250*10^6</f>
        <v>6106.2041484048614</v>
      </c>
      <c r="E250" s="143">
        <f>(INDEX(Production_Consumption!$AA$83:$AJ$99,MATCH('County Scaled Consumption '!$B250,Production_Consumption!$AA$83:$AA$99,0),MATCH('County Scaled Consumption '!E$2,Production_Consumption!$AA$83:$AJ$83,0)))*'CA Population'!$L250*10^6</f>
        <v>3194.008364828484</v>
      </c>
      <c r="F250" s="143">
        <f>(INDEX(Production_Consumption!$AA$83:$AJ$99,MATCH('County Scaled Consumption '!$B250,Production_Consumption!$AA$83:$AA$99,0),MATCH('County Scaled Consumption '!F$2,Production_Consumption!$AA$83:$AJ$83,0)))*'CA Population'!$L250*10^6</f>
        <v>1111.1689826121501</v>
      </c>
      <c r="G250" s="143">
        <f>(INDEX(Production_Consumption!$AA$83:$AJ$99,MATCH('County Scaled Consumption '!$B250,Production_Consumption!$AA$83:$AA$99,0),MATCH('County Scaled Consumption '!G$2,Production_Consumption!$AA$83:$AJ$83,0)))*'CA Population'!$L250*10^6</f>
        <v>4160.7811280523438</v>
      </c>
      <c r="H250" s="143">
        <f>(INDEX(Production_Consumption!$AA$83:$AJ$99,MATCH('County Scaled Consumption '!$B250,Production_Consumption!$AA$83:$AA$99,0),MATCH('County Scaled Consumption '!H$2,Production_Consumption!$AA$83:$AJ$83,0)))*'CA Population'!$L250*10^6</f>
        <v>114.09524596752526</v>
      </c>
      <c r="I250" s="143">
        <f>(INDEX(Production_Consumption!$AA$83:$AJ$99,MATCH('County Scaled Consumption '!$B250,Production_Consumption!$AA$83:$AA$99,0),MATCH('County Scaled Consumption '!I$2,Production_Consumption!$AA$83:$AJ$83,0)))*'CA Population'!$L250*10^6</f>
        <v>2275.0938126358769</v>
      </c>
      <c r="J250" s="143">
        <f>(INDEX(Production_Consumption!$AA$83:$AJ$99,MATCH('County Scaled Consumption '!$B250,Production_Consumption!$AA$83:$AA$99,0),MATCH('County Scaled Consumption '!J$2,Production_Consumption!$AA$83:$AJ$83,0)))*'CA Population'!$L250*10^6</f>
        <v>1400.0175507699917</v>
      </c>
      <c r="K250" s="143">
        <f>(INDEX(Production_Consumption!$AA$83:$AJ$99,MATCH('County Scaled Consumption '!$B250,Production_Consumption!$AA$83:$AA$99,0),MATCH('County Scaled Consumption '!K$2,Production_Consumption!$AA$83:$AJ$83,0)))*'CA Population'!$L250*10^6</f>
        <v>19955.858872584304</v>
      </c>
      <c r="L250" s="131">
        <f t="shared" si="3"/>
        <v>0</v>
      </c>
    </row>
    <row r="251" spans="1:12" x14ac:dyDescent="0.2">
      <c r="A251" s="132" t="s">
        <v>317</v>
      </c>
      <c r="B251" s="129">
        <v>2016</v>
      </c>
      <c r="C251" s="143">
        <f>(INDEX(Production_Consumption!$AA$83:$AJ$99,MATCH('County Scaled Consumption '!$B251,Production_Consumption!$AA$83:$AA$99,0),MATCH('County Scaled Consumption '!C$2,Production_Consumption!$AA$83:$AJ$83,0)))*'CA Population'!$L251*10^6</f>
        <v>2186.1180427057475</v>
      </c>
      <c r="D251" s="143">
        <f>(INDEX(Production_Consumption!$AA$83:$AJ$99,MATCH('County Scaled Consumption '!$B251,Production_Consumption!$AA$83:$AA$99,0),MATCH('County Scaled Consumption '!D$2,Production_Consumption!$AA$83:$AJ$83,0)))*'CA Population'!$L251*10^6</f>
        <v>8371.8844777338491</v>
      </c>
      <c r="E251" s="143">
        <f>(INDEX(Production_Consumption!$AA$83:$AJ$99,MATCH('County Scaled Consumption '!$B251,Production_Consumption!$AA$83:$AA$99,0),MATCH('County Scaled Consumption '!E$2,Production_Consumption!$AA$83:$AJ$83,0)))*'CA Population'!$L251*10^6</f>
        <v>4379.1311920426015</v>
      </c>
      <c r="F251" s="143">
        <f>(INDEX(Production_Consumption!$AA$83:$AJ$99,MATCH('County Scaled Consumption '!$B251,Production_Consumption!$AA$83:$AA$99,0),MATCH('County Scaled Consumption '!F$2,Production_Consumption!$AA$83:$AJ$83,0)))*'CA Population'!$L251*10^6</f>
        <v>1523.4633712828136</v>
      </c>
      <c r="G251" s="143">
        <f>(INDEX(Production_Consumption!$AA$83:$AJ$99,MATCH('County Scaled Consumption '!$B251,Production_Consumption!$AA$83:$AA$99,0),MATCH('County Scaled Consumption '!G$2,Production_Consumption!$AA$83:$AJ$83,0)))*'CA Population'!$L251*10^6</f>
        <v>5704.6207585917364</v>
      </c>
      <c r="H251" s="143">
        <f>(INDEX(Production_Consumption!$AA$83:$AJ$99,MATCH('County Scaled Consumption '!$B251,Production_Consumption!$AA$83:$AA$99,0),MATCH('County Scaled Consumption '!H$2,Production_Consumption!$AA$83:$AJ$83,0)))*'CA Population'!$L251*10^6</f>
        <v>156.4297877181649</v>
      </c>
      <c r="I251" s="143">
        <f>(INDEX(Production_Consumption!$AA$83:$AJ$99,MATCH('County Scaled Consumption '!$B251,Production_Consumption!$AA$83:$AA$99,0),MATCH('County Scaled Consumption '!I$2,Production_Consumption!$AA$83:$AJ$83,0)))*'CA Population'!$L251*10^6</f>
        <v>3119.2574163067025</v>
      </c>
      <c r="J251" s="143">
        <f>(INDEX(Production_Consumption!$AA$83:$AJ$99,MATCH('County Scaled Consumption '!$B251,Production_Consumption!$AA$83:$AA$99,0),MATCH('County Scaled Consumption '!J$2,Production_Consumption!$AA$83:$AJ$83,0)))*'CA Population'!$L251*10^6</f>
        <v>1919.4879366927328</v>
      </c>
      <c r="K251" s="143">
        <f>(INDEX(Production_Consumption!$AA$83:$AJ$99,MATCH('County Scaled Consumption '!$B251,Production_Consumption!$AA$83:$AA$99,0),MATCH('County Scaled Consumption '!K$2,Production_Consumption!$AA$83:$AJ$83,0)))*'CA Population'!$L251*10^6</f>
        <v>27360.392983074347</v>
      </c>
      <c r="L251" s="131">
        <f t="shared" si="3"/>
        <v>0</v>
      </c>
    </row>
    <row r="252" spans="1:12" x14ac:dyDescent="0.2">
      <c r="A252" s="132" t="s">
        <v>318</v>
      </c>
      <c r="B252" s="129">
        <v>2016</v>
      </c>
      <c r="C252" s="143">
        <f>(INDEX(Production_Consumption!$AA$83:$AJ$99,MATCH('County Scaled Consumption '!$B252,Production_Consumption!$AA$83:$AA$99,0),MATCH('County Scaled Consumption '!C$2,Production_Consumption!$AA$83:$AJ$83,0)))*'CA Population'!$L252*10^6</f>
        <v>220.37046298608112</v>
      </c>
      <c r="D252" s="143">
        <f>(INDEX(Production_Consumption!$AA$83:$AJ$99,MATCH('County Scaled Consumption '!$B252,Production_Consumption!$AA$83:$AA$99,0),MATCH('County Scaled Consumption '!D$2,Production_Consumption!$AA$83:$AJ$83,0)))*'CA Population'!$L252*10^6</f>
        <v>843.92334832054667</v>
      </c>
      <c r="E252" s="143">
        <f>(INDEX(Production_Consumption!$AA$83:$AJ$99,MATCH('County Scaled Consumption '!$B252,Production_Consumption!$AA$83:$AA$99,0),MATCH('County Scaled Consumption '!E$2,Production_Consumption!$AA$83:$AJ$83,0)))*'CA Population'!$L252*10^6</f>
        <v>441.43598351752456</v>
      </c>
      <c r="F252" s="143">
        <f>(INDEX(Production_Consumption!$AA$83:$AJ$99,MATCH('County Scaled Consumption '!$B252,Production_Consumption!$AA$83:$AA$99,0),MATCH('County Scaled Consumption '!F$2,Production_Consumption!$AA$83:$AJ$83,0)))*'CA Population'!$L252*10^6</f>
        <v>153.57191236407473</v>
      </c>
      <c r="G252" s="143">
        <f>(INDEX(Production_Consumption!$AA$83:$AJ$99,MATCH('County Scaled Consumption '!$B252,Production_Consumption!$AA$83:$AA$99,0),MATCH('County Scaled Consumption '!G$2,Production_Consumption!$AA$83:$AJ$83,0)))*'CA Population'!$L252*10^6</f>
        <v>575.05125211579468</v>
      </c>
      <c r="H252" s="143">
        <f>(INDEX(Production_Consumption!$AA$83:$AJ$99,MATCH('County Scaled Consumption '!$B252,Production_Consumption!$AA$83:$AA$99,0),MATCH('County Scaled Consumption '!H$2,Production_Consumption!$AA$83:$AJ$83,0)))*'CA Population'!$L252*10^6</f>
        <v>15.768821294571968</v>
      </c>
      <c r="I252" s="143">
        <f>(INDEX(Production_Consumption!$AA$83:$AJ$99,MATCH('County Scaled Consumption '!$B252,Production_Consumption!$AA$83:$AA$99,0),MATCH('County Scaled Consumption '!I$2,Production_Consumption!$AA$83:$AJ$83,0)))*'CA Population'!$L252*10^6</f>
        <v>314.4350797057113</v>
      </c>
      <c r="J252" s="143">
        <f>(INDEX(Production_Consumption!$AA$83:$AJ$99,MATCH('County Scaled Consumption '!$B252,Production_Consumption!$AA$83:$AA$99,0),MATCH('County Scaled Consumption '!J$2,Production_Consumption!$AA$83:$AJ$83,0)))*'CA Population'!$L252*10^6</f>
        <v>193.4929573984175</v>
      </c>
      <c r="K252" s="143">
        <f>(INDEX(Production_Consumption!$AA$83:$AJ$99,MATCH('County Scaled Consumption '!$B252,Production_Consumption!$AA$83:$AA$99,0),MATCH('County Scaled Consumption '!K$2,Production_Consumption!$AA$83:$AJ$83,0)))*'CA Population'!$L252*10^6</f>
        <v>2758.0498177027221</v>
      </c>
      <c r="L252" s="131">
        <f t="shared" si="3"/>
        <v>0</v>
      </c>
    </row>
    <row r="253" spans="1:12" x14ac:dyDescent="0.2">
      <c r="A253" s="132" t="s">
        <v>319</v>
      </c>
      <c r="B253" s="129">
        <v>2016</v>
      </c>
      <c r="C253" s="143">
        <f>(INDEX(Production_Consumption!$AA$83:$AJ$99,MATCH('County Scaled Consumption '!$B253,Production_Consumption!$AA$83:$AA$99,0),MATCH('County Scaled Consumption '!C$2,Production_Consumption!$AA$83:$AJ$83,0)))*'CA Population'!$L253*10^6</f>
        <v>10435.989625213493</v>
      </c>
      <c r="D253" s="143">
        <f>(INDEX(Production_Consumption!$AA$83:$AJ$99,MATCH('County Scaled Consumption '!$B253,Production_Consumption!$AA$83:$AA$99,0),MATCH('County Scaled Consumption '!D$2,Production_Consumption!$AA$83:$AJ$83,0)))*'CA Population'!$L253*10^6</f>
        <v>39965.316532029661</v>
      </c>
      <c r="E253" s="143">
        <f>(INDEX(Production_Consumption!$AA$83:$AJ$99,MATCH('County Scaled Consumption '!$B253,Production_Consumption!$AA$83:$AA$99,0),MATCH('County Scaled Consumption '!E$2,Production_Consumption!$AA$83:$AJ$83,0)))*'CA Population'!$L253*10^6</f>
        <v>20904.894792891435</v>
      </c>
      <c r="F253" s="143">
        <f>(INDEX(Production_Consumption!$AA$83:$AJ$99,MATCH('County Scaled Consumption '!$B253,Production_Consumption!$AA$83:$AA$99,0),MATCH('County Scaled Consumption '!F$2,Production_Consumption!$AA$83:$AJ$83,0)))*'CA Population'!$L253*10^6</f>
        <v>7272.6392749690176</v>
      </c>
      <c r="G253" s="143">
        <f>(INDEX(Production_Consumption!$AA$83:$AJ$99,MATCH('County Scaled Consumption '!$B253,Production_Consumption!$AA$83:$AA$99,0),MATCH('County Scaled Consumption '!G$2,Production_Consumption!$AA$83:$AJ$83,0)))*'CA Population'!$L253*10^6</f>
        <v>27232.455836994395</v>
      </c>
      <c r="H253" s="143">
        <f>(INDEX(Production_Consumption!$AA$83:$AJ$99,MATCH('County Scaled Consumption '!$B253,Production_Consumption!$AA$83:$AA$99,0),MATCH('County Scaled Consumption '!H$2,Production_Consumption!$AA$83:$AJ$83,0)))*'CA Population'!$L253*10^6</f>
        <v>746.75731584950518</v>
      </c>
      <c r="I253" s="143">
        <f>(INDEX(Production_Consumption!$AA$83:$AJ$99,MATCH('County Scaled Consumption '!$B253,Production_Consumption!$AA$83:$AA$99,0),MATCH('County Scaled Consumption '!I$2,Production_Consumption!$AA$83:$AJ$83,0)))*'CA Population'!$L253*10^6</f>
        <v>14890.567388875708</v>
      </c>
      <c r="J253" s="143">
        <f>(INDEX(Production_Consumption!$AA$83:$AJ$99,MATCH('County Scaled Consumption '!$B253,Production_Consumption!$AA$83:$AA$99,0),MATCH('County Scaled Consumption '!J$2,Production_Consumption!$AA$83:$AJ$83,0)))*'CA Population'!$L253*10^6</f>
        <v>9163.1631054353365</v>
      </c>
      <c r="K253" s="143">
        <f>(INDEX(Production_Consumption!$AA$83:$AJ$99,MATCH('County Scaled Consumption '!$B253,Production_Consumption!$AA$83:$AA$99,0),MATCH('County Scaled Consumption '!K$2,Production_Consumption!$AA$83:$AJ$83,0)))*'CA Population'!$L253*10^6</f>
        <v>130611.78387225856</v>
      </c>
      <c r="L253" s="131">
        <f t="shared" si="3"/>
        <v>0</v>
      </c>
    </row>
    <row r="254" spans="1:12" x14ac:dyDescent="0.2">
      <c r="A254" s="132" t="s">
        <v>320</v>
      </c>
      <c r="B254" s="129">
        <v>2016</v>
      </c>
      <c r="C254" s="143">
        <f>(INDEX(Production_Consumption!$AA$83:$AJ$99,MATCH('County Scaled Consumption '!$B254,Production_Consumption!$AA$83:$AA$99,0),MATCH('County Scaled Consumption '!C$2,Production_Consumption!$AA$83:$AJ$83,0)))*'CA Population'!$L254*10^6</f>
        <v>1762.7035122831267</v>
      </c>
      <c r="D254" s="143">
        <f>(INDEX(Production_Consumption!$AA$83:$AJ$99,MATCH('County Scaled Consumption '!$B254,Production_Consumption!$AA$83:$AA$99,0),MATCH('County Scaled Consumption '!D$2,Production_Consumption!$AA$83:$AJ$83,0)))*'CA Population'!$L254*10^6</f>
        <v>6750.3903655015793</v>
      </c>
      <c r="E254" s="143">
        <f>(INDEX(Production_Consumption!$AA$83:$AJ$99,MATCH('County Scaled Consumption '!$B254,Production_Consumption!$AA$83:$AA$99,0),MATCH('County Scaled Consumption '!E$2,Production_Consumption!$AA$83:$AJ$83,0)))*'CA Population'!$L254*10^6</f>
        <v>3530.9666642740781</v>
      </c>
      <c r="F254" s="143">
        <f>(INDEX(Production_Consumption!$AA$83:$AJ$99,MATCH('County Scaled Consumption '!$B254,Production_Consumption!$AA$83:$AA$99,0),MATCH('County Scaled Consumption '!F$2,Production_Consumption!$AA$83:$AJ$83,0)))*'CA Population'!$L254*10^6</f>
        <v>1228.3939764163808</v>
      </c>
      <c r="G254" s="143">
        <f>(INDEX(Production_Consumption!$AA$83:$AJ$99,MATCH('County Scaled Consumption '!$B254,Production_Consumption!$AA$83:$AA$99,0),MATCH('County Scaled Consumption '!G$2,Production_Consumption!$AA$83:$AJ$83,0)))*'CA Population'!$L254*10^6</f>
        <v>4599.731053391416</v>
      </c>
      <c r="H254" s="143">
        <f>(INDEX(Production_Consumption!$AA$83:$AJ$99,MATCH('County Scaled Consumption '!$B254,Production_Consumption!$AA$83:$AA$99,0),MATCH('County Scaled Consumption '!H$2,Production_Consumption!$AA$83:$AJ$83,0)))*'CA Population'!$L254*10^6</f>
        <v>126.13195209497104</v>
      </c>
      <c r="I254" s="143">
        <f>(INDEX(Production_Consumption!$AA$83:$AJ$99,MATCH('County Scaled Consumption '!$B254,Production_Consumption!$AA$83:$AA$99,0),MATCH('County Scaled Consumption '!I$2,Production_Consumption!$AA$83:$AJ$83,0)))*'CA Population'!$L254*10^6</f>
        <v>2515.1093838618913</v>
      </c>
      <c r="J254" s="143">
        <f>(INDEX(Production_Consumption!$AA$83:$AJ$99,MATCH('County Scaled Consumption '!$B254,Production_Consumption!$AA$83:$AA$99,0),MATCH('County Scaled Consumption '!J$2,Production_Consumption!$AA$83:$AJ$83,0)))*'CA Population'!$L254*10^6</f>
        <v>1547.7152018770432</v>
      </c>
      <c r="K254" s="143">
        <f>(INDEX(Production_Consumption!$AA$83:$AJ$99,MATCH('County Scaled Consumption '!$B254,Production_Consumption!$AA$83:$AA$99,0),MATCH('County Scaled Consumption '!K$2,Production_Consumption!$AA$83:$AJ$83,0)))*'CA Population'!$L254*10^6</f>
        <v>22061.142109700486</v>
      </c>
      <c r="L254" s="131">
        <f t="shared" si="3"/>
        <v>0</v>
      </c>
    </row>
    <row r="255" spans="1:12" x14ac:dyDescent="0.2">
      <c r="A255" s="132" t="s">
        <v>321</v>
      </c>
      <c r="B255" s="129">
        <v>2016</v>
      </c>
      <c r="C255" s="143">
        <f>(INDEX(Production_Consumption!$AA$83:$AJ$99,MATCH('County Scaled Consumption '!$B255,Production_Consumption!$AA$83:$AA$99,0),MATCH('County Scaled Consumption '!C$2,Production_Consumption!$AA$83:$AJ$83,0)))*'CA Population'!$L255*10^6</f>
        <v>763.4258243842396</v>
      </c>
      <c r="D255" s="143">
        <f>(INDEX(Production_Consumption!$AA$83:$AJ$99,MATCH('County Scaled Consumption '!$B255,Production_Consumption!$AA$83:$AA$99,0),MATCH('County Scaled Consumption '!D$2,Production_Consumption!$AA$83:$AJ$83,0)))*'CA Population'!$L255*10^6</f>
        <v>2923.5899819723763</v>
      </c>
      <c r="E255" s="143">
        <f>(INDEX(Production_Consumption!$AA$83:$AJ$99,MATCH('County Scaled Consumption '!$B255,Production_Consumption!$AA$83:$AA$99,0),MATCH('County Scaled Consumption '!E$2,Production_Consumption!$AA$83:$AJ$83,0)))*'CA Population'!$L255*10^6</f>
        <v>1529.2595253612519</v>
      </c>
      <c r="F255" s="143">
        <f>(INDEX(Production_Consumption!$AA$83:$AJ$99,MATCH('County Scaled Consumption '!$B255,Production_Consumption!$AA$83:$AA$99,0),MATCH('County Scaled Consumption '!F$2,Production_Consumption!$AA$83:$AJ$83,0)))*'CA Population'!$L255*10^6</f>
        <v>532.01668776370013</v>
      </c>
      <c r="G255" s="143">
        <f>(INDEX(Production_Consumption!$AA$83:$AJ$99,MATCH('County Scaled Consumption '!$B255,Production_Consumption!$AA$83:$AA$99,0),MATCH('County Scaled Consumption '!G$2,Production_Consumption!$AA$83:$AJ$83,0)))*'CA Population'!$L255*10^6</f>
        <v>1992.1407354733292</v>
      </c>
      <c r="H255" s="143">
        <f>(INDEX(Production_Consumption!$AA$83:$AJ$99,MATCH('County Scaled Consumption '!$B255,Production_Consumption!$AA$83:$AA$99,0),MATCH('County Scaled Consumption '!H$2,Production_Consumption!$AA$83:$AJ$83,0)))*'CA Population'!$L255*10^6</f>
        <v>54.627672117459376</v>
      </c>
      <c r="I255" s="143">
        <f>(INDEX(Production_Consumption!$AA$83:$AJ$99,MATCH('County Scaled Consumption '!$B255,Production_Consumption!$AA$83:$AA$99,0),MATCH('County Scaled Consumption '!I$2,Production_Consumption!$AA$83:$AJ$83,0)))*'CA Population'!$L255*10^6</f>
        <v>1089.2923520100715</v>
      </c>
      <c r="J255" s="143">
        <f>(INDEX(Production_Consumption!$AA$83:$AJ$99,MATCH('County Scaled Consumption '!$B255,Production_Consumption!$AA$83:$AA$99,0),MATCH('County Scaled Consumption '!J$2,Production_Consumption!$AA$83:$AJ$83,0)))*'CA Population'!$L255*10^6</f>
        <v>670.31451725797513</v>
      </c>
      <c r="K255" s="143">
        <f>(INDEX(Production_Consumption!$AA$83:$AJ$99,MATCH('County Scaled Consumption '!$B255,Production_Consumption!$AA$83:$AA$99,0),MATCH('County Scaled Consumption '!K$2,Production_Consumption!$AA$83:$AJ$83,0)))*'CA Population'!$L255*10^6</f>
        <v>9554.6672963404035</v>
      </c>
      <c r="L255" s="131">
        <f t="shared" si="3"/>
        <v>0</v>
      </c>
    </row>
    <row r="256" spans="1:12" x14ac:dyDescent="0.2">
      <c r="A256" s="132" t="s">
        <v>322</v>
      </c>
      <c r="B256" s="129">
        <v>2016</v>
      </c>
      <c r="C256" s="143">
        <f>(INDEX(Production_Consumption!$AA$83:$AJ$99,MATCH('County Scaled Consumption '!$B256,Production_Consumption!$AA$83:$AA$99,0),MATCH('County Scaled Consumption '!C$2,Production_Consumption!$AA$83:$AJ$83,0)))*'CA Population'!$L256*10^6</f>
        <v>354.79490791173976</v>
      </c>
      <c r="D256" s="143">
        <f>(INDEX(Production_Consumption!$AA$83:$AJ$99,MATCH('County Scaled Consumption '!$B256,Production_Consumption!$AA$83:$AA$99,0),MATCH('County Scaled Consumption '!D$2,Production_Consumption!$AA$83:$AJ$83,0)))*'CA Population'!$L256*10^6</f>
        <v>1358.7107028534363</v>
      </c>
      <c r="E256" s="143">
        <f>(INDEX(Production_Consumption!$AA$83:$AJ$99,MATCH('County Scaled Consumption '!$B256,Production_Consumption!$AA$83:$AA$99,0),MATCH('County Scaled Consumption '!E$2,Production_Consumption!$AA$83:$AJ$83,0)))*'CA Population'!$L256*10^6</f>
        <v>710.70885362218735</v>
      </c>
      <c r="F256" s="143">
        <f>(INDEX(Production_Consumption!$AA$83:$AJ$99,MATCH('County Scaled Consumption '!$B256,Production_Consumption!$AA$83:$AA$99,0),MATCH('County Scaled Consumption '!F$2,Production_Consumption!$AA$83:$AJ$83,0)))*'CA Population'!$L256*10^6</f>
        <v>247.24970745504626</v>
      </c>
      <c r="G256" s="143">
        <f>(INDEX(Production_Consumption!$AA$83:$AJ$99,MATCH('County Scaled Consumption '!$B256,Production_Consumption!$AA$83:$AA$99,0),MATCH('County Scaled Consumption '!G$2,Production_Consumption!$AA$83:$AJ$83,0)))*'CA Population'!$L256*10^6</f>
        <v>925.82850384917742</v>
      </c>
      <c r="H256" s="143">
        <f>(INDEX(Production_Consumption!$AA$83:$AJ$99,MATCH('County Scaled Consumption '!$B256,Production_Consumption!$AA$83:$AA$99,0),MATCH('County Scaled Consumption '!H$2,Production_Consumption!$AA$83:$AJ$83,0)))*'CA Population'!$L256*10^6</f>
        <v>25.387692267260476</v>
      </c>
      <c r="I256" s="143">
        <f>(INDEX(Production_Consumption!$AA$83:$AJ$99,MATCH('County Scaled Consumption '!$B256,Production_Consumption!$AA$83:$AA$99,0),MATCH('County Scaled Consumption '!I$2,Production_Consumption!$AA$83:$AJ$83,0)))*'CA Population'!$L256*10^6</f>
        <v>506.23828455383631</v>
      </c>
      <c r="J256" s="143">
        <f>(INDEX(Production_Consumption!$AA$83:$AJ$99,MATCH('County Scaled Consumption '!$B256,Production_Consumption!$AA$83:$AA$99,0),MATCH('County Scaled Consumption '!J$2,Production_Consumption!$AA$83:$AJ$83,0)))*'CA Population'!$L256*10^6</f>
        <v>311.52231143643678</v>
      </c>
      <c r="K256" s="143">
        <f>(INDEX(Production_Consumption!$AA$83:$AJ$99,MATCH('County Scaled Consumption '!$B256,Production_Consumption!$AA$83:$AA$99,0),MATCH('County Scaled Consumption '!K$2,Production_Consumption!$AA$83:$AJ$83,0)))*'CA Population'!$L256*10^6</f>
        <v>4440.4409639491205</v>
      </c>
      <c r="L256" s="131">
        <f t="shared" si="3"/>
        <v>0</v>
      </c>
    </row>
    <row r="257" spans="1:12" x14ac:dyDescent="0.2">
      <c r="A257" s="132" t="s">
        <v>323</v>
      </c>
      <c r="B257" s="129">
        <v>2016</v>
      </c>
      <c r="C257" s="143">
        <f>(INDEX(Production_Consumption!$AA$83:$AJ$99,MATCH('County Scaled Consumption '!$B257,Production_Consumption!$AA$83:$AA$99,0),MATCH('County Scaled Consumption '!C$2,Production_Consumption!$AA$83:$AJ$83,0)))*'CA Population'!$L257*10^6</f>
        <v>120047.51045496893</v>
      </c>
      <c r="D257" s="143">
        <f>(INDEX(Production_Consumption!$AA$83:$AJ$99,MATCH('County Scaled Consumption '!$B257,Production_Consumption!$AA$83:$AA$99,0),MATCH('County Scaled Consumption '!D$2,Production_Consumption!$AA$83:$AJ$83,0)))*'CA Population'!$L257*10^6</f>
        <v>459729.9275407074</v>
      </c>
      <c r="E257" s="143">
        <f>(INDEX(Production_Consumption!$AA$83:$AJ$99,MATCH('County Scaled Consumption '!$B257,Production_Consumption!$AA$83:$AA$99,0),MATCH('County Scaled Consumption '!E$2,Production_Consumption!$AA$83:$AJ$83,0)))*'CA Population'!$L257*10^6</f>
        <v>240473.65571794729</v>
      </c>
      <c r="F257" s="143">
        <f>(INDEX(Production_Consumption!$AA$83:$AJ$99,MATCH('County Scaled Consumption '!$B257,Production_Consumption!$AA$83:$AA$99,0),MATCH('County Scaled Consumption '!F$2,Production_Consumption!$AA$83:$AJ$83,0)))*'CA Population'!$L257*10^6</f>
        <v>83658.787594779758</v>
      </c>
      <c r="G257" s="143">
        <f>(INDEX(Production_Consumption!$AA$83:$AJ$99,MATCH('County Scaled Consumption '!$B257,Production_Consumption!$AA$83:$AA$99,0),MATCH('County Scaled Consumption '!G$2,Production_Consumption!$AA$83:$AJ$83,0)))*'CA Population'!$L257*10^6</f>
        <v>313260.99816232664</v>
      </c>
      <c r="H257" s="143">
        <f>(INDEX(Production_Consumption!$AA$83:$AJ$99,MATCH('County Scaled Consumption '!$B257,Production_Consumption!$AA$83:$AA$99,0),MATCH('County Scaled Consumption '!H$2,Production_Consumption!$AA$83:$AJ$83,0)))*'CA Population'!$L257*10^6</f>
        <v>8590.1155425817196</v>
      </c>
      <c r="I257" s="143">
        <f>(INDEX(Production_Consumption!$AA$83:$AJ$99,MATCH('County Scaled Consumption '!$B257,Production_Consumption!$AA$83:$AA$99,0),MATCH('County Scaled Consumption '!I$2,Production_Consumption!$AA$83:$AJ$83,0)))*'CA Population'!$L257*10^6</f>
        <v>171289.50952362668</v>
      </c>
      <c r="J257" s="143">
        <f>(INDEX(Production_Consumption!$AA$83:$AJ$99,MATCH('County Scaled Consumption '!$B257,Production_Consumption!$AA$83:$AA$99,0),MATCH('County Scaled Consumption '!J$2,Production_Consumption!$AA$83:$AJ$83,0)))*'CA Population'!$L257*10^6</f>
        <v>105405.90381986227</v>
      </c>
      <c r="K257" s="143">
        <f>(INDEX(Production_Consumption!$AA$83:$AJ$99,MATCH('County Scaled Consumption '!$B257,Production_Consumption!$AA$83:$AA$99,0),MATCH('County Scaled Consumption '!K$2,Production_Consumption!$AA$83:$AJ$83,0)))*'CA Population'!$L257*10^6</f>
        <v>1502456.4083568007</v>
      </c>
      <c r="L257" s="131">
        <f t="shared" si="3"/>
        <v>0</v>
      </c>
    </row>
    <row r="258" spans="1:12" x14ac:dyDescent="0.2">
      <c r="A258" s="132" t="s">
        <v>324</v>
      </c>
      <c r="B258" s="129">
        <v>2016</v>
      </c>
      <c r="C258" s="143">
        <f>(INDEX(Production_Consumption!$AA$83:$AJ$99,MATCH('County Scaled Consumption '!$B258,Production_Consumption!$AA$83:$AA$99,0),MATCH('County Scaled Consumption '!C$2,Production_Consumption!$AA$83:$AJ$83,0)))*'CA Population'!$L258*10^6</f>
        <v>1825.7526690576019</v>
      </c>
      <c r="D258" s="143">
        <f>(INDEX(Production_Consumption!$AA$83:$AJ$99,MATCH('County Scaled Consumption '!$B258,Production_Consumption!$AA$83:$AA$99,0),MATCH('County Scaled Consumption '!D$2,Production_Consumption!$AA$83:$AJ$83,0)))*'CA Population'!$L258*10^6</f>
        <v>6991.8413057633088</v>
      </c>
      <c r="E258" s="143">
        <f>(INDEX(Production_Consumption!$AA$83:$AJ$99,MATCH('County Scaled Consumption '!$B258,Production_Consumption!$AA$83:$AA$99,0),MATCH('County Scaled Consumption '!E$2,Production_Consumption!$AA$83:$AJ$83,0)))*'CA Population'!$L258*10^6</f>
        <v>3657.2638374685134</v>
      </c>
      <c r="F258" s="143">
        <f>(INDEX(Production_Consumption!$AA$83:$AJ$99,MATCH('County Scaled Consumption '!$B258,Production_Consumption!$AA$83:$AA$99,0),MATCH('County Scaled Consumption '!F$2,Production_Consumption!$AA$83:$AJ$83,0)))*'CA Population'!$L258*10^6</f>
        <v>1272.3317140223962</v>
      </c>
      <c r="G258" s="143">
        <f>(INDEX(Production_Consumption!$AA$83:$AJ$99,MATCH('County Scaled Consumption '!$B258,Production_Consumption!$AA$83:$AA$99,0),MATCH('County Scaled Consumption '!G$2,Production_Consumption!$AA$83:$AJ$83,0)))*'CA Population'!$L258*10^6</f>
        <v>4764.2562626990584</v>
      </c>
      <c r="H258" s="143">
        <f>(INDEX(Production_Consumption!$AA$83:$AJ$99,MATCH('County Scaled Consumption '!$B258,Production_Consumption!$AA$83:$AA$99,0),MATCH('County Scaled Consumption '!H$2,Production_Consumption!$AA$83:$AJ$83,0)))*'CA Population'!$L258*10^6</f>
        <v>130.64349539563992</v>
      </c>
      <c r="I258" s="143">
        <f>(INDEX(Production_Consumption!$AA$83:$AJ$99,MATCH('County Scaled Consumption '!$B258,Production_Consumption!$AA$83:$AA$99,0),MATCH('County Scaled Consumption '!I$2,Production_Consumption!$AA$83:$AJ$83,0)))*'CA Population'!$L258*10^6</f>
        <v>2605.0709257451708</v>
      </c>
      <c r="J258" s="143">
        <f>(INDEX(Production_Consumption!$AA$83:$AJ$99,MATCH('County Scaled Consumption '!$B258,Production_Consumption!$AA$83:$AA$99,0),MATCH('County Scaled Consumption '!J$2,Production_Consumption!$AA$83:$AJ$83,0)))*'CA Population'!$L258*10^6</f>
        <v>1603.0745619312995</v>
      </c>
      <c r="K258" s="143">
        <f>(INDEX(Production_Consumption!$AA$83:$AJ$99,MATCH('County Scaled Consumption '!$B258,Production_Consumption!$AA$83:$AA$99,0),MATCH('County Scaled Consumption '!K$2,Production_Consumption!$AA$83:$AJ$83,0)))*'CA Population'!$L258*10^6</f>
        <v>22850.234772082989</v>
      </c>
      <c r="L258" s="131">
        <f t="shared" si="3"/>
        <v>0</v>
      </c>
    </row>
    <row r="259" spans="1:12" x14ac:dyDescent="0.2">
      <c r="A259" s="132" t="s">
        <v>325</v>
      </c>
      <c r="B259" s="129">
        <v>2016</v>
      </c>
      <c r="C259" s="143">
        <f>(INDEX(Production_Consumption!$AA$83:$AJ$99,MATCH('County Scaled Consumption '!$B259,Production_Consumption!$AA$83:$AA$99,0),MATCH('County Scaled Consumption '!C$2,Production_Consumption!$AA$83:$AJ$83,0)))*'CA Population'!$L259*10^6</f>
        <v>3112.0098709562349</v>
      </c>
      <c r="D259" s="143">
        <f>(INDEX(Production_Consumption!$AA$83:$AJ$99,MATCH('County Scaled Consumption '!$B259,Production_Consumption!$AA$83:$AA$99,0),MATCH('County Scaled Consumption '!D$2,Production_Consumption!$AA$83:$AJ$83,0)))*'CA Population'!$L259*10^6</f>
        <v>11917.64882968848</v>
      </c>
      <c r="E259" s="143">
        <f>(INDEX(Production_Consumption!$AA$83:$AJ$99,MATCH('County Scaled Consumption '!$B259,Production_Consumption!$AA$83:$AA$99,0),MATCH('County Scaled Consumption '!E$2,Production_Consumption!$AA$83:$AJ$83,0)))*'CA Population'!$L259*10^6</f>
        <v>6233.8351496251935</v>
      </c>
      <c r="F259" s="143">
        <f>(INDEX(Production_Consumption!$AA$83:$AJ$99,MATCH('County Scaled Consumption '!$B259,Production_Consumption!$AA$83:$AA$99,0),MATCH('County Scaled Consumption '!F$2,Production_Consumption!$AA$83:$AJ$83,0)))*'CA Population'!$L259*10^6</f>
        <v>2168.6994740706805</v>
      </c>
      <c r="G259" s="143">
        <f>(INDEX(Production_Consumption!$AA$83:$AJ$99,MATCH('County Scaled Consumption '!$B259,Production_Consumption!$AA$83:$AA$99,0),MATCH('County Scaled Consumption '!G$2,Production_Consumption!$AA$83:$AJ$83,0)))*'CA Population'!$L259*10^6</f>
        <v>8120.7124976777259</v>
      </c>
      <c r="H259" s="143">
        <f>(INDEX(Production_Consumption!$AA$83:$AJ$99,MATCH('County Scaled Consumption '!$B259,Production_Consumption!$AA$83:$AA$99,0),MATCH('County Scaled Consumption '!H$2,Production_Consumption!$AA$83:$AJ$83,0)))*'CA Population'!$L259*10^6</f>
        <v>222.68287163852958</v>
      </c>
      <c r="I259" s="143">
        <f>(INDEX(Production_Consumption!$AA$83:$AJ$99,MATCH('County Scaled Consumption '!$B259,Production_Consumption!$AA$83:$AA$99,0),MATCH('County Scaled Consumption '!I$2,Production_Consumption!$AA$83:$AJ$83,0)))*'CA Population'!$L259*10^6</f>
        <v>4440.3640059552308</v>
      </c>
      <c r="J259" s="143">
        <f>(INDEX(Production_Consumption!$AA$83:$AJ$99,MATCH('County Scaled Consumption '!$B259,Production_Consumption!$AA$83:$AA$99,0),MATCH('County Scaled Consumption '!J$2,Production_Consumption!$AA$83:$AJ$83,0)))*'CA Population'!$L259*10^6</f>
        <v>2732.453275384833</v>
      </c>
      <c r="K259" s="143">
        <f>(INDEX(Production_Consumption!$AA$83:$AJ$99,MATCH('County Scaled Consumption '!$B259,Production_Consumption!$AA$83:$AA$99,0),MATCH('County Scaled Consumption '!K$2,Production_Consumption!$AA$83:$AJ$83,0)))*'CA Population'!$L259*10^6</f>
        <v>38948.405974996909</v>
      </c>
      <c r="L259" s="131">
        <f t="shared" si="3"/>
        <v>0</v>
      </c>
    </row>
    <row r="260" spans="1:12" x14ac:dyDescent="0.2">
      <c r="A260" s="132" t="s">
        <v>326</v>
      </c>
      <c r="B260" s="129">
        <v>2016</v>
      </c>
      <c r="C260" s="143">
        <f>(INDEX(Production_Consumption!$AA$83:$AJ$99,MATCH('County Scaled Consumption '!$B260,Production_Consumption!$AA$83:$AA$99,0),MATCH('County Scaled Consumption '!C$2,Production_Consumption!$AA$83:$AJ$83,0)))*'CA Population'!$L260*10^6</f>
        <v>214.85913170547605</v>
      </c>
      <c r="D260" s="143">
        <f>(INDEX(Production_Consumption!$AA$83:$AJ$99,MATCH('County Scaled Consumption '!$B260,Production_Consumption!$AA$83:$AA$99,0),MATCH('County Scaled Consumption '!D$2,Production_Consumption!$AA$83:$AJ$83,0)))*'CA Population'!$L260*10^6</f>
        <v>822.81733853589697</v>
      </c>
      <c r="E260" s="143">
        <f>(INDEX(Production_Consumption!$AA$83:$AJ$99,MATCH('County Scaled Consumption '!$B260,Production_Consumption!$AA$83:$AA$99,0),MATCH('County Scaled Consumption '!E$2,Production_Consumption!$AA$83:$AJ$83,0)))*'CA Population'!$L260*10^6</f>
        <v>430.39593798974227</v>
      </c>
      <c r="F260" s="143">
        <f>(INDEX(Production_Consumption!$AA$83:$AJ$99,MATCH('County Scaled Consumption '!$B260,Production_Consumption!$AA$83:$AA$99,0),MATCH('County Scaled Consumption '!F$2,Production_Consumption!$AA$83:$AJ$83,0)))*'CA Population'!$L260*10^6</f>
        <v>149.73117221693477</v>
      </c>
      <c r="G260" s="143">
        <f>(INDEX(Production_Consumption!$AA$83:$AJ$99,MATCH('County Scaled Consumption '!$B260,Production_Consumption!$AA$83:$AA$99,0),MATCH('County Scaled Consumption '!G$2,Production_Consumption!$AA$83:$AJ$83,0)))*'CA Population'!$L260*10^6</f>
        <v>560.66956996659906</v>
      </c>
      <c r="H260" s="143">
        <f>(INDEX(Production_Consumption!$AA$83:$AJ$99,MATCH('County Scaled Consumption '!$B260,Production_Consumption!$AA$83:$AA$99,0),MATCH('County Scaled Consumption '!H$2,Production_Consumption!$AA$83:$AJ$83,0)))*'CA Population'!$L260*10^6</f>
        <v>15.374452662399449</v>
      </c>
      <c r="I260" s="143">
        <f>(INDEX(Production_Consumption!$AA$83:$AJ$99,MATCH('County Scaled Consumption '!$B260,Production_Consumption!$AA$83:$AA$99,0),MATCH('County Scaled Consumption '!I$2,Production_Consumption!$AA$83:$AJ$83,0)))*'CA Population'!$L260*10^6</f>
        <v>306.57124955797008</v>
      </c>
      <c r="J260" s="143">
        <f>(INDEX(Production_Consumption!$AA$83:$AJ$99,MATCH('County Scaled Consumption '!$B260,Production_Consumption!$AA$83:$AA$99,0),MATCH('County Scaled Consumption '!J$2,Production_Consumption!$AA$83:$AJ$83,0)))*'CA Population'!$L260*10^6</f>
        <v>188.65381618939787</v>
      </c>
      <c r="K260" s="143">
        <f>(INDEX(Production_Consumption!$AA$83:$AJ$99,MATCH('County Scaled Consumption '!$B260,Production_Consumption!$AA$83:$AA$99,0),MATCH('County Scaled Consumption '!K$2,Production_Consumption!$AA$83:$AJ$83,0)))*'CA Population'!$L260*10^6</f>
        <v>2689.0726688244167</v>
      </c>
      <c r="L260" s="131">
        <f t="shared" ref="L260:L323" si="4">K260-SUM(C260:J260)</f>
        <v>0</v>
      </c>
    </row>
    <row r="261" spans="1:12" x14ac:dyDescent="0.2">
      <c r="A261" s="132" t="s">
        <v>327</v>
      </c>
      <c r="B261" s="129">
        <v>2016</v>
      </c>
      <c r="C261" s="143">
        <f>(INDEX(Production_Consumption!$AA$83:$AJ$99,MATCH('County Scaled Consumption '!$B261,Production_Consumption!$AA$83:$AA$99,0),MATCH('County Scaled Consumption '!C$2,Production_Consumption!$AA$83:$AJ$83,0)))*'CA Population'!$L261*10^6</f>
        <v>1045.9939079812691</v>
      </c>
      <c r="D261" s="143">
        <f>(INDEX(Production_Consumption!$AA$83:$AJ$99,MATCH('County Scaled Consumption '!$B261,Production_Consumption!$AA$83:$AA$99,0),MATCH('County Scaled Consumption '!D$2,Production_Consumption!$AA$83:$AJ$83,0)))*'CA Population'!$L261*10^6</f>
        <v>4005.7032561673263</v>
      </c>
      <c r="E261" s="143">
        <f>(INDEX(Production_Consumption!$AA$83:$AJ$99,MATCH('County Scaled Consumption '!$B261,Production_Consumption!$AA$83:$AA$99,0),MATCH('County Scaled Consumption '!E$2,Production_Consumption!$AA$83:$AJ$83,0)))*'CA Population'!$L261*10^6</f>
        <v>2095.2869239659153</v>
      </c>
      <c r="F261" s="143">
        <f>(INDEX(Production_Consumption!$AA$83:$AJ$99,MATCH('County Scaled Consumption '!$B261,Production_Consumption!$AA$83:$AA$99,0),MATCH('County Scaled Consumption '!F$2,Production_Consumption!$AA$83:$AJ$83,0)))*'CA Population'!$L261*10^6</f>
        <v>728.93291865526191</v>
      </c>
      <c r="G261" s="143">
        <f>(INDEX(Production_Consumption!$AA$83:$AJ$99,MATCH('County Scaled Consumption '!$B261,Production_Consumption!$AA$83:$AA$99,0),MATCH('County Scaled Consumption '!G$2,Production_Consumption!$AA$83:$AJ$83,0)))*'CA Population'!$L261*10^6</f>
        <v>2729.4951344187793</v>
      </c>
      <c r="H261" s="143">
        <f>(INDEX(Production_Consumption!$AA$83:$AJ$99,MATCH('County Scaled Consumption '!$B261,Production_Consumption!$AA$83:$AA$99,0),MATCH('County Scaled Consumption '!H$2,Production_Consumption!$AA$83:$AJ$83,0)))*'CA Population'!$L261*10^6</f>
        <v>74.847104220175709</v>
      </c>
      <c r="I261" s="143">
        <f>(INDEX(Production_Consumption!$AA$83:$AJ$99,MATCH('County Scaled Consumption '!$B261,Production_Consumption!$AA$83:$AA$99,0),MATCH('County Scaled Consumption '!I$2,Production_Consumption!$AA$83:$AJ$83,0)))*'CA Population'!$L261*10^6</f>
        <v>1492.4739612157202</v>
      </c>
      <c r="J261" s="143">
        <f>(INDEX(Production_Consumption!$AA$83:$AJ$99,MATCH('County Scaled Consumption '!$B261,Production_Consumption!$AA$83:$AA$99,0),MATCH('County Scaled Consumption '!J$2,Production_Consumption!$AA$83:$AJ$83,0)))*'CA Population'!$L261*10^6</f>
        <v>918.41915624058606</v>
      </c>
      <c r="K261" s="143">
        <f>(INDEX(Production_Consumption!$AA$83:$AJ$99,MATCH('County Scaled Consumption '!$B261,Production_Consumption!$AA$83:$AA$99,0),MATCH('County Scaled Consumption '!K$2,Production_Consumption!$AA$83:$AJ$83,0)))*'CA Population'!$L261*10^6</f>
        <v>13091.152362865034</v>
      </c>
      <c r="L261" s="131">
        <f t="shared" si="4"/>
        <v>0</v>
      </c>
    </row>
    <row r="262" spans="1:12" x14ac:dyDescent="0.2">
      <c r="A262" s="132" t="s">
        <v>328</v>
      </c>
      <c r="B262" s="129">
        <v>2016</v>
      </c>
      <c r="C262" s="143">
        <f>(INDEX(Production_Consumption!$AA$83:$AJ$99,MATCH('County Scaled Consumption '!$B262,Production_Consumption!$AA$83:$AA$99,0),MATCH('County Scaled Consumption '!C$2,Production_Consumption!$AA$83:$AJ$83,0)))*'CA Population'!$L262*10^6</f>
        <v>3197.1871410912509</v>
      </c>
      <c r="D262" s="143">
        <f>(INDEX(Production_Consumption!$AA$83:$AJ$99,MATCH('County Scaled Consumption '!$B262,Production_Consumption!$AA$83:$AA$99,0),MATCH('County Scaled Consumption '!D$2,Production_Consumption!$AA$83:$AJ$83,0)))*'CA Population'!$L262*10^6</f>
        <v>12243.840852154242</v>
      </c>
      <c r="E262" s="143">
        <f>(INDEX(Production_Consumption!$AA$83:$AJ$99,MATCH('County Scaled Consumption '!$B262,Production_Consumption!$AA$83:$AA$99,0),MATCH('County Scaled Consumption '!E$2,Production_Consumption!$AA$83:$AJ$83,0)))*'CA Population'!$L262*10^6</f>
        <v>6404.4583425245228</v>
      </c>
      <c r="F262" s="143">
        <f>(INDEX(Production_Consumption!$AA$83:$AJ$99,MATCH('County Scaled Consumption '!$B262,Production_Consumption!$AA$83:$AA$99,0),MATCH('County Scaled Consumption '!F$2,Production_Consumption!$AA$83:$AJ$83,0)))*'CA Population'!$L262*10^6</f>
        <v>2228.0578657867786</v>
      </c>
      <c r="G262" s="143">
        <f>(INDEX(Production_Consumption!$AA$83:$AJ$99,MATCH('County Scaled Consumption '!$B262,Production_Consumption!$AA$83:$AA$99,0),MATCH('County Scaled Consumption '!G$2,Production_Consumption!$AA$83:$AJ$83,0)))*'CA Population'!$L262*10^6</f>
        <v>8342.9804694341747</v>
      </c>
      <c r="H262" s="143">
        <f>(INDEX(Production_Consumption!$AA$83:$AJ$99,MATCH('County Scaled Consumption '!$B262,Production_Consumption!$AA$83:$AA$99,0),MATCH('County Scaled Consumption '!H$2,Production_Consumption!$AA$83:$AJ$83,0)))*'CA Population'!$L262*10^6</f>
        <v>228.77781346021732</v>
      </c>
      <c r="I262" s="143">
        <f>(INDEX(Production_Consumption!$AA$83:$AJ$99,MATCH('County Scaled Consumption '!$B262,Production_Consumption!$AA$83:$AA$99,0),MATCH('County Scaled Consumption '!I$2,Production_Consumption!$AA$83:$AJ$83,0)))*'CA Population'!$L262*10^6</f>
        <v>4561.8989946334104</v>
      </c>
      <c r="J262" s="143">
        <f>(INDEX(Production_Consumption!$AA$83:$AJ$99,MATCH('County Scaled Consumption '!$B262,Production_Consumption!$AA$83:$AA$99,0),MATCH('County Scaled Consumption '!J$2,Production_Consumption!$AA$83:$AJ$83,0)))*'CA Population'!$L262*10^6</f>
        <v>2807.2418912375356</v>
      </c>
      <c r="K262" s="143">
        <f>(INDEX(Production_Consumption!$AA$83:$AJ$99,MATCH('County Scaled Consumption '!$B262,Production_Consumption!$AA$83:$AA$99,0),MATCH('County Scaled Consumption '!K$2,Production_Consumption!$AA$83:$AJ$83,0)))*'CA Population'!$L262*10^6</f>
        <v>40014.443370322129</v>
      </c>
      <c r="L262" s="131">
        <f t="shared" si="4"/>
        <v>0</v>
      </c>
    </row>
    <row r="263" spans="1:12" x14ac:dyDescent="0.2">
      <c r="A263" s="132" t="s">
        <v>329</v>
      </c>
      <c r="B263" s="129">
        <v>2016</v>
      </c>
      <c r="C263" s="143">
        <f>(INDEX(Production_Consumption!$AA$83:$AJ$99,MATCH('County Scaled Consumption '!$B263,Production_Consumption!$AA$83:$AA$99,0),MATCH('County Scaled Consumption '!C$2,Production_Consumption!$AA$83:$AJ$83,0)))*'CA Population'!$L263*10^6</f>
        <v>113.84565430709047</v>
      </c>
      <c r="D263" s="143">
        <f>(INDEX(Production_Consumption!$AA$83:$AJ$99,MATCH('County Scaled Consumption '!$B263,Production_Consumption!$AA$83:$AA$99,0),MATCH('County Scaled Consumption '!D$2,Production_Consumption!$AA$83:$AJ$83,0)))*'CA Population'!$L263*10^6</f>
        <v>435.97950683913388</v>
      </c>
      <c r="E263" s="143">
        <f>(INDEX(Production_Consumption!$AA$83:$AJ$99,MATCH('County Scaled Consumption '!$B263,Production_Consumption!$AA$83:$AA$99,0),MATCH('County Scaled Consumption '!E$2,Production_Consumption!$AA$83:$AJ$83,0)))*'CA Population'!$L263*10^6</f>
        <v>228.05038251165627</v>
      </c>
      <c r="F263" s="143">
        <f>(INDEX(Production_Consumption!$AA$83:$AJ$99,MATCH('County Scaled Consumption '!$B263,Production_Consumption!$AA$83:$AA$99,0),MATCH('County Scaled Consumption '!F$2,Production_Consumption!$AA$83:$AJ$83,0)))*'CA Population'!$L263*10^6</f>
        <v>79.3368340265434</v>
      </c>
      <c r="G263" s="143">
        <f>(INDEX(Production_Consumption!$AA$83:$AJ$99,MATCH('County Scaled Consumption '!$B263,Production_Consumption!$AA$83:$AA$99,0),MATCH('County Scaled Consumption '!G$2,Production_Consumption!$AA$83:$AJ$83,0)))*'CA Population'!$L263*10^6</f>
        <v>297.07740851535658</v>
      </c>
      <c r="H263" s="143">
        <f>(INDEX(Production_Consumption!$AA$83:$AJ$99,MATCH('County Scaled Consumption '!$B263,Production_Consumption!$AA$83:$AA$99,0),MATCH('County Scaled Consumption '!H$2,Production_Consumption!$AA$83:$AJ$83,0)))*'CA Population'!$L263*10^6</f>
        <v>8.1463357366795339</v>
      </c>
      <c r="I263" s="143">
        <f>(INDEX(Production_Consumption!$AA$83:$AJ$99,MATCH('County Scaled Consumption '!$B263,Production_Consumption!$AA$83:$AA$99,0),MATCH('County Scaled Consumption '!I$2,Production_Consumption!$AA$83:$AJ$83,0)))*'CA Population'!$L263*10^6</f>
        <v>162.44040558402708</v>
      </c>
      <c r="J263" s="143">
        <f>(INDEX(Production_Consumption!$AA$83:$AJ$99,MATCH('County Scaled Consumption '!$B263,Production_Consumption!$AA$83:$AA$99,0),MATCH('County Scaled Consumption '!J$2,Production_Consumption!$AA$83:$AJ$83,0)))*'CA Population'!$L263*10^6</f>
        <v>99.960457678160623</v>
      </c>
      <c r="K263" s="143">
        <f>(INDEX(Production_Consumption!$AA$83:$AJ$99,MATCH('County Scaled Consumption '!$B263,Production_Consumption!$AA$83:$AA$99,0),MATCH('County Scaled Consumption '!K$2,Production_Consumption!$AA$83:$AJ$83,0)))*'CA Population'!$L263*10^6</f>
        <v>1424.8369851986479</v>
      </c>
      <c r="L263" s="131">
        <f t="shared" si="4"/>
        <v>0</v>
      </c>
    </row>
    <row r="264" spans="1:12" x14ac:dyDescent="0.2">
      <c r="A264" s="132" t="s">
        <v>330</v>
      </c>
      <c r="B264" s="129">
        <v>2016</v>
      </c>
      <c r="C264" s="143">
        <f>(INDEX(Production_Consumption!$AA$83:$AJ$99,MATCH('County Scaled Consumption '!$B264,Production_Consumption!$AA$83:$AA$99,0),MATCH('County Scaled Consumption '!C$2,Production_Consumption!$AA$83:$AJ$83,0)))*'CA Population'!$L264*10^6</f>
        <v>160.32533656627035</v>
      </c>
      <c r="D264" s="143">
        <f>(INDEX(Production_Consumption!$AA$83:$AJ$99,MATCH('County Scaled Consumption '!$B264,Production_Consumption!$AA$83:$AA$99,0),MATCH('County Scaled Consumption '!D$2,Production_Consumption!$AA$83:$AJ$83,0)))*'CA Population'!$L264*10^6</f>
        <v>613.97654214744432</v>
      </c>
      <c r="E264" s="143">
        <f>(INDEX(Production_Consumption!$AA$83:$AJ$99,MATCH('County Scaled Consumption '!$B264,Production_Consumption!$AA$83:$AA$99,0),MATCH('County Scaled Consumption '!E$2,Production_Consumption!$AA$83:$AJ$83,0)))*'CA Population'!$L264*10^6</f>
        <v>321.15634586827474</v>
      </c>
      <c r="F264" s="143">
        <f>(INDEX(Production_Consumption!$AA$83:$AJ$99,MATCH('County Scaled Consumption '!$B264,Production_Consumption!$AA$83:$AA$99,0),MATCH('County Scaled Consumption '!F$2,Production_Consumption!$AA$83:$AJ$83,0)))*'CA Population'!$L264*10^6</f>
        <v>111.72762539620012</v>
      </c>
      <c r="G264" s="143">
        <f>(INDEX(Production_Consumption!$AA$83:$AJ$99,MATCH('County Scaled Consumption '!$B264,Production_Consumption!$AA$83:$AA$99,0),MATCH('County Scaled Consumption '!G$2,Production_Consumption!$AA$83:$AJ$83,0)))*'CA Population'!$L264*10^6</f>
        <v>418.36498543882959</v>
      </c>
      <c r="H264" s="143">
        <f>(INDEX(Production_Consumption!$AA$83:$AJ$99,MATCH('County Scaled Consumption '!$B264,Production_Consumption!$AA$83:$AA$99,0),MATCH('County Scaled Consumption '!H$2,Production_Consumption!$AA$83:$AJ$83,0)))*'CA Population'!$L264*10^6</f>
        <v>11.472234286975667</v>
      </c>
      <c r="I264" s="143">
        <f>(INDEX(Production_Consumption!$AA$83:$AJ$99,MATCH('County Scaled Consumption '!$B264,Production_Consumption!$AA$83:$AA$99,0),MATCH('County Scaled Consumption '!I$2,Production_Consumption!$AA$83:$AJ$83,0)))*'CA Population'!$L264*10^6</f>
        <v>228.75983150811044</v>
      </c>
      <c r="J264" s="143">
        <f>(INDEX(Production_Consumption!$AA$83:$AJ$99,MATCH('County Scaled Consumption '!$B264,Production_Consumption!$AA$83:$AA$99,0),MATCH('County Scaled Consumption '!J$2,Production_Consumption!$AA$83:$AJ$83,0)))*'CA Population'!$L264*10^6</f>
        <v>140.77124083577243</v>
      </c>
      <c r="K264" s="143">
        <f>(INDEX(Production_Consumption!$AA$83:$AJ$99,MATCH('County Scaled Consumption '!$B264,Production_Consumption!$AA$83:$AA$99,0),MATCH('County Scaled Consumption '!K$2,Production_Consumption!$AA$83:$AJ$83,0)))*'CA Population'!$L264*10^6</f>
        <v>2006.5541420478776</v>
      </c>
      <c r="L264" s="131">
        <f t="shared" si="4"/>
        <v>0</v>
      </c>
    </row>
    <row r="265" spans="1:12" x14ac:dyDescent="0.2">
      <c r="A265" s="132" t="s">
        <v>331</v>
      </c>
      <c r="B265" s="129">
        <v>2016</v>
      </c>
      <c r="C265" s="143">
        <f>(INDEX(Production_Consumption!$AA$83:$AJ$99,MATCH('County Scaled Consumption '!$B265,Production_Consumption!$AA$83:$AA$99,0),MATCH('County Scaled Consumption '!C$2,Production_Consumption!$AA$83:$AJ$83,0)))*'CA Population'!$L265*10^6</f>
        <v>5146.8856295066662</v>
      </c>
      <c r="D265" s="143">
        <f>(INDEX(Production_Consumption!$AA$83:$AJ$99,MATCH('County Scaled Consumption '!$B265,Production_Consumption!$AA$83:$AA$99,0),MATCH('County Scaled Consumption '!D$2,Production_Consumption!$AA$83:$AJ$83,0)))*'CA Population'!$L265*10^6</f>
        <v>19710.340918739712</v>
      </c>
      <c r="E265" s="143">
        <f>(INDEX(Production_Consumption!$AA$83:$AJ$99,MATCH('County Scaled Consumption '!$B265,Production_Consumption!$AA$83:$AA$99,0),MATCH('County Scaled Consumption '!E$2,Production_Consumption!$AA$83:$AJ$83,0)))*'CA Population'!$L265*10^6</f>
        <v>10310.004748944019</v>
      </c>
      <c r="F265" s="143">
        <f>(INDEX(Production_Consumption!$AA$83:$AJ$99,MATCH('County Scaled Consumption '!$B265,Production_Consumption!$AA$83:$AA$99,0),MATCH('County Scaled Consumption '!F$2,Production_Consumption!$AA$83:$AJ$83,0)))*'CA Population'!$L265*10^6</f>
        <v>3586.7650234615926</v>
      </c>
      <c r="G265" s="143">
        <f>(INDEX(Production_Consumption!$AA$83:$AJ$99,MATCH('County Scaled Consumption '!$B265,Production_Consumption!$AA$83:$AA$99,0),MATCH('County Scaled Consumption '!G$2,Production_Consumption!$AA$83:$AJ$83,0)))*'CA Population'!$L265*10^6</f>
        <v>13430.670270595829</v>
      </c>
      <c r="H265" s="143">
        <f>(INDEX(Production_Consumption!$AA$83:$AJ$99,MATCH('County Scaled Consumption '!$B265,Production_Consumption!$AA$83:$AA$99,0),MATCH('County Scaled Consumption '!H$2,Production_Consumption!$AA$83:$AJ$83,0)))*'CA Population'!$L265*10^6</f>
        <v>368.29037165664687</v>
      </c>
      <c r="I265" s="143">
        <f>(INDEX(Production_Consumption!$AA$83:$AJ$99,MATCH('County Scaled Consumption '!$B265,Production_Consumption!$AA$83:$AA$99,0),MATCH('County Scaled Consumption '!I$2,Production_Consumption!$AA$83:$AJ$83,0)))*'CA Population'!$L265*10^6</f>
        <v>7343.821722842803</v>
      </c>
      <c r="J265" s="143">
        <f>(INDEX(Production_Consumption!$AA$83:$AJ$99,MATCH('County Scaled Consumption '!$B265,Production_Consumption!$AA$83:$AA$99,0),MATCH('County Scaled Consumption '!J$2,Production_Consumption!$AA$83:$AJ$83,0)))*'CA Population'!$L265*10^6</f>
        <v>4519.1452082557998</v>
      </c>
      <c r="K265" s="143">
        <f>(INDEX(Production_Consumption!$AA$83:$AJ$99,MATCH('County Scaled Consumption '!$B265,Production_Consumption!$AA$83:$AA$99,0),MATCH('County Scaled Consumption '!K$2,Production_Consumption!$AA$83:$AJ$83,0)))*'CA Population'!$L265*10^6</f>
        <v>64415.923894003063</v>
      </c>
      <c r="L265" s="131">
        <f t="shared" si="4"/>
        <v>0</v>
      </c>
    </row>
    <row r="266" spans="1:12" x14ac:dyDescent="0.2">
      <c r="A266" s="132" t="s">
        <v>332</v>
      </c>
      <c r="B266" s="129">
        <v>2016</v>
      </c>
      <c r="C266" s="143">
        <f>(INDEX(Production_Consumption!$AA$83:$AJ$99,MATCH('County Scaled Consumption '!$B266,Production_Consumption!$AA$83:$AA$99,0),MATCH('County Scaled Consumption '!C$2,Production_Consumption!$AA$83:$AJ$83,0)))*'CA Population'!$L266*10^6</f>
        <v>1673.8599058884806</v>
      </c>
      <c r="D266" s="143">
        <f>(INDEX(Production_Consumption!$AA$83:$AJ$99,MATCH('County Scaled Consumption '!$B266,Production_Consumption!$AA$83:$AA$99,0),MATCH('County Scaled Consumption '!D$2,Production_Consumption!$AA$83:$AJ$83,0)))*'CA Population'!$L266*10^6</f>
        <v>6410.1578644237088</v>
      </c>
      <c r="E266" s="143">
        <f>(INDEX(Production_Consumption!$AA$83:$AJ$99,MATCH('County Scaled Consumption '!$B266,Production_Consumption!$AA$83:$AA$99,0),MATCH('County Scaled Consumption '!E$2,Production_Consumption!$AA$83:$AJ$83,0)))*'CA Population'!$L266*10^6</f>
        <v>3352.9992350794423</v>
      </c>
      <c r="F266" s="143">
        <f>(INDEX(Production_Consumption!$AA$83:$AJ$99,MATCH('County Scaled Consumption '!$B266,Production_Consumption!$AA$83:$AA$99,0),MATCH('County Scaled Consumption '!F$2,Production_Consumption!$AA$83:$AJ$83,0)))*'CA Population'!$L266*10^6</f>
        <v>1166.4805858899531</v>
      </c>
      <c r="G266" s="143">
        <f>(INDEX(Production_Consumption!$AA$83:$AJ$99,MATCH('County Scaled Consumption '!$B266,Production_Consumption!$AA$83:$AA$99,0),MATCH('County Scaled Consumption '!G$2,Production_Consumption!$AA$83:$AJ$83,0)))*'CA Population'!$L266*10^6</f>
        <v>4367.8958681880749</v>
      </c>
      <c r="H266" s="143">
        <f>(INDEX(Production_Consumption!$AA$83:$AJ$99,MATCH('County Scaled Consumption '!$B266,Production_Consumption!$AA$83:$AA$99,0),MATCH('County Scaled Consumption '!H$2,Production_Consumption!$AA$83:$AJ$83,0)))*'CA Population'!$L266*10^6</f>
        <v>119.77466204158056</v>
      </c>
      <c r="I266" s="143">
        <f>(INDEX(Production_Consumption!$AA$83:$AJ$99,MATCH('County Scaled Consumption '!$B266,Production_Consumption!$AA$83:$AA$99,0),MATCH('County Scaled Consumption '!I$2,Production_Consumption!$AA$83:$AJ$83,0)))*'CA Population'!$L266*10^6</f>
        <v>2388.3430918665435</v>
      </c>
      <c r="J266" s="143">
        <f>(INDEX(Production_Consumption!$AA$83:$AJ$99,MATCH('County Scaled Consumption '!$B266,Production_Consumption!$AA$83:$AA$99,0),MATCH('County Scaled Consumption '!J$2,Production_Consumption!$AA$83:$AJ$83,0)))*'CA Population'!$L266*10^6</f>
        <v>1469.7074148337911</v>
      </c>
      <c r="K266" s="143">
        <f>(INDEX(Production_Consumption!$AA$83:$AJ$99,MATCH('County Scaled Consumption '!$B266,Production_Consumption!$AA$83:$AA$99,0),MATCH('County Scaled Consumption '!K$2,Production_Consumption!$AA$83:$AJ$83,0)))*'CA Population'!$L266*10^6</f>
        <v>20949.218628211576</v>
      </c>
      <c r="L266" s="131">
        <f t="shared" si="4"/>
        <v>0</v>
      </c>
    </row>
    <row r="267" spans="1:12" x14ac:dyDescent="0.2">
      <c r="A267" s="132" t="s">
        <v>333</v>
      </c>
      <c r="B267" s="129">
        <v>2016</v>
      </c>
      <c r="C267" s="143">
        <f>(INDEX(Production_Consumption!$AA$83:$AJ$99,MATCH('County Scaled Consumption '!$B267,Production_Consumption!$AA$83:$AA$99,0),MATCH('County Scaled Consumption '!C$2,Production_Consumption!$AA$83:$AJ$83,0)))*'CA Population'!$L267*10^6</f>
        <v>1160.7975404723275</v>
      </c>
      <c r="D267" s="143">
        <f>(INDEX(Production_Consumption!$AA$83:$AJ$99,MATCH('County Scaled Consumption '!$B267,Production_Consumption!$AA$83:$AA$99,0),MATCH('County Scaled Consumption '!D$2,Production_Consumption!$AA$83:$AJ$83,0)))*'CA Population'!$L267*10^6</f>
        <v>4445.3514041922044</v>
      </c>
      <c r="E267" s="143">
        <f>(INDEX(Production_Consumption!$AA$83:$AJ$99,MATCH('County Scaled Consumption '!$B267,Production_Consumption!$AA$83:$AA$99,0),MATCH('County Scaled Consumption '!E$2,Production_Consumption!$AA$83:$AJ$83,0)))*'CA Population'!$L267*10^6</f>
        <v>2325.256284348281</v>
      </c>
      <c r="F267" s="143">
        <f>(INDEX(Production_Consumption!$AA$83:$AJ$99,MATCH('County Scaled Consumption '!$B267,Production_Consumption!$AA$83:$AA$99,0),MATCH('County Scaled Consumption '!F$2,Production_Consumption!$AA$83:$AJ$83,0)))*'CA Population'!$L267*10^6</f>
        <v>808.93734914514948</v>
      </c>
      <c r="G267" s="143">
        <f>(INDEX(Production_Consumption!$AA$83:$AJ$99,MATCH('County Scaled Consumption '!$B267,Production_Consumption!$AA$83:$AA$99,0),MATCH('County Scaled Consumption '!G$2,Production_Consumption!$AA$83:$AJ$83,0)))*'CA Population'!$L267*10^6</f>
        <v>3029.0723632218719</v>
      </c>
      <c r="H267" s="143">
        <f>(INDEX(Production_Consumption!$AA$83:$AJ$99,MATCH('County Scaled Consumption '!$B267,Production_Consumption!$AA$83:$AA$99,0),MATCH('County Scaled Consumption '!H$2,Production_Consumption!$AA$83:$AJ$83,0)))*'CA Population'!$L267*10^6</f>
        <v>83.061989010945325</v>
      </c>
      <c r="I267" s="143">
        <f>(INDEX(Production_Consumption!$AA$83:$AJ$99,MATCH('County Scaled Consumption '!$B267,Production_Consumption!$AA$83:$AA$99,0),MATCH('County Scaled Consumption '!I$2,Production_Consumption!$AA$83:$AJ$83,0)))*'CA Population'!$L267*10^6</f>
        <v>1656.2812557310071</v>
      </c>
      <c r="J267" s="143">
        <f>(INDEX(Production_Consumption!$AA$83:$AJ$99,MATCH('County Scaled Consumption '!$B267,Production_Consumption!$AA$83:$AA$99,0),MATCH('County Scaled Consumption '!J$2,Production_Consumption!$AA$83:$AJ$83,0)))*'CA Population'!$L267*10^6</f>
        <v>1019.2207521975679</v>
      </c>
      <c r="K267" s="143">
        <f>(INDEX(Production_Consumption!$AA$83:$AJ$99,MATCH('County Scaled Consumption '!$B267,Production_Consumption!$AA$83:$AA$99,0),MATCH('County Scaled Consumption '!K$2,Production_Consumption!$AA$83:$AJ$83,0)))*'CA Population'!$L267*10^6</f>
        <v>14527.978938319353</v>
      </c>
      <c r="L267" s="131">
        <f t="shared" si="4"/>
        <v>0</v>
      </c>
    </row>
    <row r="268" spans="1:12" x14ac:dyDescent="0.2">
      <c r="A268" s="132" t="s">
        <v>334</v>
      </c>
      <c r="B268" s="129">
        <v>2016</v>
      </c>
      <c r="C268" s="143">
        <f>(INDEX(Production_Consumption!$AA$83:$AJ$99,MATCH('County Scaled Consumption '!$B268,Production_Consumption!$AA$83:$AA$99,0),MATCH('County Scaled Consumption '!C$2,Production_Consumption!$AA$83:$AJ$83,0)))*'CA Population'!$L268*10^6</f>
        <v>37377.718649260649</v>
      </c>
      <c r="D268" s="143">
        <f>(INDEX(Production_Consumption!$AA$83:$AJ$99,MATCH('County Scaled Consumption '!$B268,Production_Consumption!$AA$83:$AA$99,0),MATCH('County Scaled Consumption '!D$2,Production_Consumption!$AA$83:$AJ$83,0)))*'CA Population'!$L268*10^6</f>
        <v>143140.46014896172</v>
      </c>
      <c r="E268" s="143">
        <f>(INDEX(Production_Consumption!$AA$83:$AJ$99,MATCH('County Scaled Consumption '!$B268,Production_Consumption!$AA$83:$AA$99,0),MATCH('County Scaled Consumption '!E$2,Production_Consumption!$AA$83:$AJ$83,0)))*'CA Population'!$L268*10^6</f>
        <v>74873.328167486063</v>
      </c>
      <c r="F268" s="143">
        <f>(INDEX(Production_Consumption!$AA$83:$AJ$99,MATCH('County Scaled Consumption '!$B268,Production_Consumption!$AA$83:$AA$99,0),MATCH('County Scaled Consumption '!F$2,Production_Consumption!$AA$83:$AJ$83,0)))*'CA Population'!$L268*10^6</f>
        <v>26047.809016655079</v>
      </c>
      <c r="G268" s="143">
        <f>(INDEX(Production_Consumption!$AA$83:$AJ$99,MATCH('County Scaled Consumption '!$B268,Production_Consumption!$AA$83:$AA$99,0),MATCH('County Scaled Consumption '!G$2,Production_Consumption!$AA$83:$AJ$83,0)))*'CA Population'!$L268*10^6</f>
        <v>97536.228854076602</v>
      </c>
      <c r="H268" s="143">
        <f>(INDEX(Production_Consumption!$AA$83:$AJ$99,MATCH('County Scaled Consumption '!$B268,Production_Consumption!$AA$83:$AA$99,0),MATCH('County Scaled Consumption '!H$2,Production_Consumption!$AA$83:$AJ$83,0)))*'CA Population'!$L268*10^6</f>
        <v>2674.5987542632183</v>
      </c>
      <c r="I268" s="143">
        <f>(INDEX(Production_Consumption!$AA$83:$AJ$99,MATCH('County Scaled Consumption '!$B268,Production_Consumption!$AA$83:$AA$99,0),MATCH('County Scaled Consumption '!I$2,Production_Consumption!$AA$83:$AJ$83,0)))*'CA Population'!$L268*10^6</f>
        <v>53332.310435088802</v>
      </c>
      <c r="J268" s="143">
        <f>(INDEX(Production_Consumption!$AA$83:$AJ$99,MATCH('County Scaled Consumption '!$B268,Production_Consumption!$AA$83:$AA$99,0),MATCH('County Scaled Consumption '!J$2,Production_Consumption!$AA$83:$AJ$83,0)))*'CA Population'!$L268*10^6</f>
        <v>32818.941450915903</v>
      </c>
      <c r="K268" s="143">
        <f>(INDEX(Production_Consumption!$AA$83:$AJ$99,MATCH('County Scaled Consumption '!$B268,Production_Consumption!$AA$83:$AA$99,0),MATCH('County Scaled Consumption '!K$2,Production_Consumption!$AA$83:$AJ$83,0)))*'CA Population'!$L268*10^6</f>
        <v>467801.39547670807</v>
      </c>
      <c r="L268" s="131">
        <f t="shared" si="4"/>
        <v>0</v>
      </c>
    </row>
    <row r="269" spans="1:12" x14ac:dyDescent="0.2">
      <c r="A269" s="132" t="s">
        <v>335</v>
      </c>
      <c r="B269" s="129">
        <v>2016</v>
      </c>
      <c r="C269" s="143">
        <f>(INDEX(Production_Consumption!$AA$83:$AJ$99,MATCH('County Scaled Consumption '!$B269,Production_Consumption!$AA$83:$AA$99,0),MATCH('County Scaled Consumption '!C$2,Production_Consumption!$AA$83:$AJ$83,0)))*'CA Population'!$L269*10^6</f>
        <v>4450.5419317824944</v>
      </c>
      <c r="D269" s="143">
        <f>(INDEX(Production_Consumption!$AA$83:$AJ$99,MATCH('County Scaled Consumption '!$B269,Production_Consumption!$AA$83:$AA$99,0),MATCH('County Scaled Consumption '!D$2,Production_Consumption!$AA$83:$AJ$83,0)))*'CA Population'!$L269*10^6</f>
        <v>17043.646403502382</v>
      </c>
      <c r="E269" s="143">
        <f>(INDEX(Production_Consumption!$AA$83:$AJ$99,MATCH('County Scaled Consumption '!$B269,Production_Consumption!$AA$83:$AA$99,0),MATCH('County Scaled Consumption '!E$2,Production_Consumption!$AA$83:$AJ$83,0)))*'CA Population'!$L269*10^6</f>
        <v>8915.1210567020389</v>
      </c>
      <c r="F269" s="143">
        <f>(INDEX(Production_Consumption!$AA$83:$AJ$99,MATCH('County Scaled Consumption '!$B269,Production_Consumption!$AA$83:$AA$99,0),MATCH('County Scaled Consumption '!F$2,Production_Consumption!$AA$83:$AJ$83,0)))*'CA Population'!$L269*10^6</f>
        <v>3101.4965719952697</v>
      </c>
      <c r="G269" s="143">
        <f>(INDEX(Production_Consumption!$AA$83:$AJ$99,MATCH('County Scaled Consumption '!$B269,Production_Consumption!$AA$83:$AA$99,0),MATCH('County Scaled Consumption '!G$2,Production_Consumption!$AA$83:$AJ$83,0)))*'CA Population'!$L269*10^6</f>
        <v>11613.57867922172</v>
      </c>
      <c r="H269" s="143">
        <f>(INDEX(Production_Consumption!$AA$83:$AJ$99,MATCH('County Scaled Consumption '!$B269,Production_Consumption!$AA$83:$AA$99,0),MATCH('County Scaled Consumption '!H$2,Production_Consumption!$AA$83:$AJ$83,0)))*'CA Population'!$L269*10^6</f>
        <v>318.46282589472941</v>
      </c>
      <c r="I269" s="143">
        <f>(INDEX(Production_Consumption!$AA$83:$AJ$99,MATCH('County Scaled Consumption '!$B269,Production_Consumption!$AA$83:$AA$99,0),MATCH('County Scaled Consumption '!I$2,Production_Consumption!$AA$83:$AJ$83,0)))*'CA Population'!$L269*10^6</f>
        <v>6350.2453463648944</v>
      </c>
      <c r="J269" s="143">
        <f>(INDEX(Production_Consumption!$AA$83:$AJ$99,MATCH('County Scaled Consumption '!$B269,Production_Consumption!$AA$83:$AA$99,0),MATCH('County Scaled Consumption '!J$2,Production_Consumption!$AA$83:$AJ$83,0)))*'CA Population'!$L269*10^6</f>
        <v>3907.7311393616856</v>
      </c>
      <c r="K269" s="143">
        <f>(INDEX(Production_Consumption!$AA$83:$AJ$99,MATCH('County Scaled Consumption '!$B269,Production_Consumption!$AA$83:$AA$99,0),MATCH('County Scaled Consumption '!K$2,Production_Consumption!$AA$83:$AJ$83,0)))*'CA Population'!$L269*10^6</f>
        <v>55700.823954825217</v>
      </c>
      <c r="L269" s="131">
        <f t="shared" si="4"/>
        <v>0</v>
      </c>
    </row>
    <row r="270" spans="1:12" x14ac:dyDescent="0.2">
      <c r="A270" s="132" t="s">
        <v>336</v>
      </c>
      <c r="B270" s="129">
        <v>2016</v>
      </c>
      <c r="C270" s="143">
        <f>(INDEX(Production_Consumption!$AA$83:$AJ$99,MATCH('County Scaled Consumption '!$B270,Production_Consumption!$AA$83:$AA$99,0),MATCH('County Scaled Consumption '!C$2,Production_Consumption!$AA$83:$AJ$83,0)))*'CA Population'!$L270*10^6</f>
        <v>214.27961403863134</v>
      </c>
      <c r="D270" s="143">
        <f>(INDEX(Production_Consumption!$AA$83:$AJ$99,MATCH('County Scaled Consumption '!$B270,Production_Consumption!$AA$83:$AA$99,0),MATCH('County Scaled Consumption '!D$2,Production_Consumption!$AA$83:$AJ$83,0)))*'CA Population'!$L270*10^6</f>
        <v>820.59803707785454</v>
      </c>
      <c r="E270" s="143">
        <f>(INDEX(Production_Consumption!$AA$83:$AJ$99,MATCH('County Scaled Consumption '!$B270,Production_Consumption!$AA$83:$AA$99,0),MATCH('County Scaled Consumption '!E$2,Production_Consumption!$AA$83:$AJ$83,0)))*'CA Population'!$L270*10^6</f>
        <v>429.2350748333875</v>
      </c>
      <c r="F270" s="143">
        <f>(INDEX(Production_Consumption!$AA$83:$AJ$99,MATCH('County Scaled Consumption '!$B270,Production_Consumption!$AA$83:$AA$99,0),MATCH('County Scaled Consumption '!F$2,Production_Consumption!$AA$83:$AJ$83,0)))*'CA Population'!$L270*10^6</f>
        <v>149.32731756626981</v>
      </c>
      <c r="G270" s="143">
        <f>(INDEX(Production_Consumption!$AA$83:$AJ$99,MATCH('County Scaled Consumption '!$B270,Production_Consumption!$AA$83:$AA$99,0),MATCH('County Scaled Consumption '!G$2,Production_Consumption!$AA$83:$AJ$83,0)))*'CA Population'!$L270*10^6</f>
        <v>559.15733300241334</v>
      </c>
      <c r="H270" s="143">
        <f>(INDEX(Production_Consumption!$AA$83:$AJ$99,MATCH('County Scaled Consumption '!$B270,Production_Consumption!$AA$83:$AA$99,0),MATCH('County Scaled Consumption '!H$2,Production_Consumption!$AA$83:$AJ$83,0)))*'CA Population'!$L270*10^6</f>
        <v>15.332984716098045</v>
      </c>
      <c r="I270" s="143">
        <f>(INDEX(Production_Consumption!$AA$83:$AJ$99,MATCH('County Scaled Consumption '!$B270,Production_Consumption!$AA$83:$AA$99,0),MATCH('County Scaled Consumption '!I$2,Production_Consumption!$AA$83:$AJ$83,0)))*'CA Population'!$L270*10^6</f>
        <v>305.74436613041792</v>
      </c>
      <c r="J270" s="143">
        <f>(INDEX(Production_Consumption!$AA$83:$AJ$99,MATCH('County Scaled Consumption '!$B270,Production_Consumption!$AA$83:$AA$99,0),MATCH('County Scaled Consumption '!J$2,Production_Consumption!$AA$83:$AJ$83,0)))*'CA Population'!$L270*10^6</f>
        <v>188.14497945282716</v>
      </c>
      <c r="K270" s="143">
        <f>(INDEX(Production_Consumption!$AA$83:$AJ$99,MATCH('County Scaled Consumption '!$B270,Production_Consumption!$AA$83:$AA$99,0),MATCH('County Scaled Consumption '!K$2,Production_Consumption!$AA$83:$AJ$83,0)))*'CA Population'!$L270*10^6</f>
        <v>2681.8197068178997</v>
      </c>
      <c r="L270" s="131">
        <f t="shared" si="4"/>
        <v>0</v>
      </c>
    </row>
    <row r="271" spans="1:12" x14ac:dyDescent="0.2">
      <c r="A271" s="132" t="s">
        <v>337</v>
      </c>
      <c r="B271" s="129">
        <v>2016</v>
      </c>
      <c r="C271" s="143">
        <f>(INDEX(Production_Consumption!$AA$83:$AJ$99,MATCH('County Scaled Consumption '!$B271,Production_Consumption!$AA$83:$AA$99,0),MATCH('County Scaled Consumption '!C$2,Production_Consumption!$AA$83:$AJ$83,0)))*'CA Population'!$L271*10^6</f>
        <v>27705.817154336364</v>
      </c>
      <c r="D271" s="143">
        <f>(INDEX(Production_Consumption!$AA$83:$AJ$99,MATCH('County Scaled Consumption '!$B271,Production_Consumption!$AA$83:$AA$99,0),MATCH('County Scaled Consumption '!D$2,Production_Consumption!$AA$83:$AJ$83,0)))*'CA Population'!$L271*10^6</f>
        <v>106101.26994342792</v>
      </c>
      <c r="E271" s="143">
        <f>(INDEX(Production_Consumption!$AA$83:$AJ$99,MATCH('County Scaled Consumption '!$B271,Production_Consumption!$AA$83:$AA$99,0),MATCH('County Scaled Consumption '!E$2,Production_Consumption!$AA$83:$AJ$83,0)))*'CA Population'!$L271*10^6</f>
        <v>55499.019600706015</v>
      </c>
      <c r="F271" s="143">
        <f>(INDEX(Production_Consumption!$AA$83:$AJ$99,MATCH('County Scaled Consumption '!$B271,Production_Consumption!$AA$83:$AA$99,0),MATCH('County Scaled Consumption '!F$2,Production_Consumption!$AA$83:$AJ$83,0)))*'CA Population'!$L271*10^6</f>
        <v>19307.647977621949</v>
      </c>
      <c r="G271" s="143">
        <f>(INDEX(Production_Consumption!$AA$83:$AJ$99,MATCH('County Scaled Consumption '!$B271,Production_Consumption!$AA$83:$AA$99,0),MATCH('County Scaled Consumption '!G$2,Production_Consumption!$AA$83:$AJ$83,0)))*'CA Population'!$L271*10^6</f>
        <v>72297.642023371765</v>
      </c>
      <c r="H271" s="143">
        <f>(INDEX(Production_Consumption!$AA$83:$AJ$99,MATCH('County Scaled Consumption '!$B271,Production_Consumption!$AA$83:$AA$99,0),MATCH('County Scaled Consumption '!H$2,Production_Consumption!$AA$83:$AJ$83,0)))*'CA Population'!$L271*10^6</f>
        <v>1982.5165024698024</v>
      </c>
      <c r="I271" s="143">
        <f>(INDEX(Production_Consumption!$AA$83:$AJ$99,MATCH('County Scaled Consumption '!$B271,Production_Consumption!$AA$83:$AA$99,0),MATCH('County Scaled Consumption '!I$2,Production_Consumption!$AA$83:$AJ$83,0)))*'CA Population'!$L271*10^6</f>
        <v>39531.980407854644</v>
      </c>
      <c r="J271" s="143">
        <f>(INDEX(Production_Consumption!$AA$83:$AJ$99,MATCH('County Scaled Consumption '!$B271,Production_Consumption!$AA$83:$AA$99,0),MATCH('County Scaled Consumption '!J$2,Production_Consumption!$AA$83:$AJ$83,0)))*'CA Population'!$L271*10^6</f>
        <v>24326.674390437485</v>
      </c>
      <c r="K271" s="143">
        <f>(INDEX(Production_Consumption!$AA$83:$AJ$99,MATCH('County Scaled Consumption '!$B271,Production_Consumption!$AA$83:$AA$99,0),MATCH('County Scaled Consumption '!K$2,Production_Consumption!$AA$83:$AJ$83,0)))*'CA Population'!$L271*10^6</f>
        <v>346752.56800022593</v>
      </c>
      <c r="L271" s="131">
        <f t="shared" si="4"/>
        <v>0</v>
      </c>
    </row>
    <row r="272" spans="1:12" x14ac:dyDescent="0.2">
      <c r="A272" s="132" t="s">
        <v>338</v>
      </c>
      <c r="B272" s="129">
        <v>2016</v>
      </c>
      <c r="C272" s="143">
        <f>(INDEX(Production_Consumption!$AA$83:$AJ$99,MATCH('County Scaled Consumption '!$B272,Production_Consumption!$AA$83:$AA$99,0),MATCH('County Scaled Consumption '!C$2,Production_Consumption!$AA$83:$AJ$83,0)))*'CA Population'!$L272*10^6</f>
        <v>17688.534956863772</v>
      </c>
      <c r="D272" s="143">
        <f>(INDEX(Production_Consumption!$AA$83:$AJ$99,MATCH('County Scaled Consumption '!$B272,Production_Consumption!$AA$83:$AA$99,0),MATCH('County Scaled Consumption '!D$2,Production_Consumption!$AA$83:$AJ$83,0)))*'CA Population'!$L272*10^6</f>
        <v>67739.421360767228</v>
      </c>
      <c r="E272" s="143">
        <f>(INDEX(Production_Consumption!$AA$83:$AJ$99,MATCH('County Scaled Consumption '!$B272,Production_Consumption!$AA$83:$AA$99,0),MATCH('County Scaled Consumption '!E$2,Production_Consumption!$AA$83:$AJ$83,0)))*'CA Population'!$L272*10^6</f>
        <v>35432.86028382332</v>
      </c>
      <c r="F272" s="143">
        <f>(INDEX(Production_Consumption!$AA$83:$AJ$99,MATCH('County Scaled Consumption '!$B272,Production_Consumption!$AA$83:$AA$99,0),MATCH('County Scaled Consumption '!F$2,Production_Consumption!$AA$83:$AJ$83,0)))*'CA Population'!$L272*10^6</f>
        <v>12326.797808724168</v>
      </c>
      <c r="G272" s="143">
        <f>(INDEX(Production_Consumption!$AA$83:$AJ$99,MATCH('County Scaled Consumption '!$B272,Production_Consumption!$AA$83:$AA$99,0),MATCH('County Scaled Consumption '!G$2,Production_Consumption!$AA$83:$AJ$83,0)))*'CA Population'!$L272*10^6</f>
        <v>46157.792823991025</v>
      </c>
      <c r="H272" s="143">
        <f>(INDEX(Production_Consumption!$AA$83:$AJ$99,MATCH('County Scaled Consumption '!$B272,Production_Consumption!$AA$83:$AA$99,0),MATCH('County Scaled Consumption '!H$2,Production_Consumption!$AA$83:$AJ$83,0)))*'CA Population'!$L272*10^6</f>
        <v>1265.7202009653693</v>
      </c>
      <c r="I272" s="143">
        <f>(INDEX(Production_Consumption!$AA$83:$AJ$99,MATCH('County Scaled Consumption '!$B272,Production_Consumption!$AA$83:$AA$99,0),MATCH('County Scaled Consumption '!I$2,Production_Consumption!$AA$83:$AJ$83,0)))*'CA Population'!$L272*10^6</f>
        <v>25238.844732971389</v>
      </c>
      <c r="J272" s="143">
        <f>(INDEX(Production_Consumption!$AA$83:$AJ$99,MATCH('County Scaled Consumption '!$B272,Production_Consumption!$AA$83:$AA$99,0),MATCH('County Scaled Consumption '!J$2,Production_Consumption!$AA$83:$AJ$83,0)))*'CA Population'!$L272*10^6</f>
        <v>15531.1510193861</v>
      </c>
      <c r="K272" s="143">
        <f>(INDEX(Production_Consumption!$AA$83:$AJ$99,MATCH('County Scaled Consumption '!$B272,Production_Consumption!$AA$83:$AA$99,0),MATCH('County Scaled Consumption '!K$2,Production_Consumption!$AA$83:$AJ$83,0)))*'CA Population'!$L272*10^6</f>
        <v>221381.12318749237</v>
      </c>
      <c r="L272" s="131">
        <f t="shared" si="4"/>
        <v>0</v>
      </c>
    </row>
    <row r="273" spans="1:12" x14ac:dyDescent="0.2">
      <c r="A273" s="132" t="s">
        <v>339</v>
      </c>
      <c r="B273" s="129">
        <v>2016</v>
      </c>
      <c r="C273" s="143">
        <f>(INDEX(Production_Consumption!$AA$83:$AJ$99,MATCH('County Scaled Consumption '!$B273,Production_Consumption!$AA$83:$AA$99,0),MATCH('County Scaled Consumption '!C$2,Production_Consumption!$AA$83:$AJ$83,0)))*'CA Population'!$L273*10^6</f>
        <v>694.3567800092751</v>
      </c>
      <c r="D273" s="143">
        <f>(INDEX(Production_Consumption!$AA$83:$AJ$99,MATCH('County Scaled Consumption '!$B273,Production_Consumption!$AA$83:$AA$99,0),MATCH('County Scaled Consumption '!D$2,Production_Consumption!$AA$83:$AJ$83,0)))*'CA Population'!$L273*10^6</f>
        <v>2659.0854816668971</v>
      </c>
      <c r="E273" s="143">
        <f>(INDEX(Production_Consumption!$AA$83:$AJ$99,MATCH('County Scaled Consumption '!$B273,Production_Consumption!$AA$83:$AA$99,0),MATCH('County Scaled Consumption '!E$2,Production_Consumption!$AA$83:$AJ$83,0)))*'CA Population'!$L273*10^6</f>
        <v>1390.9035899916205</v>
      </c>
      <c r="F273" s="143">
        <f>(INDEX(Production_Consumption!$AA$83:$AJ$99,MATCH('County Scaled Consumption '!$B273,Production_Consumption!$AA$83:$AA$99,0),MATCH('County Scaled Consumption '!F$2,Production_Consumption!$AA$83:$AJ$83,0)))*'CA Population'!$L273*10^6</f>
        <v>483.88380694975723</v>
      </c>
      <c r="G273" s="143">
        <f>(INDEX(Production_Consumption!$AA$83:$AJ$99,MATCH('County Scaled Consumption '!$B273,Production_Consumption!$AA$83:$AA$99,0),MATCH('County Scaled Consumption '!G$2,Production_Consumption!$AA$83:$AJ$83,0)))*'CA Population'!$L273*10^6</f>
        <v>1811.9067789254711</v>
      </c>
      <c r="H273" s="143">
        <f>(INDEX(Production_Consumption!$AA$83:$AJ$99,MATCH('County Scaled Consumption '!$B273,Production_Consumption!$AA$83:$AA$99,0),MATCH('County Scaled Consumption '!H$2,Production_Consumption!$AA$83:$AJ$83,0)))*'CA Population'!$L273*10^6</f>
        <v>49.685369946026952</v>
      </c>
      <c r="I273" s="143">
        <f>(INDEX(Production_Consumption!$AA$83:$AJ$99,MATCH('County Scaled Consumption '!$B273,Production_Consumption!$AA$83:$AA$99,0),MATCH('County Scaled Consumption '!I$2,Production_Consumption!$AA$83:$AJ$83,0)))*'CA Population'!$L273*10^6</f>
        <v>990.74134758344383</v>
      </c>
      <c r="J273" s="143">
        <f>(INDEX(Production_Consumption!$AA$83:$AJ$99,MATCH('County Scaled Consumption '!$B273,Production_Consumption!$AA$83:$AA$99,0),MATCH('County Scaled Consumption '!J$2,Production_Consumption!$AA$83:$AJ$83,0)))*'CA Population'!$L273*10^6</f>
        <v>609.66948579730001</v>
      </c>
      <c r="K273" s="143">
        <f>(INDEX(Production_Consumption!$AA$83:$AJ$99,MATCH('County Scaled Consumption '!$B273,Production_Consumption!$AA$83:$AA$99,0),MATCH('County Scaled Consumption '!K$2,Production_Consumption!$AA$83:$AJ$83,0)))*'CA Population'!$L273*10^6</f>
        <v>8690.2326408697918</v>
      </c>
      <c r="L273" s="131">
        <f t="shared" si="4"/>
        <v>0</v>
      </c>
    </row>
    <row r="274" spans="1:12" x14ac:dyDescent="0.2">
      <c r="A274" s="132" t="s">
        <v>340</v>
      </c>
      <c r="B274" s="129">
        <v>2016</v>
      </c>
      <c r="C274" s="143">
        <f>(INDEX(Production_Consumption!$AA$83:$AJ$99,MATCH('County Scaled Consumption '!$B274,Production_Consumption!$AA$83:$AA$99,0),MATCH('County Scaled Consumption '!C$2,Production_Consumption!$AA$83:$AJ$83,0)))*'CA Population'!$L274*10^6</f>
        <v>25103.510811706816</v>
      </c>
      <c r="D274" s="143">
        <f>(INDEX(Production_Consumption!$AA$83:$AJ$99,MATCH('County Scaled Consumption '!$B274,Production_Consumption!$AA$83:$AA$99,0),MATCH('County Scaled Consumption '!D$2,Production_Consumption!$AA$83:$AJ$83,0)))*'CA Population'!$L274*10^6</f>
        <v>96135.564683887613</v>
      </c>
      <c r="E274" s="143">
        <f>(INDEX(Production_Consumption!$AA$83:$AJ$99,MATCH('County Scaled Consumption '!$B274,Production_Consumption!$AA$83:$AA$99,0),MATCH('County Scaled Consumption '!E$2,Production_Consumption!$AA$83:$AJ$83,0)))*'CA Population'!$L274*10^6</f>
        <v>50286.19913372209</v>
      </c>
      <c r="F274" s="143">
        <f>(INDEX(Production_Consumption!$AA$83:$AJ$99,MATCH('County Scaled Consumption '!$B274,Production_Consumption!$AA$83:$AA$99,0),MATCH('County Scaled Consumption '!F$2,Production_Consumption!$AA$83:$AJ$83,0)))*'CA Population'!$L274*10^6</f>
        <v>17494.151031708549</v>
      </c>
      <c r="G274" s="143">
        <f>(INDEX(Production_Consumption!$AA$83:$AJ$99,MATCH('County Scaled Consumption '!$B274,Production_Consumption!$AA$83:$AA$99,0),MATCH('County Scaled Consumption '!G$2,Production_Consumption!$AA$83:$AJ$83,0)))*'CA Population'!$L274*10^6</f>
        <v>65506.988228663729</v>
      </c>
      <c r="H274" s="143">
        <f>(INDEX(Production_Consumption!$AA$83:$AJ$99,MATCH('County Scaled Consumption '!$B274,Production_Consumption!$AA$83:$AA$99,0),MATCH('County Scaled Consumption '!H$2,Production_Consumption!$AA$83:$AJ$83,0)))*'CA Population'!$L274*10^6</f>
        <v>1796.3059590302835</v>
      </c>
      <c r="I274" s="143">
        <f>(INDEX(Production_Consumption!$AA$83:$AJ$99,MATCH('County Scaled Consumption '!$B274,Production_Consumption!$AA$83:$AA$99,0),MATCH('County Scaled Consumption '!I$2,Production_Consumption!$AA$83:$AJ$83,0)))*'CA Population'!$L274*10^6</f>
        <v>35818.885689189556</v>
      </c>
      <c r="J274" s="143">
        <f>(INDEX(Production_Consumption!$AA$83:$AJ$99,MATCH('County Scaled Consumption '!$B274,Production_Consumption!$AA$83:$AA$99,0),MATCH('County Scaled Consumption '!J$2,Production_Consumption!$AA$83:$AJ$83,0)))*'CA Population'!$L274*10^6</f>
        <v>22041.758601501402</v>
      </c>
      <c r="K274" s="143">
        <f>(INDEX(Production_Consumption!$AA$83:$AJ$99,MATCH('County Scaled Consumption '!$B274,Production_Consumption!$AA$83:$AA$99,0),MATCH('County Scaled Consumption '!K$2,Production_Consumption!$AA$83:$AJ$83,0)))*'CA Population'!$L274*10^6</f>
        <v>314183.36413941003</v>
      </c>
      <c r="L274" s="131">
        <f t="shared" si="4"/>
        <v>0</v>
      </c>
    </row>
    <row r="275" spans="1:12" x14ac:dyDescent="0.2">
      <c r="A275" s="132" t="s">
        <v>341</v>
      </c>
      <c r="B275" s="129">
        <v>2016</v>
      </c>
      <c r="C275" s="143">
        <f>(INDEX(Production_Consumption!$AA$83:$AJ$99,MATCH('County Scaled Consumption '!$B275,Production_Consumption!$AA$83:$AA$99,0),MATCH('County Scaled Consumption '!C$2,Production_Consumption!$AA$83:$AJ$83,0)))*'CA Population'!$L275*10^6</f>
        <v>38827.790120617778</v>
      </c>
      <c r="D275" s="143">
        <f>(INDEX(Production_Consumption!$AA$83:$AJ$99,MATCH('County Scaled Consumption '!$B275,Production_Consumption!$AA$83:$AA$99,0),MATCH('County Scaled Consumption '!D$2,Production_Consumption!$AA$83:$AJ$83,0)))*'CA Population'!$L275*10^6</f>
        <v>148693.6053156491</v>
      </c>
      <c r="E275" s="143">
        <f>(INDEX(Production_Consumption!$AA$83:$AJ$99,MATCH('County Scaled Consumption '!$B275,Production_Consumption!$AA$83:$AA$99,0),MATCH('County Scaled Consumption '!E$2,Production_Consumption!$AA$83:$AJ$83,0)))*'CA Population'!$L275*10^6</f>
        <v>77778.044695533987</v>
      </c>
      <c r="F275" s="143">
        <f>(INDEX(Production_Consumption!$AA$83:$AJ$99,MATCH('County Scaled Consumption '!$B275,Production_Consumption!$AA$83:$AA$99,0),MATCH('County Scaled Consumption '!F$2,Production_Consumption!$AA$83:$AJ$83,0)))*'CA Population'!$L275*10^6</f>
        <v>27058.335771935199</v>
      </c>
      <c r="G275" s="143">
        <f>(INDEX(Production_Consumption!$AA$83:$AJ$99,MATCH('County Scaled Consumption '!$B275,Production_Consumption!$AA$83:$AA$99,0),MATCH('County Scaled Consumption '!G$2,Production_Consumption!$AA$83:$AJ$83,0)))*'CA Population'!$L275*10^6</f>
        <v>101320.15435825809</v>
      </c>
      <c r="H275" s="143">
        <f>(INDEX(Production_Consumption!$AA$83:$AJ$99,MATCH('County Scaled Consumption '!$B275,Production_Consumption!$AA$83:$AA$99,0),MATCH('County Scaled Consumption '!H$2,Production_Consumption!$AA$83:$AJ$83,0)))*'CA Population'!$L275*10^6</f>
        <v>2778.3600187555103</v>
      </c>
      <c r="I275" s="143">
        <f>(INDEX(Production_Consumption!$AA$83:$AJ$99,MATCH('County Scaled Consumption '!$B275,Production_Consumption!$AA$83:$AA$99,0),MATCH('County Scaled Consumption '!I$2,Production_Consumption!$AA$83:$AJ$83,0)))*'CA Population'!$L275*10^6</f>
        <v>55401.341522544273</v>
      </c>
      <c r="J275" s="143">
        <f>(INDEX(Production_Consumption!$AA$83:$AJ$99,MATCH('County Scaled Consumption '!$B275,Production_Consumption!$AA$83:$AA$99,0),MATCH('County Scaled Consumption '!J$2,Production_Consumption!$AA$83:$AJ$83,0)))*'CA Population'!$L275*10^6</f>
        <v>34092.154810047832</v>
      </c>
      <c r="K275" s="143">
        <f>(INDEX(Production_Consumption!$AA$83:$AJ$99,MATCH('County Scaled Consumption '!$B275,Production_Consumption!$AA$83:$AA$99,0),MATCH('County Scaled Consumption '!K$2,Production_Consumption!$AA$83:$AJ$83,0)))*'CA Population'!$L275*10^6</f>
        <v>485949.78661334177</v>
      </c>
      <c r="L275" s="131">
        <f t="shared" si="4"/>
        <v>0</v>
      </c>
    </row>
    <row r="276" spans="1:12" x14ac:dyDescent="0.2">
      <c r="A276" s="132" t="s">
        <v>342</v>
      </c>
      <c r="B276" s="129">
        <v>2016</v>
      </c>
      <c r="C276" s="143">
        <f>(INDEX(Production_Consumption!$AA$83:$AJ$99,MATCH('County Scaled Consumption '!$B276,Production_Consumption!$AA$83:$AA$99,0),MATCH('County Scaled Consumption '!C$2,Production_Consumption!$AA$83:$AJ$83,0)))*'CA Population'!$L276*10^6</f>
        <v>10308.472084725332</v>
      </c>
      <c r="D276" s="143">
        <f>(INDEX(Production_Consumption!$AA$83:$AJ$99,MATCH('County Scaled Consumption '!$B276,Production_Consumption!$AA$83:$AA$99,0),MATCH('County Scaled Consumption '!D$2,Production_Consumption!$AA$83:$AJ$83,0)))*'CA Population'!$L276*10^6</f>
        <v>39476.979627527326</v>
      </c>
      <c r="E276" s="143">
        <f>(INDEX(Production_Consumption!$AA$83:$AJ$99,MATCH('County Scaled Consumption '!$B276,Production_Consumption!$AA$83:$AA$99,0),MATCH('County Scaled Consumption '!E$2,Production_Consumption!$AA$83:$AJ$83,0)))*'CA Population'!$L276*10^6</f>
        <v>20649.457516323735</v>
      </c>
      <c r="F276" s="143">
        <f>(INDEX(Production_Consumption!$AA$83:$AJ$99,MATCH('County Scaled Consumption '!$B276,Production_Consumption!$AA$83:$AA$99,0),MATCH('County Scaled Consumption '!F$2,Production_Consumption!$AA$83:$AJ$83,0)))*'CA Population'!$L276*10^6</f>
        <v>7183.7747679594404</v>
      </c>
      <c r="G276" s="143">
        <f>(INDEX(Production_Consumption!$AA$83:$AJ$99,MATCH('County Scaled Consumption '!$B276,Production_Consumption!$AA$83:$AA$99,0),MATCH('County Scaled Consumption '!G$2,Production_Consumption!$AA$83:$AJ$83,0)))*'CA Population'!$L276*10^6</f>
        <v>26899.701980915797</v>
      </c>
      <c r="H276" s="143">
        <f>(INDEX(Production_Consumption!$AA$83:$AJ$99,MATCH('County Scaled Consumption '!$B276,Production_Consumption!$AA$83:$AA$99,0),MATCH('County Scaled Consumption '!H$2,Production_Consumption!$AA$83:$AJ$83,0)))*'CA Population'!$L276*10^6</f>
        <v>737.63267509395985</v>
      </c>
      <c r="I276" s="143">
        <f>(INDEX(Production_Consumption!$AA$83:$AJ$99,MATCH('County Scaled Consumption '!$B276,Production_Consumption!$AA$83:$AA$99,0),MATCH('County Scaled Consumption '!I$2,Production_Consumption!$AA$83:$AJ$83,0)))*'CA Population'!$L276*10^6</f>
        <v>14708.619284470247</v>
      </c>
      <c r="J276" s="143">
        <f>(INDEX(Production_Consumption!$AA$83:$AJ$99,MATCH('County Scaled Consumption '!$B276,Production_Consumption!$AA$83:$AA$99,0),MATCH('County Scaled Consumption '!J$2,Production_Consumption!$AA$83:$AJ$83,0)))*'CA Population'!$L276*10^6</f>
        <v>9051.1982545433839</v>
      </c>
      <c r="K276" s="143">
        <f>(INDEX(Production_Consumption!$AA$83:$AJ$99,MATCH('County Scaled Consumption '!$B276,Production_Consumption!$AA$83:$AA$99,0),MATCH('County Scaled Consumption '!K$2,Production_Consumption!$AA$83:$AJ$83,0)))*'CA Population'!$L276*10^6</f>
        <v>129015.83619155921</v>
      </c>
      <c r="L276" s="131">
        <f t="shared" si="4"/>
        <v>0</v>
      </c>
    </row>
    <row r="277" spans="1:12" x14ac:dyDescent="0.2">
      <c r="A277" s="132" t="s">
        <v>343</v>
      </c>
      <c r="B277" s="129">
        <v>2016</v>
      </c>
      <c r="C277" s="143">
        <f>(INDEX(Production_Consumption!$AA$83:$AJ$99,MATCH('County Scaled Consumption '!$B277,Production_Consumption!$AA$83:$AA$99,0),MATCH('County Scaled Consumption '!C$2,Production_Consumption!$AA$83:$AJ$83,0)))*'CA Population'!$L277*10^6</f>
        <v>8677.7211971154047</v>
      </c>
      <c r="D277" s="143">
        <f>(INDEX(Production_Consumption!$AA$83:$AJ$99,MATCH('County Scaled Consumption '!$B277,Production_Consumption!$AA$83:$AA$99,0),MATCH('County Scaled Consumption '!D$2,Production_Consumption!$AA$83:$AJ$83,0)))*'CA Population'!$L277*10^6</f>
        <v>33231.910616462083</v>
      </c>
      <c r="E277" s="143">
        <f>(INDEX(Production_Consumption!$AA$83:$AJ$99,MATCH('County Scaled Consumption '!$B277,Production_Consumption!$AA$83:$AA$99,0),MATCH('County Scaled Consumption '!E$2,Production_Consumption!$AA$83:$AJ$83,0)))*'CA Population'!$L277*10^6</f>
        <v>17382.812285426193</v>
      </c>
      <c r="F277" s="143">
        <f>(INDEX(Production_Consumption!$AA$83:$AJ$99,MATCH('County Scaled Consumption '!$B277,Production_Consumption!$AA$83:$AA$99,0),MATCH('County Scaled Consumption '!F$2,Production_Consumption!$AA$83:$AJ$83,0)))*'CA Population'!$L277*10^6</f>
        <v>6047.3360229199707</v>
      </c>
      <c r="G277" s="143">
        <f>(INDEX(Production_Consumption!$AA$83:$AJ$99,MATCH('County Scaled Consumption '!$B277,Production_Consumption!$AA$83:$AA$99,0),MATCH('County Scaled Consumption '!G$2,Production_Consumption!$AA$83:$AJ$83,0)))*'CA Population'!$L277*10^6</f>
        <v>22644.298025675835</v>
      </c>
      <c r="H277" s="143">
        <f>(INDEX(Production_Consumption!$AA$83:$AJ$99,MATCH('County Scaled Consumption '!$B277,Production_Consumption!$AA$83:$AA$99,0),MATCH('County Scaled Consumption '!H$2,Production_Consumption!$AA$83:$AJ$83,0)))*'CA Population'!$L277*10^6</f>
        <v>620.94272048643279</v>
      </c>
      <c r="I277" s="143">
        <f>(INDEX(Production_Consumption!$AA$83:$AJ$99,MATCH('County Scaled Consumption '!$B277,Production_Consumption!$AA$83:$AA$99,0),MATCH('County Scaled Consumption '!I$2,Production_Consumption!$AA$83:$AJ$83,0)))*'CA Population'!$L277*10^6</f>
        <v>12381.786194510392</v>
      </c>
      <c r="J277" s="143">
        <f>(INDEX(Production_Consumption!$AA$83:$AJ$99,MATCH('County Scaled Consumption '!$B277,Production_Consumption!$AA$83:$AA$99,0),MATCH('County Scaled Consumption '!J$2,Production_Consumption!$AA$83:$AJ$83,0)))*'CA Population'!$L277*10^6</f>
        <v>7619.3420622565391</v>
      </c>
      <c r="K277" s="143">
        <f>(INDEX(Production_Consumption!$AA$83:$AJ$99,MATCH('County Scaled Consumption '!$B277,Production_Consumption!$AA$83:$AA$99,0),MATCH('County Scaled Consumption '!K$2,Production_Consumption!$AA$83:$AJ$83,0)))*'CA Population'!$L277*10^6</f>
        <v>108606.14912485285</v>
      </c>
      <c r="L277" s="131">
        <f t="shared" si="4"/>
        <v>0</v>
      </c>
    </row>
    <row r="278" spans="1:12" x14ac:dyDescent="0.2">
      <c r="A278" s="132" t="s">
        <v>344</v>
      </c>
      <c r="B278" s="129">
        <v>2016</v>
      </c>
      <c r="C278" s="143">
        <f>(INDEX(Production_Consumption!$AA$83:$AJ$99,MATCH('County Scaled Consumption '!$B278,Production_Consumption!$AA$83:$AA$99,0),MATCH('County Scaled Consumption '!C$2,Production_Consumption!$AA$83:$AJ$83,0)))*'CA Population'!$L278*10^6</f>
        <v>3284.3749827234833</v>
      </c>
      <c r="D278" s="143">
        <f>(INDEX(Production_Consumption!$AA$83:$AJ$99,MATCH('County Scaled Consumption '!$B278,Production_Consumption!$AA$83:$AA$99,0),MATCH('County Scaled Consumption '!D$2,Production_Consumption!$AA$83:$AJ$83,0)))*'CA Population'!$L278*10^6</f>
        <v>12577.732491923418</v>
      </c>
      <c r="E278" s="143">
        <f>(INDEX(Production_Consumption!$AA$83:$AJ$99,MATCH('County Scaled Consumption '!$B278,Production_Consumption!$AA$83:$AA$99,0),MATCH('County Scaled Consumption '!E$2,Production_Consumption!$AA$83:$AJ$83,0)))*'CA Population'!$L278*10^6</f>
        <v>6579.1090198438587</v>
      </c>
      <c r="F278" s="143">
        <f>(INDEX(Production_Consumption!$AA$83:$AJ$99,MATCH('County Scaled Consumption '!$B278,Production_Consumption!$AA$83:$AA$99,0),MATCH('County Scaled Consumption '!F$2,Production_Consumption!$AA$83:$AJ$83,0)))*'CA Population'!$L278*10^6</f>
        <v>2288.8173858827349</v>
      </c>
      <c r="G278" s="143">
        <f>(INDEX(Production_Consumption!$AA$83:$AJ$99,MATCH('County Scaled Consumption '!$B278,Production_Consumption!$AA$83:$AA$99,0),MATCH('County Scaled Consumption '!G$2,Production_Consumption!$AA$83:$AJ$83,0)))*'CA Population'!$L278*10^6</f>
        <v>8570.4949775969853</v>
      </c>
      <c r="H278" s="143">
        <f>(INDEX(Production_Consumption!$AA$83:$AJ$99,MATCH('County Scaled Consumption '!$B278,Production_Consumption!$AA$83:$AA$99,0),MATCH('County Scaled Consumption '!H$2,Production_Consumption!$AA$83:$AJ$83,0)))*'CA Population'!$L278*10^6</f>
        <v>235.01662366703232</v>
      </c>
      <c r="I278" s="143">
        <f>(INDEX(Production_Consumption!$AA$83:$AJ$99,MATCH('County Scaled Consumption '!$B278,Production_Consumption!$AA$83:$AA$99,0),MATCH('County Scaled Consumption '!I$2,Production_Consumption!$AA$83:$AJ$83,0)))*'CA Population'!$L278*10^6</f>
        <v>4686.3027625500372</v>
      </c>
      <c r="J278" s="143">
        <f>(INDEX(Production_Consumption!$AA$83:$AJ$99,MATCH('County Scaled Consumption '!$B278,Production_Consumption!$AA$83:$AA$99,0),MATCH('County Scaled Consumption '!J$2,Production_Consumption!$AA$83:$AJ$83,0)))*'CA Population'!$L278*10^6</f>
        <v>2883.7958590334424</v>
      </c>
      <c r="K278" s="143">
        <f>(INDEX(Production_Consumption!$AA$83:$AJ$99,MATCH('County Scaled Consumption '!$B278,Production_Consumption!$AA$83:$AA$99,0),MATCH('County Scaled Consumption '!K$2,Production_Consumption!$AA$83:$AJ$83,0)))*'CA Population'!$L278*10^6</f>
        <v>41105.644103220991</v>
      </c>
      <c r="L278" s="131">
        <f t="shared" si="4"/>
        <v>0</v>
      </c>
    </row>
    <row r="279" spans="1:12" x14ac:dyDescent="0.2">
      <c r="A279" s="132" t="s">
        <v>345</v>
      </c>
      <c r="B279" s="129">
        <v>2016</v>
      </c>
      <c r="C279" s="143">
        <f>(INDEX(Production_Consumption!$AA$83:$AJ$99,MATCH('County Scaled Consumption '!$B279,Production_Consumption!$AA$83:$AA$99,0),MATCH('County Scaled Consumption '!C$2,Production_Consumption!$AA$83:$AJ$83,0)))*'CA Population'!$L279*10^6</f>
        <v>9072.3963820189892</v>
      </c>
      <c r="D279" s="143">
        <f>(INDEX(Production_Consumption!$AA$83:$AJ$99,MATCH('County Scaled Consumption '!$B279,Production_Consumption!$AA$83:$AA$99,0),MATCH('County Scaled Consumption '!D$2,Production_Consumption!$AA$83:$AJ$83,0)))*'CA Population'!$L279*10^6</f>
        <v>34743.34549312204</v>
      </c>
      <c r="E279" s="143">
        <f>(INDEX(Production_Consumption!$AA$83:$AJ$99,MATCH('County Scaled Consumption '!$B279,Production_Consumption!$AA$83:$AA$99,0),MATCH('County Scaled Consumption '!E$2,Production_Consumption!$AA$83:$AJ$83,0)))*'CA Population'!$L279*10^6</f>
        <v>18173.407477073444</v>
      </c>
      <c r="F279" s="143">
        <f>(INDEX(Production_Consumption!$AA$83:$AJ$99,MATCH('County Scaled Consumption '!$B279,Production_Consumption!$AA$83:$AA$99,0),MATCH('County Scaled Consumption '!F$2,Production_Consumption!$AA$83:$AJ$83,0)))*'CA Population'!$L279*10^6</f>
        <v>6322.3775238860808</v>
      </c>
      <c r="G279" s="143">
        <f>(INDEX(Production_Consumption!$AA$83:$AJ$99,MATCH('County Scaled Consumption '!$B279,Production_Consumption!$AA$83:$AA$99,0),MATCH('County Scaled Consumption '!G$2,Production_Consumption!$AA$83:$AJ$83,0)))*'CA Population'!$L279*10^6</f>
        <v>23674.19312224408</v>
      </c>
      <c r="H279" s="143">
        <f>(INDEX(Production_Consumption!$AA$83:$AJ$99,MATCH('County Scaled Consumption '!$B279,Production_Consumption!$AA$83:$AA$99,0),MATCH('County Scaled Consumption '!H$2,Production_Consumption!$AA$83:$AJ$83,0)))*'CA Population'!$L279*10^6</f>
        <v>649.18408448692435</v>
      </c>
      <c r="I279" s="143">
        <f>(INDEX(Production_Consumption!$AA$83:$AJ$99,MATCH('County Scaled Consumption '!$B279,Production_Consumption!$AA$83:$AA$99,0),MATCH('County Scaled Consumption '!I$2,Production_Consumption!$AA$83:$AJ$83,0)))*'CA Population'!$L279*10^6</f>
        <v>12944.927559017409</v>
      </c>
      <c r="J279" s="143">
        <f>(INDEX(Production_Consumption!$AA$83:$AJ$99,MATCH('County Scaled Consumption '!$B279,Production_Consumption!$AA$83:$AA$99,0),MATCH('County Scaled Consumption '!J$2,Production_Consumption!$AA$83:$AJ$83,0)))*'CA Population'!$L279*10^6</f>
        <v>7965.8806487075981</v>
      </c>
      <c r="K279" s="143">
        <f>(INDEX(Production_Consumption!$AA$83:$AJ$99,MATCH('County Scaled Consumption '!$B279,Production_Consumption!$AA$83:$AA$99,0),MATCH('County Scaled Consumption '!K$2,Production_Consumption!$AA$83:$AJ$83,0)))*'CA Population'!$L279*10^6</f>
        <v>113545.71229055656</v>
      </c>
      <c r="L279" s="131">
        <f t="shared" si="4"/>
        <v>0</v>
      </c>
    </row>
    <row r="280" spans="1:12" x14ac:dyDescent="0.2">
      <c r="A280" s="132" t="s">
        <v>346</v>
      </c>
      <c r="B280" s="129">
        <v>2016</v>
      </c>
      <c r="C280" s="143">
        <f>(INDEX(Production_Consumption!$AA$83:$AJ$99,MATCH('County Scaled Consumption '!$B280,Production_Consumption!$AA$83:$AA$99,0),MATCH('County Scaled Consumption '!C$2,Production_Consumption!$AA$83:$AJ$83,0)))*'CA Population'!$L280*10^6</f>
        <v>5266.9995361286074</v>
      </c>
      <c r="D280" s="143">
        <f>(INDEX(Production_Consumption!$AA$83:$AJ$99,MATCH('County Scaled Consumption '!$B280,Production_Consumption!$AA$83:$AA$99,0),MATCH('County Scaled Consumption '!D$2,Production_Consumption!$AA$83:$AJ$83,0)))*'CA Population'!$L280*10^6</f>
        <v>20170.325114818901</v>
      </c>
      <c r="E280" s="143">
        <f>(INDEX(Production_Consumption!$AA$83:$AJ$99,MATCH('County Scaled Consumption '!$B280,Production_Consumption!$AA$83:$AA$99,0),MATCH('County Scaled Consumption '!E$2,Production_Consumption!$AA$83:$AJ$83,0)))*'CA Population'!$L280*10^6</f>
        <v>10550.611406412167</v>
      </c>
      <c r="F280" s="143">
        <f>(INDEX(Production_Consumption!$AA$83:$AJ$99,MATCH('County Scaled Consumption '!$B280,Production_Consumption!$AA$83:$AA$99,0),MATCH('County Scaled Consumption '!F$2,Production_Consumption!$AA$83:$AJ$83,0)))*'CA Population'!$L280*10^6</f>
        <v>3670.4700812606343</v>
      </c>
      <c r="G280" s="143">
        <f>(INDEX(Production_Consumption!$AA$83:$AJ$99,MATCH('County Scaled Consumption '!$B280,Production_Consumption!$AA$83:$AA$99,0),MATCH('County Scaled Consumption '!G$2,Production_Consumption!$AA$83:$AJ$83,0)))*'CA Population'!$L280*10^6</f>
        <v>13744.104527907482</v>
      </c>
      <c r="H280" s="143">
        <f>(INDEX(Production_Consumption!$AA$83:$AJ$99,MATCH('County Scaled Consumption '!$B280,Production_Consumption!$AA$83:$AA$99,0),MATCH('County Scaled Consumption '!H$2,Production_Consumption!$AA$83:$AJ$83,0)))*'CA Population'!$L280*10^6</f>
        <v>376.88523824107625</v>
      </c>
      <c r="I280" s="143">
        <f>(INDEX(Production_Consumption!$AA$83:$AJ$99,MATCH('County Scaled Consumption '!$B280,Production_Consumption!$AA$83:$AA$99,0),MATCH('County Scaled Consumption '!I$2,Production_Consumption!$AA$83:$AJ$83,0)))*'CA Population'!$L280*10^6</f>
        <v>7515.2059695819862</v>
      </c>
      <c r="J280" s="143">
        <f>(INDEX(Production_Consumption!$AA$83:$AJ$99,MATCH('County Scaled Consumption '!$B280,Production_Consumption!$AA$83:$AA$99,0),MATCH('County Scaled Consumption '!J$2,Production_Consumption!$AA$83:$AJ$83,0)))*'CA Population'!$L280*10^6</f>
        <v>4624.6094102274801</v>
      </c>
      <c r="K280" s="143">
        <f>(INDEX(Production_Consumption!$AA$83:$AJ$99,MATCH('County Scaled Consumption '!$B280,Production_Consumption!$AA$83:$AA$99,0),MATCH('County Scaled Consumption '!K$2,Production_Consumption!$AA$83:$AJ$83,0)))*'CA Population'!$L280*10^6</f>
        <v>65919.211284578327</v>
      </c>
      <c r="L280" s="131">
        <f t="shared" si="4"/>
        <v>0</v>
      </c>
    </row>
    <row r="281" spans="1:12" x14ac:dyDescent="0.2">
      <c r="A281" s="132" t="s">
        <v>347</v>
      </c>
      <c r="B281" s="129">
        <v>2016</v>
      </c>
      <c r="C281" s="143">
        <f>(INDEX(Production_Consumption!$AA$83:$AJ$99,MATCH('County Scaled Consumption '!$B281,Production_Consumption!$AA$83:$AA$99,0),MATCH('County Scaled Consumption '!C$2,Production_Consumption!$AA$83:$AJ$83,0)))*'CA Population'!$L281*10^6</f>
        <v>22807.426334994489</v>
      </c>
      <c r="D281" s="143">
        <f>(INDEX(Production_Consumption!$AA$83:$AJ$99,MATCH('County Scaled Consumption '!$B281,Production_Consumption!$AA$83:$AA$99,0),MATCH('County Scaled Consumption '!D$2,Production_Consumption!$AA$83:$AJ$83,0)))*'CA Population'!$L281*10^6</f>
        <v>87342.556431523553</v>
      </c>
      <c r="E281" s="143">
        <f>(INDEX(Production_Consumption!$AA$83:$AJ$99,MATCH('County Scaled Consumption '!$B281,Production_Consumption!$AA$83:$AA$99,0),MATCH('County Scaled Consumption '!E$2,Production_Consumption!$AA$83:$AJ$83,0)))*'CA Population'!$L281*10^6</f>
        <v>45686.788234989966</v>
      </c>
      <c r="F281" s="143">
        <f>(INDEX(Production_Consumption!$AA$83:$AJ$99,MATCH('County Scaled Consumption '!$B281,Production_Consumption!$AA$83:$AA$99,0),MATCH('County Scaled Consumption '!F$2,Production_Consumption!$AA$83:$AJ$83,0)))*'CA Population'!$L281*10^6</f>
        <v>15894.054179979154</v>
      </c>
      <c r="G281" s="143">
        <f>(INDEX(Production_Consumption!$AA$83:$AJ$99,MATCH('County Scaled Consumption '!$B281,Production_Consumption!$AA$83:$AA$99,0),MATCH('County Scaled Consumption '!G$2,Production_Consumption!$AA$83:$AJ$83,0)))*'CA Population'!$L281*10^6</f>
        <v>59515.412790623028</v>
      </c>
      <c r="H281" s="143">
        <f>(INDEX(Production_Consumption!$AA$83:$AJ$99,MATCH('County Scaled Consumption '!$B281,Production_Consumption!$AA$83:$AA$99,0),MATCH('County Scaled Consumption '!H$2,Production_Consumption!$AA$83:$AJ$83,0)))*'CA Population'!$L281*10^6</f>
        <v>1632.0074169302732</v>
      </c>
      <c r="I281" s="143">
        <f>(INDEX(Production_Consumption!$AA$83:$AJ$99,MATCH('County Scaled Consumption '!$B281,Production_Consumption!$AA$83:$AA$99,0),MATCH('County Scaled Consumption '!I$2,Production_Consumption!$AA$83:$AJ$83,0)))*'CA Population'!$L281*10^6</f>
        <v>32542.722923711826</v>
      </c>
      <c r="J281" s="143">
        <f>(INDEX(Production_Consumption!$AA$83:$AJ$99,MATCH('County Scaled Consumption '!$B281,Production_Consumption!$AA$83:$AA$99,0),MATCH('County Scaled Consumption '!J$2,Production_Consumption!$AA$83:$AJ$83,0)))*'CA Population'!$L281*10^6</f>
        <v>20025.716297938576</v>
      </c>
      <c r="K281" s="143">
        <f>(INDEX(Production_Consumption!$AA$83:$AJ$99,MATCH('County Scaled Consumption '!$B281,Production_Consumption!$AA$83:$AA$99,0),MATCH('County Scaled Consumption '!K$2,Production_Consumption!$AA$83:$AJ$83,0)))*'CA Population'!$L281*10^6</f>
        <v>285446.68461069086</v>
      </c>
      <c r="L281" s="131">
        <f t="shared" si="4"/>
        <v>0</v>
      </c>
    </row>
    <row r="282" spans="1:12" x14ac:dyDescent="0.2">
      <c r="A282" s="132" t="s">
        <v>348</v>
      </c>
      <c r="B282" s="129">
        <v>2016</v>
      </c>
      <c r="C282" s="143">
        <f>(INDEX(Production_Consumption!$AA$83:$AJ$99,MATCH('County Scaled Consumption '!$B282,Production_Consumption!$AA$83:$AA$99,0),MATCH('County Scaled Consumption '!C$2,Production_Consumption!$AA$83:$AJ$83,0)))*'CA Population'!$L282*10^6</f>
        <v>3253.5895850337524</v>
      </c>
      <c r="D282" s="143">
        <f>(INDEX(Production_Consumption!$AA$83:$AJ$99,MATCH('County Scaled Consumption '!$B282,Production_Consumption!$AA$83:$AA$99,0),MATCH('County Scaled Consumption '!D$2,Production_Consumption!$AA$83:$AJ$83,0)))*'CA Population'!$L282*10^6</f>
        <v>12459.837763448222</v>
      </c>
      <c r="E282" s="143">
        <f>(INDEX(Production_Consumption!$AA$83:$AJ$99,MATCH('County Scaled Consumption '!$B282,Production_Consumption!$AA$83:$AA$99,0),MATCH('County Scaled Consumption '!E$2,Production_Consumption!$AA$83:$AJ$83,0)))*'CA Population'!$L282*10^6</f>
        <v>6517.4411260481156</v>
      </c>
      <c r="F282" s="143">
        <f>(INDEX(Production_Consumption!$AA$83:$AJ$99,MATCH('County Scaled Consumption '!$B282,Production_Consumption!$AA$83:$AA$99,0),MATCH('County Scaled Consumption '!F$2,Production_Consumption!$AA$83:$AJ$83,0)))*'CA Population'!$L282*10^6</f>
        <v>2267.3636378076167</v>
      </c>
      <c r="G282" s="143">
        <f>(INDEX(Production_Consumption!$AA$83:$AJ$99,MATCH('County Scaled Consumption '!$B282,Production_Consumption!$AA$83:$AA$99,0),MATCH('County Scaled Consumption '!G$2,Production_Consumption!$AA$83:$AJ$83,0)))*'CA Population'!$L282*10^6</f>
        <v>8490.161246621974</v>
      </c>
      <c r="H282" s="143">
        <f>(INDEX(Production_Consumption!$AA$83:$AJ$99,MATCH('County Scaled Consumption '!$B282,Production_Consumption!$AA$83:$AA$99,0),MATCH('County Scaled Consumption '!H$2,Production_Consumption!$AA$83:$AJ$83,0)))*'CA Population'!$L282*10^6</f>
        <v>232.81374480534768</v>
      </c>
      <c r="I282" s="143">
        <f>(INDEX(Production_Consumption!$AA$83:$AJ$99,MATCH('County Scaled Consumption '!$B282,Production_Consumption!$AA$83:$AA$99,0),MATCH('County Scaled Consumption '!I$2,Production_Consumption!$AA$83:$AJ$83,0)))*'CA Population'!$L282*10^6</f>
        <v>4642.376689857826</v>
      </c>
      <c r="J282" s="143">
        <f>(INDEX(Production_Consumption!$AA$83:$AJ$99,MATCH('County Scaled Consumption '!$B282,Production_Consumption!$AA$83:$AA$99,0),MATCH('County Scaled Consumption '!J$2,Production_Consumption!$AA$83:$AJ$83,0)))*'CA Population'!$L282*10^6</f>
        <v>2856.7652054560217</v>
      </c>
      <c r="K282" s="143">
        <f>(INDEX(Production_Consumption!$AA$83:$AJ$99,MATCH('County Scaled Consumption '!$B282,Production_Consumption!$AA$83:$AA$99,0),MATCH('County Scaled Consumption '!K$2,Production_Consumption!$AA$83:$AJ$83,0)))*'CA Population'!$L282*10^6</f>
        <v>40720.34899907888</v>
      </c>
      <c r="L282" s="131">
        <f t="shared" si="4"/>
        <v>0</v>
      </c>
    </row>
    <row r="283" spans="1:12" x14ac:dyDescent="0.2">
      <c r="A283" s="132" t="s">
        <v>349</v>
      </c>
      <c r="B283" s="129">
        <v>2016</v>
      </c>
      <c r="C283" s="143">
        <f>(INDEX(Production_Consumption!$AA$83:$AJ$99,MATCH('County Scaled Consumption '!$B283,Production_Consumption!$AA$83:$AA$99,0),MATCH('County Scaled Consumption '!C$2,Production_Consumption!$AA$83:$AJ$83,0)))*'CA Population'!$L283*10^6</f>
        <v>2102.6438448977851</v>
      </c>
      <c r="D283" s="143">
        <f>(INDEX(Production_Consumption!$AA$83:$AJ$99,MATCH('County Scaled Consumption '!$B283,Production_Consumption!$AA$83:$AA$99,0),MATCH('County Scaled Consumption '!D$2,Production_Consumption!$AA$83:$AJ$83,0)))*'CA Population'!$L283*10^6</f>
        <v>8052.21448404274</v>
      </c>
      <c r="E283" s="143">
        <f>(INDEX(Production_Consumption!$AA$83:$AJ$99,MATCH('County Scaled Consumption '!$B283,Production_Consumption!$AA$83:$AA$99,0),MATCH('County Scaled Consumption '!E$2,Production_Consumption!$AA$83:$AJ$83,0)))*'CA Population'!$L283*10^6</f>
        <v>4211.9195153578657</v>
      </c>
      <c r="F283" s="143">
        <f>(INDEX(Production_Consumption!$AA$83:$AJ$99,MATCH('County Scaled Consumption '!$B283,Production_Consumption!$AA$83:$AA$99,0),MATCH('County Scaled Consumption '!F$2,Production_Consumption!$AA$83:$AJ$83,0)))*'CA Population'!$L283*10^6</f>
        <v>1465.2918177237709</v>
      </c>
      <c r="G283" s="143">
        <f>(INDEX(Production_Consumption!$AA$83:$AJ$99,MATCH('County Scaled Consumption '!$B283,Production_Consumption!$AA$83:$AA$99,0),MATCH('County Scaled Consumption '!G$2,Production_Consumption!$AA$83:$AJ$83,0)))*'CA Population'!$L283*10^6</f>
        <v>5486.7969117912598</v>
      </c>
      <c r="H283" s="143">
        <f>(INDEX(Production_Consumption!$AA$83:$AJ$99,MATCH('County Scaled Consumption '!$B283,Production_Consumption!$AA$83:$AA$99,0),MATCH('County Scaled Consumption '!H$2,Production_Consumption!$AA$83:$AJ$83,0)))*'CA Population'!$L283*10^6</f>
        <v>150.45671088152619</v>
      </c>
      <c r="I283" s="143">
        <f>(INDEX(Production_Consumption!$AA$83:$AJ$99,MATCH('County Scaled Consumption '!$B283,Production_Consumption!$AA$83:$AA$99,0),MATCH('County Scaled Consumption '!I$2,Production_Consumption!$AA$83:$AJ$83,0)))*'CA Population'!$L283*10^6</f>
        <v>3000.1524523952062</v>
      </c>
      <c r="J283" s="143">
        <f>(INDEX(Production_Consumption!$AA$83:$AJ$99,MATCH('County Scaled Consumption '!$B283,Production_Consumption!$AA$83:$AA$99,0),MATCH('County Scaled Consumption '!J$2,Production_Consumption!$AA$83:$AJ$83,0)))*'CA Population'!$L283*10^6</f>
        <v>1846.1946777801563</v>
      </c>
      <c r="K283" s="143">
        <f>(INDEX(Production_Consumption!$AA$83:$AJ$99,MATCH('County Scaled Consumption '!$B283,Production_Consumption!$AA$83:$AA$99,0),MATCH('County Scaled Consumption '!K$2,Production_Consumption!$AA$83:$AJ$83,0)))*'CA Population'!$L283*10^6</f>
        <v>26315.67041487031</v>
      </c>
      <c r="L283" s="131">
        <f t="shared" si="4"/>
        <v>0</v>
      </c>
    </row>
    <row r="284" spans="1:12" x14ac:dyDescent="0.2">
      <c r="A284" s="132" t="s">
        <v>350</v>
      </c>
      <c r="B284" s="129">
        <v>2016</v>
      </c>
      <c r="C284" s="143">
        <f>(INDEX(Production_Consumption!$AA$83:$AJ$99,MATCH('County Scaled Consumption '!$B284,Production_Consumption!$AA$83:$AA$99,0),MATCH('County Scaled Consumption '!C$2,Production_Consumption!$AA$83:$AJ$83,0)))*'CA Population'!$L284*10^6</f>
        <v>37.857878603469416</v>
      </c>
      <c r="D284" s="143">
        <f>(INDEX(Production_Consumption!$AA$83:$AJ$99,MATCH('County Scaled Consumption '!$B284,Production_Consumption!$AA$83:$AA$99,0),MATCH('County Scaled Consumption '!D$2,Production_Consumption!$AA$83:$AJ$83,0)))*'CA Population'!$L284*10^6</f>
        <v>144.97926463661622</v>
      </c>
      <c r="E284" s="143">
        <f>(INDEX(Production_Consumption!$AA$83:$AJ$99,MATCH('County Scaled Consumption '!$B284,Production_Consumption!$AA$83:$AA$99,0),MATCH('County Scaled Consumption '!E$2,Production_Consumption!$AA$83:$AJ$83,0)))*'CA Population'!$L284*10^6</f>
        <v>75.835162520238086</v>
      </c>
      <c r="F284" s="143">
        <f>(INDEX(Production_Consumption!$AA$83:$AJ$99,MATCH('County Scaled Consumption '!$B284,Production_Consumption!$AA$83:$AA$99,0),MATCH('County Scaled Consumption '!F$2,Production_Consumption!$AA$83:$AJ$83,0)))*'CA Population'!$L284*10^6</f>
        <v>26.38242319956009</v>
      </c>
      <c r="G284" s="143">
        <f>(INDEX(Production_Consumption!$AA$83:$AJ$99,MATCH('County Scaled Consumption '!$B284,Production_Consumption!$AA$83:$AA$99,0),MATCH('County Scaled Consumption '!G$2,Production_Consumption!$AA$83:$AJ$83,0)))*'CA Population'!$L284*10^6</f>
        <v>98.789194333851697</v>
      </c>
      <c r="H284" s="143">
        <f>(INDEX(Production_Consumption!$AA$83:$AJ$99,MATCH('County Scaled Consumption '!$B284,Production_Consumption!$AA$83:$AA$99,0),MATCH('County Scaled Consumption '!H$2,Production_Consumption!$AA$83:$AJ$83,0)))*'CA Population'!$L284*10^6</f>
        <v>2.7089570634854758</v>
      </c>
      <c r="I284" s="143">
        <f>(INDEX(Production_Consumption!$AA$83:$AJ$99,MATCH('County Scaled Consumption '!$B284,Production_Consumption!$AA$83:$AA$99,0),MATCH('County Scaled Consumption '!I$2,Production_Consumption!$AA$83:$AJ$83,0)))*'CA Population'!$L284*10^6</f>
        <v>54.017425542745762</v>
      </c>
      <c r="J284" s="143">
        <f>(INDEX(Production_Consumption!$AA$83:$AJ$99,MATCH('County Scaled Consumption '!$B284,Production_Consumption!$AA$83:$AA$99,0),MATCH('County Scaled Consumption '!J$2,Production_Consumption!$AA$83:$AJ$83,0)))*'CA Population'!$L284*10^6</f>
        <v>33.240538648222746</v>
      </c>
      <c r="K284" s="143">
        <f>(INDEX(Production_Consumption!$AA$83:$AJ$99,MATCH('County Scaled Consumption '!$B284,Production_Consumption!$AA$83:$AA$99,0),MATCH('County Scaled Consumption '!K$2,Production_Consumption!$AA$83:$AJ$83,0)))*'CA Population'!$L284*10^6</f>
        <v>473.81084454818949</v>
      </c>
      <c r="L284" s="131">
        <f t="shared" si="4"/>
        <v>0</v>
      </c>
    </row>
    <row r="285" spans="1:12" x14ac:dyDescent="0.2">
      <c r="A285" s="132" t="s">
        <v>351</v>
      </c>
      <c r="B285" s="129">
        <v>2016</v>
      </c>
      <c r="C285" s="143">
        <f>(INDEX(Production_Consumption!$AA$83:$AJ$99,MATCH('County Scaled Consumption '!$B285,Production_Consumption!$AA$83:$AA$99,0),MATCH('County Scaled Consumption '!C$2,Production_Consumption!$AA$83:$AJ$83,0)))*'CA Population'!$L285*10^6</f>
        <v>528.70934242096121</v>
      </c>
      <c r="D285" s="143">
        <f>(INDEX(Production_Consumption!$AA$83:$AJ$99,MATCH('County Scaled Consumption '!$B285,Production_Consumption!$AA$83:$AA$99,0),MATCH('County Scaled Consumption '!D$2,Production_Consumption!$AA$83:$AJ$83,0)))*'CA Population'!$L285*10^6</f>
        <v>2024.7275995986543</v>
      </c>
      <c r="E285" s="143">
        <f>(INDEX(Production_Consumption!$AA$83:$AJ$99,MATCH('County Scaled Consumption '!$B285,Production_Consumption!$AA$83:$AA$99,0),MATCH('County Scaled Consumption '!E$2,Production_Consumption!$AA$83:$AJ$83,0)))*'CA Population'!$L285*10^6</f>
        <v>1059.0862559527407</v>
      </c>
      <c r="F285" s="143">
        <f>(INDEX(Production_Consumption!$AA$83:$AJ$99,MATCH('County Scaled Consumption '!$B285,Production_Consumption!$AA$83:$AA$99,0),MATCH('County Scaled Consumption '!F$2,Production_Consumption!$AA$83:$AJ$83,0)))*'CA Population'!$L285*10^6</f>
        <v>368.44731231275676</v>
      </c>
      <c r="G285" s="143">
        <f>(INDEX(Production_Consumption!$AA$83:$AJ$99,MATCH('County Scaled Consumption '!$B285,Production_Consumption!$AA$83:$AA$99,0),MATCH('County Scaled Consumption '!G$2,Production_Consumption!$AA$83:$AJ$83,0)))*'CA Population'!$L285*10^6</f>
        <v>1379.6539029992209</v>
      </c>
      <c r="H285" s="143">
        <f>(INDEX(Production_Consumption!$AA$83:$AJ$99,MATCH('County Scaled Consumption '!$B285,Production_Consumption!$AA$83:$AA$99,0),MATCH('County Scaled Consumption '!H$2,Production_Consumption!$AA$83:$AJ$83,0)))*'CA Population'!$L285*10^6</f>
        <v>37.832307580773104</v>
      </c>
      <c r="I285" s="143">
        <f>(INDEX(Production_Consumption!$AA$83:$AJ$99,MATCH('County Scaled Consumption '!$B285,Production_Consumption!$AA$83:$AA$99,0),MATCH('County Scaled Consumption '!I$2,Production_Consumption!$AA$83:$AJ$83,0)))*'CA Population'!$L285*10^6</f>
        <v>754.387688679446</v>
      </c>
      <c r="J285" s="143">
        <f>(INDEX(Production_Consumption!$AA$83:$AJ$99,MATCH('County Scaled Consumption '!$B285,Production_Consumption!$AA$83:$AA$99,0),MATCH('County Scaled Consumption '!J$2,Production_Consumption!$AA$83:$AJ$83,0)))*'CA Population'!$L285*10^6</f>
        <v>464.22525452363317</v>
      </c>
      <c r="K285" s="143">
        <f>(INDEX(Production_Consumption!$AA$83:$AJ$99,MATCH('County Scaled Consumption '!$B285,Production_Consumption!$AA$83:$AA$99,0),MATCH('County Scaled Consumption '!K$2,Production_Consumption!$AA$83:$AJ$83,0)))*'CA Population'!$L285*10^6</f>
        <v>6617.0696640681854</v>
      </c>
      <c r="L285" s="131">
        <f t="shared" si="4"/>
        <v>0</v>
      </c>
    </row>
    <row r="286" spans="1:12" x14ac:dyDescent="0.2">
      <c r="A286" s="132" t="s">
        <v>352</v>
      </c>
      <c r="B286" s="129">
        <v>2016</v>
      </c>
      <c r="C286" s="143">
        <f>(INDEX(Production_Consumption!$AA$83:$AJ$99,MATCH('County Scaled Consumption '!$B286,Production_Consumption!$AA$83:$AA$99,0),MATCH('County Scaled Consumption '!C$2,Production_Consumption!$AA$83:$AJ$83,0)))*'CA Population'!$L286*10^6</f>
        <v>5089.288669556995</v>
      </c>
      <c r="D286" s="143">
        <f>(INDEX(Production_Consumption!$AA$83:$AJ$99,MATCH('County Scaled Consumption '!$B286,Production_Consumption!$AA$83:$AA$99,0),MATCH('County Scaled Consumption '!D$2,Production_Consumption!$AA$83:$AJ$83,0)))*'CA Population'!$L286*10^6</f>
        <v>19489.769528930177</v>
      </c>
      <c r="E286" s="143">
        <f>(INDEX(Production_Consumption!$AA$83:$AJ$99,MATCH('County Scaled Consumption '!$B286,Production_Consumption!$AA$83:$AA$99,0),MATCH('County Scaled Consumption '!E$2,Production_Consumption!$AA$83:$AJ$83,0)))*'CA Population'!$L286*10^6</f>
        <v>10194.629165853248</v>
      </c>
      <c r="F286" s="143">
        <f>(INDEX(Production_Consumption!$AA$83:$AJ$99,MATCH('County Scaled Consumption '!$B286,Production_Consumption!$AA$83:$AA$99,0),MATCH('County Scaled Consumption '!F$2,Production_Consumption!$AA$83:$AJ$83,0)))*'CA Population'!$L286*10^6</f>
        <v>3546.6268163444861</v>
      </c>
      <c r="G286" s="143">
        <f>(INDEX(Production_Consumption!$AA$83:$AJ$99,MATCH('County Scaled Consumption '!$B286,Production_Consumption!$AA$83:$AA$99,0),MATCH('County Scaled Consumption '!G$2,Production_Consumption!$AA$83:$AJ$83,0)))*'CA Population'!$L286*10^6</f>
        <v>13280.372433543078</v>
      </c>
      <c r="H286" s="143">
        <f>(INDEX(Production_Consumption!$AA$83:$AJ$99,MATCH('County Scaled Consumption '!$B286,Production_Consumption!$AA$83:$AA$99,0),MATCH('County Scaled Consumption '!H$2,Production_Consumption!$AA$83:$AJ$83,0)))*'CA Population'!$L286*10^6</f>
        <v>364.16896556505856</v>
      </c>
      <c r="I286" s="143">
        <f>(INDEX(Production_Consumption!$AA$83:$AJ$99,MATCH('County Scaled Consumption '!$B286,Production_Consumption!$AA$83:$AA$99,0),MATCH('County Scaled Consumption '!I$2,Production_Consumption!$AA$83:$AJ$83,0)))*'CA Population'!$L286*10^6</f>
        <v>7261.6396352473112</v>
      </c>
      <c r="J286" s="143">
        <f>(INDEX(Production_Consumption!$AA$83:$AJ$99,MATCH('County Scaled Consumption '!$B286,Production_Consumption!$AA$83:$AA$99,0),MATCH('County Scaled Consumption '!J$2,Production_Consumption!$AA$83:$AJ$83,0)))*'CA Population'!$L286*10^6</f>
        <v>4468.5730672945865</v>
      </c>
      <c r="K286" s="143">
        <f>(INDEX(Production_Consumption!$AA$83:$AJ$99,MATCH('County Scaled Consumption '!$B286,Production_Consumption!$AA$83:$AA$99,0),MATCH('County Scaled Consumption '!K$2,Production_Consumption!$AA$83:$AJ$83,0)))*'CA Population'!$L286*10^6</f>
        <v>63695.068282334942</v>
      </c>
      <c r="L286" s="131">
        <f t="shared" si="4"/>
        <v>0</v>
      </c>
    </row>
    <row r="287" spans="1:12" x14ac:dyDescent="0.2">
      <c r="A287" s="132" t="s">
        <v>353</v>
      </c>
      <c r="B287" s="129">
        <v>2016</v>
      </c>
      <c r="C287" s="143">
        <f>(INDEX(Production_Consumption!$AA$83:$AJ$99,MATCH('County Scaled Consumption '!$B287,Production_Consumption!$AA$83:$AA$99,0),MATCH('County Scaled Consumption '!C$2,Production_Consumption!$AA$83:$AJ$83,0)))*'CA Population'!$L287*10^6</f>
        <v>5941.0968515806362</v>
      </c>
      <c r="D287" s="143">
        <f>(INDEX(Production_Consumption!$AA$83:$AJ$99,MATCH('County Scaled Consumption '!$B287,Production_Consumption!$AA$83:$AA$99,0),MATCH('County Scaled Consumption '!D$2,Production_Consumption!$AA$83:$AJ$83,0)))*'CA Population'!$L287*10^6</f>
        <v>22751.825629187286</v>
      </c>
      <c r="E287" s="143">
        <f>(INDEX(Production_Consumption!$AA$83:$AJ$99,MATCH('County Scaled Consumption '!$B287,Production_Consumption!$AA$83:$AA$99,0),MATCH('County Scaled Consumption '!E$2,Production_Consumption!$AA$83:$AJ$83,0)))*'CA Population'!$L287*10^6</f>
        <v>11900.932168101015</v>
      </c>
      <c r="F287" s="143">
        <f>(INDEX(Production_Consumption!$AA$83:$AJ$99,MATCH('County Scaled Consumption '!$B287,Production_Consumption!$AA$83:$AA$99,0),MATCH('County Scaled Consumption '!F$2,Production_Consumption!$AA$83:$AJ$83,0)))*'CA Population'!$L287*10^6</f>
        <v>4140.2354593004111</v>
      </c>
      <c r="G287" s="143">
        <f>(INDEX(Production_Consumption!$AA$83:$AJ$99,MATCH('County Scaled Consumption '!$B287,Production_Consumption!$AA$83:$AA$99,0),MATCH('County Scaled Consumption '!G$2,Production_Consumption!$AA$83:$AJ$83,0)))*'CA Population'!$L287*10^6</f>
        <v>15503.144737044171</v>
      </c>
      <c r="H287" s="143">
        <f>(INDEX(Production_Consumption!$AA$83:$AJ$99,MATCH('County Scaled Consumption '!$B287,Production_Consumption!$AA$83:$AA$99,0),MATCH('County Scaled Consumption '!H$2,Production_Consumption!$AA$83:$AJ$83,0)))*'CA Population'!$L287*10^6</f>
        <v>425.12092263579092</v>
      </c>
      <c r="I287" s="143">
        <f>(INDEX(Production_Consumption!$AA$83:$AJ$99,MATCH('County Scaled Consumption '!$B287,Production_Consumption!$AA$83:$AA$99,0),MATCH('County Scaled Consumption '!I$2,Production_Consumption!$AA$83:$AJ$83,0)))*'CA Population'!$L287*10^6</f>
        <v>8477.0401475450853</v>
      </c>
      <c r="J287" s="143">
        <f>(INDEX(Production_Consumption!$AA$83:$AJ$99,MATCH('County Scaled Consumption '!$B287,Production_Consumption!$AA$83:$AA$99,0),MATCH('County Scaled Consumption '!J$2,Production_Consumption!$AA$83:$AJ$83,0)))*'CA Population'!$L287*10^6</f>
        <v>5216.4903790911958</v>
      </c>
      <c r="K287" s="143">
        <f>(INDEX(Production_Consumption!$AA$83:$AJ$99,MATCH('County Scaled Consumption '!$B287,Production_Consumption!$AA$83:$AA$99,0),MATCH('County Scaled Consumption '!K$2,Production_Consumption!$AA$83:$AJ$83,0)))*'CA Population'!$L287*10^6</f>
        <v>74355.886294485579</v>
      </c>
      <c r="L287" s="131">
        <f t="shared" si="4"/>
        <v>0</v>
      </c>
    </row>
    <row r="288" spans="1:12" x14ac:dyDescent="0.2">
      <c r="A288" s="132" t="s">
        <v>354</v>
      </c>
      <c r="B288" s="129">
        <v>2016</v>
      </c>
      <c r="C288" s="143">
        <f>(INDEX(Production_Consumption!$AA$83:$AJ$99,MATCH('County Scaled Consumption '!$B288,Production_Consumption!$AA$83:$AA$99,0),MATCH('County Scaled Consumption '!C$2,Production_Consumption!$AA$83:$AJ$83,0)))*'CA Population'!$L288*10^6</f>
        <v>6377.6747118644453</v>
      </c>
      <c r="D288" s="143">
        <f>(INDEX(Production_Consumption!$AA$83:$AJ$99,MATCH('County Scaled Consumption '!$B288,Production_Consumption!$AA$83:$AA$99,0),MATCH('County Scaled Consumption '!D$2,Production_Consumption!$AA$83:$AJ$83,0)))*'CA Population'!$L288*10^6</f>
        <v>24423.729588823669</v>
      </c>
      <c r="E288" s="143">
        <f>(INDEX(Production_Consumption!$AA$83:$AJ$99,MATCH('County Scaled Consumption '!$B288,Production_Consumption!$AA$83:$AA$99,0),MATCH('County Scaled Consumption '!E$2,Production_Consumption!$AA$83:$AJ$83,0)))*'CA Population'!$L288*10^6</f>
        <v>12775.464873278168</v>
      </c>
      <c r="F288" s="143">
        <f>(INDEX(Production_Consumption!$AA$83:$AJ$99,MATCH('County Scaled Consumption '!$B288,Production_Consumption!$AA$83:$AA$99,0),MATCH('County Scaled Consumption '!F$2,Production_Consumption!$AA$83:$AJ$83,0)))*'CA Population'!$L288*10^6</f>
        <v>4444.4781240890907</v>
      </c>
      <c r="G288" s="143">
        <f>(INDEX(Production_Consumption!$AA$83:$AJ$99,MATCH('County Scaled Consumption '!$B288,Production_Consumption!$AA$83:$AA$99,0),MATCH('County Scaled Consumption '!G$2,Production_Consumption!$AA$83:$AJ$83,0)))*'CA Population'!$L288*10^6</f>
        <v>16642.383824716711</v>
      </c>
      <c r="H288" s="143">
        <f>(INDEX(Production_Consumption!$AA$83:$AJ$99,MATCH('County Scaled Consumption '!$B288,Production_Consumption!$AA$83:$AA$99,0),MATCH('County Scaled Consumption '!H$2,Production_Consumption!$AA$83:$AJ$83,0)))*'CA Population'!$L288*10^6</f>
        <v>456.36067303925955</v>
      </c>
      <c r="I288" s="143">
        <f>(INDEX(Production_Consumption!$AA$83:$AJ$99,MATCH('County Scaled Consumption '!$B288,Production_Consumption!$AA$83:$AA$99,0),MATCH('County Scaled Consumption '!I$2,Production_Consumption!$AA$83:$AJ$83,0)))*'CA Population'!$L288*10^6</f>
        <v>9099.9702464157253</v>
      </c>
      <c r="J288" s="143">
        <f>(INDEX(Production_Consumption!$AA$83:$AJ$99,MATCH('County Scaled Consumption '!$B288,Production_Consumption!$AA$83:$AA$99,0),MATCH('County Scaled Consumption '!J$2,Production_Consumption!$AA$83:$AJ$83,0)))*'CA Population'!$L288*10^6</f>
        <v>5599.8209769232781</v>
      </c>
      <c r="K288" s="143">
        <f>(INDEX(Production_Consumption!$AA$83:$AJ$99,MATCH('County Scaled Consumption '!$B288,Production_Consumption!$AA$83:$AA$99,0),MATCH('County Scaled Consumption '!K$2,Production_Consumption!$AA$83:$AJ$83,0)))*'CA Population'!$L288*10^6</f>
        <v>79819.883019150337</v>
      </c>
      <c r="L288" s="131">
        <f t="shared" si="4"/>
        <v>0</v>
      </c>
    </row>
    <row r="289" spans="1:12" x14ac:dyDescent="0.2">
      <c r="A289" s="132" t="s">
        <v>355</v>
      </c>
      <c r="B289" s="129">
        <v>2016</v>
      </c>
      <c r="C289" s="143">
        <f>(INDEX(Production_Consumption!$AA$83:$AJ$99,MATCH('County Scaled Consumption '!$B289,Production_Consumption!$AA$83:$AA$99,0),MATCH('County Scaled Consumption '!C$2,Production_Consumption!$AA$83:$AJ$83,0)))*'CA Population'!$L289*10^6</f>
        <v>1145.1150827940392</v>
      </c>
      <c r="D289" s="143">
        <f>(INDEX(Production_Consumption!$AA$83:$AJ$99,MATCH('County Scaled Consumption '!$B289,Production_Consumption!$AA$83:$AA$99,0),MATCH('County Scaled Consumption '!D$2,Production_Consumption!$AA$83:$AJ$83,0)))*'CA Population'!$L289*10^6</f>
        <v>4385.2943892255826</v>
      </c>
      <c r="E289" s="143">
        <f>(INDEX(Production_Consumption!$AA$83:$AJ$99,MATCH('County Scaled Consumption '!$B289,Production_Consumption!$AA$83:$AA$99,0),MATCH('County Scaled Consumption '!E$2,Production_Consumption!$AA$83:$AJ$83,0)))*'CA Population'!$L289*10^6</f>
        <v>2293.8419058722311</v>
      </c>
      <c r="F289" s="143">
        <f>(INDEX(Production_Consumption!$AA$83:$AJ$99,MATCH('County Scaled Consumption '!$B289,Production_Consumption!$AA$83:$AA$99,0),MATCH('County Scaled Consumption '!F$2,Production_Consumption!$AA$83:$AJ$83,0)))*'CA Population'!$L289*10^6</f>
        <v>798.00854778225755</v>
      </c>
      <c r="G289" s="143">
        <f>(INDEX(Production_Consumption!$AA$83:$AJ$99,MATCH('County Scaled Consumption '!$B289,Production_Consumption!$AA$83:$AA$99,0),MATCH('County Scaled Consumption '!G$2,Production_Consumption!$AA$83:$AJ$83,0)))*'CA Population'!$L289*10^6</f>
        <v>2988.149379252272</v>
      </c>
      <c r="H289" s="143">
        <f>(INDEX(Production_Consumption!$AA$83:$AJ$99,MATCH('County Scaled Consumption '!$B289,Production_Consumption!$AA$83:$AA$99,0),MATCH('County Scaled Consumption '!H$2,Production_Consumption!$AA$83:$AJ$83,0)))*'CA Population'!$L289*10^6</f>
        <v>81.939815606952266</v>
      </c>
      <c r="I289" s="143">
        <f>(INDEX(Production_Consumption!$AA$83:$AJ$99,MATCH('County Scaled Consumption '!$B289,Production_Consumption!$AA$83:$AA$99,0),MATCH('County Scaled Consumption '!I$2,Production_Consumption!$AA$83:$AJ$83,0)))*'CA Population'!$L289*10^6</f>
        <v>1633.9047776711254</v>
      </c>
      <c r="J289" s="143">
        <f>(INDEX(Production_Consumption!$AA$83:$AJ$99,MATCH('County Scaled Consumption '!$B289,Production_Consumption!$AA$83:$AA$99,0),MATCH('County Scaled Consumption '!J$2,Production_Consumption!$AA$83:$AJ$83,0)))*'CA Population'!$L289*10^6</f>
        <v>1005.451007040572</v>
      </c>
      <c r="K289" s="143">
        <f>(INDEX(Production_Consumption!$AA$83:$AJ$99,MATCH('County Scaled Consumption '!$B289,Production_Consumption!$AA$83:$AA$99,0),MATCH('County Scaled Consumption '!K$2,Production_Consumption!$AA$83:$AJ$83,0)))*'CA Population'!$L289*10^6</f>
        <v>14331.704905245033</v>
      </c>
      <c r="L289" s="131">
        <f t="shared" si="4"/>
        <v>0</v>
      </c>
    </row>
    <row r="290" spans="1:12" x14ac:dyDescent="0.2">
      <c r="A290" s="132" t="s">
        <v>356</v>
      </c>
      <c r="B290" s="129">
        <v>2016</v>
      </c>
      <c r="C290" s="143">
        <f>(INDEX(Production_Consumption!$AA$83:$AJ$99,MATCH('County Scaled Consumption '!$B290,Production_Consumption!$AA$83:$AA$99,0),MATCH('County Scaled Consumption '!C$2,Production_Consumption!$AA$83:$AJ$83,0)))*'CA Population'!$L290*10^6</f>
        <v>753.30200555119688</v>
      </c>
      <c r="D290" s="143">
        <f>(INDEX(Production_Consumption!$AA$83:$AJ$99,MATCH('County Scaled Consumption '!$B290,Production_Consumption!$AA$83:$AA$99,0),MATCH('County Scaled Consumption '!D$2,Production_Consumption!$AA$83:$AJ$83,0)))*'CA Population'!$L290*10^6</f>
        <v>2884.8201442563677</v>
      </c>
      <c r="E290" s="143">
        <f>(INDEX(Production_Consumption!$AA$83:$AJ$99,MATCH('County Scaled Consumption '!$B290,Production_Consumption!$AA$83:$AA$99,0),MATCH('County Scaled Consumption '!E$2,Production_Consumption!$AA$83:$AJ$83,0)))*'CA Population'!$L290*10^6</f>
        <v>1508.9799567522787</v>
      </c>
      <c r="F290" s="143">
        <f>(INDEX(Production_Consumption!$AA$83:$AJ$99,MATCH('County Scaled Consumption '!$B290,Production_Consumption!$AA$83:$AA$99,0),MATCH('County Scaled Consumption '!F$2,Production_Consumption!$AA$83:$AJ$83,0)))*'CA Population'!$L290*10^6</f>
        <v>524.96159427453313</v>
      </c>
      <c r="G290" s="143">
        <f>(INDEX(Production_Consumption!$AA$83:$AJ$99,MATCH('County Scaled Consumption '!$B290,Production_Consumption!$AA$83:$AA$99,0),MATCH('County Scaled Consumption '!G$2,Production_Consumption!$AA$83:$AJ$83,0)))*'CA Population'!$L290*10^6</f>
        <v>1965.7228815683691</v>
      </c>
      <c r="H290" s="143">
        <f>(INDEX(Production_Consumption!$AA$83:$AJ$99,MATCH('County Scaled Consumption '!$B290,Production_Consumption!$AA$83:$AA$99,0),MATCH('County Scaled Consumption '!H$2,Production_Consumption!$AA$83:$AJ$83,0)))*'CA Population'!$L290*10^6</f>
        <v>53.903252484112429</v>
      </c>
      <c r="I290" s="143">
        <f>(INDEX(Production_Consumption!$AA$83:$AJ$99,MATCH('County Scaled Consumption '!$B290,Production_Consumption!$AA$83:$AA$99,0),MATCH('County Scaled Consumption '!I$2,Production_Consumption!$AA$83:$AJ$83,0)))*'CA Population'!$L290*10^6</f>
        <v>1074.8472047858947</v>
      </c>
      <c r="J290" s="143">
        <f>(INDEX(Production_Consumption!$AA$83:$AJ$99,MATCH('County Scaled Consumption '!$B290,Production_Consumption!$AA$83:$AA$99,0),MATCH('County Scaled Consumption '!J$2,Production_Consumption!$AA$83:$AJ$83,0)))*'CA Population'!$L290*10^6</f>
        <v>661.42545100278028</v>
      </c>
      <c r="K290" s="143">
        <f>(INDEX(Production_Consumption!$AA$83:$AJ$99,MATCH('County Scaled Consumption '!$B290,Production_Consumption!$AA$83:$AA$99,0),MATCH('County Scaled Consumption '!K$2,Production_Consumption!$AA$83:$AJ$83,0)))*'CA Population'!$L290*10^6</f>
        <v>9427.9624906755325</v>
      </c>
      <c r="L290" s="131">
        <f t="shared" si="4"/>
        <v>0</v>
      </c>
    </row>
    <row r="291" spans="1:12" x14ac:dyDescent="0.2">
      <c r="A291" s="132" t="s">
        <v>357</v>
      </c>
      <c r="B291" s="129">
        <v>2016</v>
      </c>
      <c r="C291" s="143">
        <f>(INDEX(Production_Consumption!$AA$83:$AJ$99,MATCH('County Scaled Consumption '!$B291,Production_Consumption!$AA$83:$AA$99,0),MATCH('County Scaled Consumption '!C$2,Production_Consumption!$AA$83:$AJ$83,0)))*'CA Population'!$L291*10^6</f>
        <v>161.43706433531943</v>
      </c>
      <c r="D291" s="143">
        <f>(INDEX(Production_Consumption!$AA$83:$AJ$99,MATCH('County Scaled Consumption '!$B291,Production_Consumption!$AA$83:$AA$99,0),MATCH('County Scaled Consumption '!D$2,Production_Consumption!$AA$83:$AJ$83,0)))*'CA Population'!$L291*10^6</f>
        <v>618.23397759756676</v>
      </c>
      <c r="E291" s="143">
        <f>(INDEX(Production_Consumption!$AA$83:$AJ$99,MATCH('County Scaled Consumption '!$B291,Production_Consumption!$AA$83:$AA$99,0),MATCH('County Scaled Consumption '!E$2,Production_Consumption!$AA$83:$AJ$83,0)))*'CA Population'!$L291*10^6</f>
        <v>323.38330784169</v>
      </c>
      <c r="F291" s="143">
        <f>(INDEX(Production_Consumption!$AA$83:$AJ$99,MATCH('County Scaled Consumption '!$B291,Production_Consumption!$AA$83:$AA$99,0),MATCH('County Scaled Consumption '!F$2,Production_Consumption!$AA$83:$AJ$83,0)))*'CA Population'!$L291*10^6</f>
        <v>112.50236697094509</v>
      </c>
      <c r="G291" s="143">
        <f>(INDEX(Production_Consumption!$AA$83:$AJ$99,MATCH('County Scaled Consumption '!$B291,Production_Consumption!$AA$83:$AA$99,0),MATCH('County Scaled Consumption '!G$2,Production_Consumption!$AA$83:$AJ$83,0)))*'CA Population'!$L291*10^6</f>
        <v>421.26601145175744</v>
      </c>
      <c r="H291" s="143">
        <f>(INDEX(Production_Consumption!$AA$83:$AJ$99,MATCH('County Scaled Consumption '!$B291,Production_Consumption!$AA$83:$AA$99,0),MATCH('County Scaled Consumption '!H$2,Production_Consumption!$AA$83:$AJ$83,0)))*'CA Population'!$L291*10^6</f>
        <v>11.551785041104887</v>
      </c>
      <c r="I291" s="143">
        <f>(INDEX(Production_Consumption!$AA$83:$AJ$99,MATCH('County Scaled Consumption '!$B291,Production_Consumption!$AA$83:$AA$99,0),MATCH('County Scaled Consumption '!I$2,Production_Consumption!$AA$83:$AJ$83,0)))*'CA Population'!$L291*10^6</f>
        <v>230.34609767525134</v>
      </c>
      <c r="J291" s="143">
        <f>(INDEX(Production_Consumption!$AA$83:$AJ$99,MATCH('County Scaled Consumption '!$B291,Production_Consumption!$AA$83:$AA$99,0),MATCH('County Scaled Consumption '!J$2,Production_Consumption!$AA$83:$AJ$83,0)))*'CA Population'!$L291*10^6</f>
        <v>141.74737661613261</v>
      </c>
      <c r="K291" s="143">
        <f>(INDEX(Production_Consumption!$AA$83:$AJ$99,MATCH('County Scaled Consumption '!$B291,Production_Consumption!$AA$83:$AA$99,0),MATCH('County Scaled Consumption '!K$2,Production_Consumption!$AA$83:$AJ$83,0)))*'CA Population'!$L291*10^6</f>
        <v>2020.4679875297677</v>
      </c>
      <c r="L291" s="131">
        <f t="shared" si="4"/>
        <v>0</v>
      </c>
    </row>
    <row r="292" spans="1:12" x14ac:dyDescent="0.2">
      <c r="A292" s="132" t="s">
        <v>358</v>
      </c>
      <c r="B292" s="129">
        <v>2016</v>
      </c>
      <c r="C292" s="143">
        <f>(INDEX(Production_Consumption!$AA$83:$AJ$99,MATCH('County Scaled Consumption '!$B292,Production_Consumption!$AA$83:$AA$99,0),MATCH('County Scaled Consumption '!C$2,Production_Consumption!$AA$83:$AJ$83,0)))*'CA Population'!$L292*10^6</f>
        <v>5503.3836097454596</v>
      </c>
      <c r="D292" s="143">
        <f>(INDEX(Production_Consumption!$AA$83:$AJ$99,MATCH('County Scaled Consumption '!$B292,Production_Consumption!$AA$83:$AA$99,0),MATCH('County Scaled Consumption '!D$2,Production_Consumption!$AA$83:$AJ$83,0)))*'CA Population'!$L292*10^6</f>
        <v>21075.573650367805</v>
      </c>
      <c r="E292" s="143">
        <f>(INDEX(Production_Consumption!$AA$83:$AJ$99,MATCH('County Scaled Consumption '!$B292,Production_Consumption!$AA$83:$AA$99,0),MATCH('County Scaled Consumption '!E$2,Production_Consumption!$AA$83:$AJ$83,0)))*'CA Population'!$L292*10^6</f>
        <v>11024.125118780801</v>
      </c>
      <c r="F292" s="143">
        <f>(INDEX(Production_Consumption!$AA$83:$AJ$99,MATCH('County Scaled Consumption '!$B292,Production_Consumption!$AA$83:$AA$99,0),MATCH('County Scaled Consumption '!F$2,Production_Consumption!$AA$83:$AJ$83,0)))*'CA Population'!$L292*10^6</f>
        <v>3835.2015690736953</v>
      </c>
      <c r="G292" s="143">
        <f>(INDEX(Production_Consumption!$AA$83:$AJ$99,MATCH('County Scaled Consumption '!$B292,Production_Consumption!$AA$83:$AA$99,0),MATCH('County Scaled Consumption '!G$2,Production_Consumption!$AA$83:$AJ$83,0)))*'CA Population'!$L292*10^6</f>
        <v>14360.942899400983</v>
      </c>
      <c r="H292" s="143">
        <f>(INDEX(Production_Consumption!$AA$83:$AJ$99,MATCH('County Scaled Consumption '!$B292,Production_Consumption!$AA$83:$AA$99,0),MATCH('County Scaled Consumption '!H$2,Production_Consumption!$AA$83:$AJ$83,0)))*'CA Population'!$L292*10^6</f>
        <v>393.79992890895642</v>
      </c>
      <c r="I292" s="143">
        <f>(INDEX(Production_Consumption!$AA$83:$AJ$99,MATCH('County Scaled Consumption '!$B292,Production_Consumption!$AA$83:$AA$99,0),MATCH('County Scaled Consumption '!I$2,Production_Consumption!$AA$83:$AJ$83,0)))*'CA Population'!$L292*10^6</f>
        <v>7852.490032163324</v>
      </c>
      <c r="J292" s="143">
        <f>(INDEX(Production_Consumption!$AA$83:$AJ$99,MATCH('County Scaled Consumption '!$B292,Production_Consumption!$AA$83:$AA$99,0),MATCH('County Scaled Consumption '!J$2,Production_Consumption!$AA$83:$AJ$83,0)))*'CA Population'!$L292*10^6</f>
        <v>4832.1628766323629</v>
      </c>
      <c r="K292" s="143">
        <f>(INDEX(Production_Consumption!$AA$83:$AJ$99,MATCH('County Scaled Consumption '!$B292,Production_Consumption!$AA$83:$AA$99,0),MATCH('County Scaled Consumption '!K$2,Production_Consumption!$AA$83:$AJ$83,0)))*'CA Population'!$L292*10^6</f>
        <v>68877.679685073381</v>
      </c>
      <c r="L292" s="131">
        <f t="shared" si="4"/>
        <v>0</v>
      </c>
    </row>
    <row r="293" spans="1:12" x14ac:dyDescent="0.2">
      <c r="A293" s="132" t="s">
        <v>359</v>
      </c>
      <c r="B293" s="129">
        <v>2016</v>
      </c>
      <c r="C293" s="143">
        <f>(INDEX(Production_Consumption!$AA$83:$AJ$99,MATCH('County Scaled Consumption '!$B293,Production_Consumption!$AA$83:$AA$99,0),MATCH('County Scaled Consumption '!C$2,Production_Consumption!$AA$83:$AJ$83,0)))*'CA Population'!$L293*10^6</f>
        <v>649.85218857383131</v>
      </c>
      <c r="D293" s="143">
        <f>(INDEX(Production_Consumption!$AA$83:$AJ$99,MATCH('County Scaled Consumption '!$B293,Production_Consumption!$AA$83:$AA$99,0),MATCH('County Scaled Consumption '!D$2,Production_Consumption!$AA$83:$AJ$83,0)))*'CA Population'!$L293*10^6</f>
        <v>2488.6521880625273</v>
      </c>
      <c r="E293" s="143">
        <f>(INDEX(Production_Consumption!$AA$83:$AJ$99,MATCH('County Scaled Consumption '!$B293,Production_Consumption!$AA$83:$AA$99,0),MATCH('County Scaled Consumption '!E$2,Production_Consumption!$AA$83:$AJ$83,0)))*'CA Population'!$L293*10^6</f>
        <v>1301.7540378005378</v>
      </c>
      <c r="F293" s="143">
        <f>(INDEX(Production_Consumption!$AA$83:$AJ$99,MATCH('County Scaled Consumption '!$B293,Production_Consumption!$AA$83:$AA$99,0),MATCH('County Scaled Consumption '!F$2,Production_Consumption!$AA$83:$AJ$83,0)))*'CA Population'!$L293*10^6</f>
        <v>452.86941816501979</v>
      </c>
      <c r="G293" s="143">
        <f>(INDEX(Production_Consumption!$AA$83:$AJ$99,MATCH('County Scaled Consumption '!$B293,Production_Consumption!$AA$83:$AA$99,0),MATCH('County Scaled Consumption '!G$2,Production_Consumption!$AA$83:$AJ$83,0)))*'CA Population'!$L293*10^6</f>
        <v>1695.7731524717742</v>
      </c>
      <c r="H293" s="143">
        <f>(INDEX(Production_Consumption!$AA$83:$AJ$99,MATCH('County Scaled Consumption '!$B293,Production_Consumption!$AA$83:$AA$99,0),MATCH('County Scaled Consumption '!H$2,Production_Consumption!$AA$83:$AJ$83,0)))*'CA Population'!$L293*10^6</f>
        <v>46.500800927002949</v>
      </c>
      <c r="I293" s="143">
        <f>(INDEX(Production_Consumption!$AA$83:$AJ$99,MATCH('County Scaled Consumption '!$B293,Production_Consumption!$AA$83:$AA$99,0),MATCH('County Scaled Consumption '!I$2,Production_Consumption!$AA$83:$AJ$83,0)))*'CA Population'!$L293*10^6</f>
        <v>927.24007538183423</v>
      </c>
      <c r="J293" s="143">
        <f>(INDEX(Production_Consumption!$AA$83:$AJ$99,MATCH('County Scaled Consumption '!$B293,Production_Consumption!$AA$83:$AA$99,0),MATCH('County Scaled Consumption '!J$2,Production_Consumption!$AA$83:$AJ$83,0)))*'CA Population'!$L293*10^6</f>
        <v>570.59290131330681</v>
      </c>
      <c r="K293" s="143">
        <f>(INDEX(Production_Consumption!$AA$83:$AJ$99,MATCH('County Scaled Consumption '!$B293,Production_Consumption!$AA$83:$AA$99,0),MATCH('County Scaled Consumption '!K$2,Production_Consumption!$AA$83:$AJ$83,0)))*'CA Population'!$L293*10^6</f>
        <v>8133.2347626958353</v>
      </c>
      <c r="L293" s="131">
        <f t="shared" si="4"/>
        <v>0</v>
      </c>
    </row>
    <row r="294" spans="1:12" x14ac:dyDescent="0.2">
      <c r="A294" s="132" t="s">
        <v>360</v>
      </c>
      <c r="B294" s="129">
        <v>2016</v>
      </c>
      <c r="C294" s="143">
        <f>(INDEX(Production_Consumption!$AA$83:$AJ$99,MATCH('County Scaled Consumption '!$B294,Production_Consumption!$AA$83:$AA$99,0),MATCH('County Scaled Consumption '!C$2,Production_Consumption!$AA$83:$AJ$83,0)))*'CA Population'!$L294*10^6</f>
        <v>10044.9926034607</v>
      </c>
      <c r="D294" s="143">
        <f>(INDEX(Production_Consumption!$AA$83:$AJ$99,MATCH('County Scaled Consumption '!$B294,Production_Consumption!$AA$83:$AA$99,0),MATCH('County Scaled Consumption '!D$2,Production_Consumption!$AA$83:$AJ$83,0)))*'CA Population'!$L294*10^6</f>
        <v>38467.967425848306</v>
      </c>
      <c r="E294" s="143">
        <f>(INDEX(Production_Consumption!$AA$83:$AJ$99,MATCH('County Scaled Consumption '!$B294,Production_Consumption!$AA$83:$AA$99,0),MATCH('County Scaled Consumption '!E$2,Production_Consumption!$AA$83:$AJ$83,0)))*'CA Population'!$L294*10^6</f>
        <v>20121.667528624308</v>
      </c>
      <c r="F294" s="143">
        <f>(INDEX(Production_Consumption!$AA$83:$AJ$99,MATCH('County Scaled Consumption '!$B294,Production_Consumption!$AA$83:$AA$99,0),MATCH('County Scaled Consumption '!F$2,Production_Consumption!$AA$83:$AJ$83,0)))*'CA Population'!$L294*10^6</f>
        <v>7000.1610147448828</v>
      </c>
      <c r="G294" s="143">
        <f>(INDEX(Production_Consumption!$AA$83:$AJ$99,MATCH('County Scaled Consumption '!$B294,Production_Consumption!$AA$83:$AA$99,0),MATCH('County Scaled Consumption '!G$2,Production_Consumption!$AA$83:$AJ$83,0)))*'CA Population'!$L294*10^6</f>
        <v>26212.158815851901</v>
      </c>
      <c r="H294" s="143">
        <f>(INDEX(Production_Consumption!$AA$83:$AJ$99,MATCH('County Scaled Consumption '!$B294,Production_Consumption!$AA$83:$AA$99,0),MATCH('County Scaled Consumption '!H$2,Production_Consumption!$AA$83:$AJ$83,0)))*'CA Population'!$L294*10^6</f>
        <v>718.77914636533467</v>
      </c>
      <c r="I294" s="143">
        <f>(INDEX(Production_Consumption!$AA$83:$AJ$99,MATCH('County Scaled Consumption '!$B294,Production_Consumption!$AA$83:$AA$99,0),MATCH('County Scaled Consumption '!I$2,Production_Consumption!$AA$83:$AJ$83,0)))*'CA Population'!$L294*10^6</f>
        <v>14332.674202857846</v>
      </c>
      <c r="J294" s="143">
        <f>(INDEX(Production_Consumption!$AA$83:$AJ$99,MATCH('County Scaled Consumption '!$B294,Production_Consumption!$AA$83:$AA$99,0),MATCH('County Scaled Consumption '!J$2,Production_Consumption!$AA$83:$AJ$83,0)))*'CA Population'!$L294*10^6</f>
        <v>8819.8540745980208</v>
      </c>
      <c r="K294" s="143">
        <f>(INDEX(Production_Consumption!$AA$83:$AJ$99,MATCH('County Scaled Consumption '!$B294,Production_Consumption!$AA$83:$AA$99,0),MATCH('County Scaled Consumption '!K$2,Production_Consumption!$AA$83:$AJ$83,0)))*'CA Population'!$L294*10^6</f>
        <v>125718.2548123513</v>
      </c>
      <c r="L294" s="131">
        <f t="shared" si="4"/>
        <v>0</v>
      </c>
    </row>
    <row r="295" spans="1:12" x14ac:dyDescent="0.2">
      <c r="A295" s="132" t="s">
        <v>361</v>
      </c>
      <c r="B295" s="129">
        <v>2016</v>
      </c>
      <c r="C295" s="143">
        <f>(INDEX(Production_Consumption!$AA$83:$AJ$99,MATCH('County Scaled Consumption '!$B295,Production_Consumption!$AA$83:$AA$99,0),MATCH('County Scaled Consumption '!C$2,Production_Consumption!$AA$83:$AJ$83,0)))*'CA Population'!$L295*10^6</f>
        <v>2541.4096800462112</v>
      </c>
      <c r="D295" s="143">
        <f>(INDEX(Production_Consumption!$AA$83:$AJ$99,MATCH('County Scaled Consumption '!$B295,Production_Consumption!$AA$83:$AA$99,0),MATCH('County Scaled Consumption '!D$2,Production_Consumption!$AA$83:$AJ$83,0)))*'CA Population'!$L295*10^6</f>
        <v>9732.4974389798936</v>
      </c>
      <c r="E295" s="143">
        <f>(INDEX(Production_Consumption!$AA$83:$AJ$99,MATCH('County Scaled Consumption '!$B295,Production_Consumption!$AA$83:$AA$99,0),MATCH('County Scaled Consumption '!E$2,Production_Consumption!$AA$83:$AJ$83,0)))*'CA Population'!$L295*10^6</f>
        <v>5090.8350712273786</v>
      </c>
      <c r="F295" s="143">
        <f>(INDEX(Production_Consumption!$AA$83:$AJ$99,MATCH('County Scaled Consumption '!$B295,Production_Consumption!$AA$83:$AA$99,0),MATCH('County Scaled Consumption '!F$2,Production_Consumption!$AA$83:$AJ$83,0)))*'CA Population'!$L295*10^6</f>
        <v>1771.0592398670012</v>
      </c>
      <c r="G295" s="143">
        <f>(INDEX(Production_Consumption!$AA$83:$AJ$99,MATCH('County Scaled Consumption '!$B295,Production_Consumption!$AA$83:$AA$99,0),MATCH('County Scaled Consumption '!G$2,Production_Consumption!$AA$83:$AJ$83,0)))*'CA Population'!$L295*10^6</f>
        <v>6631.7454655530737</v>
      </c>
      <c r="H295" s="143">
        <f>(INDEX(Production_Consumption!$AA$83:$AJ$99,MATCH('County Scaled Consumption '!$B295,Production_Consumption!$AA$83:$AA$99,0),MATCH('County Scaled Consumption '!H$2,Production_Consumption!$AA$83:$AJ$83,0)))*'CA Population'!$L295*10^6</f>
        <v>181.85302393939799</v>
      </c>
      <c r="I295" s="143">
        <f>(INDEX(Production_Consumption!$AA$83:$AJ$99,MATCH('County Scaled Consumption '!$B295,Production_Consumption!$AA$83:$AA$99,0),MATCH('County Scaled Consumption '!I$2,Production_Consumption!$AA$83:$AJ$83,0)))*'CA Population'!$L295*10^6</f>
        <v>3626.2044580841552</v>
      </c>
      <c r="J295" s="143">
        <f>(INDEX(Production_Consumption!$AA$83:$AJ$99,MATCH('County Scaled Consumption '!$B295,Production_Consumption!$AA$83:$AA$99,0),MATCH('County Scaled Consumption '!J$2,Production_Consumption!$AA$83:$AJ$83,0)))*'CA Population'!$L295*10^6</f>
        <v>2231.4463939033726</v>
      </c>
      <c r="K295" s="143">
        <f>(INDEX(Production_Consumption!$AA$83:$AJ$99,MATCH('County Scaled Consumption '!$B295,Production_Consumption!$AA$83:$AA$99,0),MATCH('County Scaled Consumption '!K$2,Production_Consumption!$AA$83:$AJ$83,0)))*'CA Population'!$L295*10^6</f>
        <v>31807.050771600483</v>
      </c>
      <c r="L295" s="131">
        <f t="shared" si="4"/>
        <v>0</v>
      </c>
    </row>
    <row r="296" spans="1:12" x14ac:dyDescent="0.2">
      <c r="A296" s="132" t="s">
        <v>362</v>
      </c>
      <c r="B296" s="129">
        <v>2016</v>
      </c>
      <c r="C296" s="143">
        <f>(INDEX(Production_Consumption!$AA$83:$AJ$99,MATCH('County Scaled Consumption '!$B296,Production_Consumption!$AA$83:$AA$99,0),MATCH('County Scaled Consumption '!C$2,Production_Consumption!$AA$83:$AJ$83,0)))*'CA Population'!$L296*10^6</f>
        <v>883.16127048905821</v>
      </c>
      <c r="D296" s="143">
        <f>(INDEX(Production_Consumption!$AA$83:$AJ$99,MATCH('County Scaled Consumption '!$B296,Production_Consumption!$AA$83:$AA$99,0),MATCH('County Scaled Consumption '!D$2,Production_Consumption!$AA$83:$AJ$83,0)))*'CA Population'!$L296*10^6</f>
        <v>3382.1248383238608</v>
      </c>
      <c r="E296" s="143">
        <f>(INDEX(Production_Consumption!$AA$83:$AJ$99,MATCH('County Scaled Consumption '!$B296,Production_Consumption!$AA$83:$AA$99,0),MATCH('County Scaled Consumption '!E$2,Production_Consumption!$AA$83:$AJ$83,0)))*'CA Population'!$L296*10^6</f>
        <v>1769.1080681150445</v>
      </c>
      <c r="F296" s="143">
        <f>(INDEX(Production_Consumption!$AA$83:$AJ$99,MATCH('County Scaled Consumption '!$B296,Production_Consumption!$AA$83:$AA$99,0),MATCH('County Scaled Consumption '!F$2,Production_Consumption!$AA$83:$AJ$83,0)))*'CA Population'!$L296*10^6</f>
        <v>615.45800375006263</v>
      </c>
      <c r="G296" s="143">
        <f>(INDEX(Production_Consumption!$AA$83:$AJ$99,MATCH('County Scaled Consumption '!$B296,Production_Consumption!$AA$83:$AA$99,0),MATCH('County Scaled Consumption '!G$2,Production_Consumption!$AA$83:$AJ$83,0)))*'CA Population'!$L296*10^6</f>
        <v>2304.5874094614314</v>
      </c>
      <c r="H296" s="143">
        <f>(INDEX(Production_Consumption!$AA$83:$AJ$99,MATCH('County Scaled Consumption '!$B296,Production_Consumption!$AA$83:$AA$99,0),MATCH('County Scaled Consumption '!H$2,Production_Consumption!$AA$83:$AJ$83,0)))*'CA Population'!$L296*10^6</f>
        <v>63.195457594100098</v>
      </c>
      <c r="I296" s="143">
        <f>(INDEX(Production_Consumption!$AA$83:$AJ$99,MATCH('County Scaled Consumption '!$B296,Production_Consumption!$AA$83:$AA$99,0),MATCH('County Scaled Consumption '!I$2,Production_Consumption!$AA$83:$AJ$83,0)))*'CA Population'!$L296*10^6</f>
        <v>1260.1365932455474</v>
      </c>
      <c r="J296" s="143">
        <f>(INDEX(Production_Consumption!$AA$83:$AJ$99,MATCH('County Scaled Consumption '!$B296,Production_Consumption!$AA$83:$AA$99,0),MATCH('County Scaled Consumption '!J$2,Production_Consumption!$AA$83:$AJ$83,0)))*'CA Population'!$L296*10^6</f>
        <v>775.44641768740553</v>
      </c>
      <c r="K296" s="143">
        <f>(INDEX(Production_Consumption!$AA$83:$AJ$99,MATCH('County Scaled Consumption '!$B296,Production_Consumption!$AA$83:$AA$99,0),MATCH('County Scaled Consumption '!K$2,Production_Consumption!$AA$83:$AJ$83,0)))*'CA Population'!$L296*10^6</f>
        <v>11053.218058666511</v>
      </c>
      <c r="L296" s="131">
        <f t="shared" si="4"/>
        <v>0</v>
      </c>
    </row>
    <row r="297" spans="1:12" x14ac:dyDescent="0.2">
      <c r="A297" s="132" t="s">
        <v>363</v>
      </c>
      <c r="B297" s="129">
        <v>2016</v>
      </c>
      <c r="C297" s="143">
        <f>(INDEX(Production_Consumption!$AA$83:$AJ$99,MATCH('County Scaled Consumption '!$B297,Production_Consumption!$AA$83:$AA$99,0),MATCH('County Scaled Consumption '!C$2,Production_Consumption!$AA$83:$AJ$83,0)))*'CA Population'!$L297*10^6</f>
        <v>462473.86741837079</v>
      </c>
      <c r="D297" s="143">
        <f>(INDEX(Production_Consumption!$AA$83:$AJ$99,MATCH('County Scaled Consumption '!$B297,Production_Consumption!$AA$83:$AA$99,0),MATCH('County Scaled Consumption '!D$2,Production_Consumption!$AA$83:$AJ$83,0)))*'CA Population'!$L297*10^6</f>
        <v>1771074.4417100735</v>
      </c>
      <c r="E297" s="143">
        <f>(INDEX(Production_Consumption!$AA$83:$AJ$99,MATCH('County Scaled Consumption '!$B297,Production_Consumption!$AA$83:$AA$99,0),MATCH('County Scaled Consumption '!E$2,Production_Consumption!$AA$83:$AJ$83,0)))*'CA Population'!$L297*10^6</f>
        <v>926406.39652273303</v>
      </c>
      <c r="F297" s="143">
        <f>(INDEX(Production_Consumption!$AA$83:$AJ$99,MATCH('County Scaled Consumption '!$B297,Production_Consumption!$AA$83:$AA$99,0),MATCH('County Scaled Consumption '!F$2,Production_Consumption!$AA$83:$AJ$83,0)))*'CA Population'!$L297*10^6</f>
        <v>322289.09117613756</v>
      </c>
      <c r="G297" s="143">
        <f>(INDEX(Production_Consumption!$AA$83:$AJ$99,MATCH('County Scaled Consumption '!$B297,Production_Consumption!$AA$83:$AA$99,0),MATCH('County Scaled Consumption '!G$2,Production_Consumption!$AA$83:$AJ$83,0)))*'CA Population'!$L297*10^6</f>
        <v>1206814.0753807174</v>
      </c>
      <c r="H297" s="143">
        <f>(INDEX(Production_Consumption!$AA$83:$AJ$99,MATCH('County Scaled Consumption '!$B297,Production_Consumption!$AA$83:$AA$99,0),MATCH('County Scaled Consumption '!H$2,Production_Consumption!$AA$83:$AJ$83,0)))*'CA Population'!$L297*10^6</f>
        <v>33092.764202208316</v>
      </c>
      <c r="I297" s="143">
        <f>(INDEX(Production_Consumption!$AA$83:$AJ$99,MATCH('County Scaled Consumption '!$B297,Production_Consumption!$AA$83:$AA$99,0),MATCH('County Scaled Consumption '!I$2,Production_Consumption!$AA$83:$AJ$83,0)))*'CA Population'!$L297*10^6</f>
        <v>659879.75608459255</v>
      </c>
      <c r="J297" s="143">
        <f>(INDEX(Production_Consumption!$AA$83:$AJ$99,MATCH('County Scaled Consumption '!$B297,Production_Consumption!$AA$83:$AA$99,0),MATCH('County Scaled Consumption '!J$2,Production_Consumption!$AA$83:$AJ$83,0)))*'CA Population'!$L297*10^6</f>
        <v>406068.19586305541</v>
      </c>
      <c r="K297" s="143">
        <f>(INDEX(Production_Consumption!$AA$83:$AJ$99,MATCH('County Scaled Consumption '!$B297,Production_Consumption!$AA$83:$AA$99,0),MATCH('County Scaled Consumption '!K$2,Production_Consumption!$AA$83:$AJ$83,0)))*'CA Population'!$L297*10^6</f>
        <v>5788098.5883578882</v>
      </c>
      <c r="L297" s="131">
        <f t="shared" si="4"/>
        <v>0</v>
      </c>
    </row>
    <row r="298" spans="1:12" x14ac:dyDescent="0.2">
      <c r="A298" s="132" t="s">
        <v>305</v>
      </c>
      <c r="B298" s="129">
        <v>2015</v>
      </c>
      <c r="C298" s="143">
        <f>(INDEX(Production_Consumption!$AA$83:$AJ$99,MATCH('County Scaled Consumption '!$B298,Production_Consumption!$AA$83:$AA$99,0),MATCH('County Scaled Consumption '!C$2,Production_Consumption!$AA$83:$AJ$83,0)))*'CA Population'!$L298*10^6</f>
        <v>19795.850832115415</v>
      </c>
      <c r="D298" s="143">
        <f>(INDEX(Production_Consumption!$AA$83:$AJ$99,MATCH('County Scaled Consumption '!$B298,Production_Consumption!$AA$83:$AA$99,0),MATCH('County Scaled Consumption '!D$2,Production_Consumption!$AA$83:$AJ$83,0)))*'CA Population'!$L298*10^6</f>
        <v>77335.965740243264</v>
      </c>
      <c r="E298" s="143">
        <f>(INDEX(Production_Consumption!$AA$83:$AJ$99,MATCH('County Scaled Consumption '!$B298,Production_Consumption!$AA$83:$AA$99,0),MATCH('County Scaled Consumption '!E$2,Production_Consumption!$AA$83:$AJ$83,0)))*'CA Population'!$L298*10^6</f>
        <v>42568.456327658168</v>
      </c>
      <c r="F298" s="143">
        <f>(INDEX(Production_Consumption!$AA$83:$AJ$99,MATCH('County Scaled Consumption '!$B298,Production_Consumption!$AA$83:$AA$99,0),MATCH('County Scaled Consumption '!F$2,Production_Consumption!$AA$83:$AJ$83,0)))*'CA Population'!$L298*10^6</f>
        <v>24684.777191485675</v>
      </c>
      <c r="G298" s="143">
        <f>(INDEX(Production_Consumption!$AA$83:$AJ$99,MATCH('County Scaled Consumption '!$B298,Production_Consumption!$AA$83:$AA$99,0),MATCH('County Scaled Consumption '!G$2,Production_Consumption!$AA$83:$AJ$83,0)))*'CA Population'!$L298*10^6</f>
        <v>51561.520415309977</v>
      </c>
      <c r="H298" s="143">
        <f>(INDEX(Production_Consumption!$AA$83:$AJ$99,MATCH('County Scaled Consumption '!$B298,Production_Consumption!$AA$83:$AA$99,0),MATCH('County Scaled Consumption '!H$2,Production_Consumption!$AA$83:$AJ$83,0)))*'CA Population'!$L298*10^6</f>
        <v>1415.1485874714269</v>
      </c>
      <c r="I298" s="143">
        <f>(INDEX(Production_Consumption!$AA$83:$AJ$99,MATCH('County Scaled Consumption '!$B298,Production_Consumption!$AA$83:$AA$99,0),MATCH('County Scaled Consumption '!I$2,Production_Consumption!$AA$83:$AJ$83,0)))*'CA Population'!$L298*10^6</f>
        <v>28867.942650169603</v>
      </c>
      <c r="J298" s="143">
        <f>(INDEX(Production_Consumption!$AA$83:$AJ$99,MATCH('County Scaled Consumption '!$B298,Production_Consumption!$AA$83:$AA$99,0),MATCH('County Scaled Consumption '!J$2,Production_Consumption!$AA$83:$AJ$83,0)))*'CA Population'!$L298*10^6</f>
        <v>17836.680511916376</v>
      </c>
      <c r="K298" s="143">
        <f>(INDEX(Production_Consumption!$AA$83:$AJ$99,MATCH('County Scaled Consumption '!$B298,Production_Consumption!$AA$83:$AA$99,0),MATCH('County Scaled Consumption '!K$2,Production_Consumption!$AA$83:$AJ$83,0)))*'CA Population'!$L298*10^6</f>
        <v>264066.34225636994</v>
      </c>
      <c r="L298" s="131">
        <f t="shared" si="4"/>
        <v>0</v>
      </c>
    </row>
    <row r="299" spans="1:12" x14ac:dyDescent="0.2">
      <c r="A299" s="132" t="s">
        <v>306</v>
      </c>
      <c r="B299" s="129">
        <v>2015</v>
      </c>
      <c r="C299" s="143">
        <f>(INDEX(Production_Consumption!$AA$83:$AJ$99,MATCH('County Scaled Consumption '!$B299,Production_Consumption!$AA$83:$AA$99,0),MATCH('County Scaled Consumption '!C$2,Production_Consumption!$AA$83:$AJ$83,0)))*'CA Population'!$L299*10^6</f>
        <v>14.258047334047459</v>
      </c>
      <c r="D299" s="143">
        <f>(INDEX(Production_Consumption!$AA$83:$AJ$99,MATCH('County Scaled Consumption '!$B299,Production_Consumption!$AA$83:$AA$99,0),MATCH('County Scaled Consumption '!D$2,Production_Consumption!$AA$83:$AJ$83,0)))*'CA Population'!$L299*10^6</f>
        <v>55.70156440862759</v>
      </c>
      <c r="E299" s="143">
        <f>(INDEX(Production_Consumption!$AA$83:$AJ$99,MATCH('County Scaled Consumption '!$B299,Production_Consumption!$AA$83:$AA$99,0),MATCH('County Scaled Consumption '!E$2,Production_Consumption!$AA$83:$AJ$83,0)))*'CA Population'!$L299*10^6</f>
        <v>30.660115112224421</v>
      </c>
      <c r="F299" s="143">
        <f>(INDEX(Production_Consumption!$AA$83:$AJ$99,MATCH('County Scaled Consumption '!$B299,Production_Consumption!$AA$83:$AA$99,0),MATCH('County Scaled Consumption '!F$2,Production_Consumption!$AA$83:$AJ$83,0)))*'CA Population'!$L299*10^6</f>
        <v>17.779317727310193</v>
      </c>
      <c r="G299" s="143">
        <f>(INDEX(Production_Consumption!$AA$83:$AJ$99,MATCH('County Scaled Consumption '!$B299,Production_Consumption!$AA$83:$AA$99,0),MATCH('County Scaled Consumption '!G$2,Production_Consumption!$AA$83:$AJ$83,0)))*'CA Population'!$L299*10^6</f>
        <v>37.137408486846176</v>
      </c>
      <c r="H299" s="143">
        <f>(INDEX(Production_Consumption!$AA$83:$AJ$99,MATCH('County Scaled Consumption '!$B299,Production_Consumption!$AA$83:$AA$99,0),MATCH('County Scaled Consumption '!H$2,Production_Consumption!$AA$83:$AJ$83,0)))*'CA Population'!$L299*10^6</f>
        <v>1.0192669017359852</v>
      </c>
      <c r="I299" s="143">
        <f>(INDEX(Production_Consumption!$AA$83:$AJ$99,MATCH('County Scaled Consumption '!$B299,Production_Consumption!$AA$83:$AA$99,0),MATCH('County Scaled Consumption '!I$2,Production_Consumption!$AA$83:$AJ$83,0)))*'CA Population'!$L299*10^6</f>
        <v>20.792260773905891</v>
      </c>
      <c r="J299" s="143">
        <f>(INDEX(Production_Consumption!$AA$83:$AJ$99,MATCH('County Scaled Consumption '!$B299,Production_Consumption!$AA$83:$AA$99,0),MATCH('County Scaled Consumption '!J$2,Production_Consumption!$AA$83:$AJ$83,0)))*'CA Population'!$L299*10^6</f>
        <v>12.84694642215633</v>
      </c>
      <c r="K299" s="143">
        <f>(INDEX(Production_Consumption!$AA$83:$AJ$99,MATCH('County Scaled Consumption '!$B299,Production_Consumption!$AA$83:$AA$99,0),MATCH('County Scaled Consumption '!K$2,Production_Consumption!$AA$83:$AJ$83,0)))*'CA Population'!$L299*10^6</f>
        <v>190.19492716685406</v>
      </c>
      <c r="L299" s="131">
        <f t="shared" si="4"/>
        <v>0</v>
      </c>
    </row>
    <row r="300" spans="1:12" x14ac:dyDescent="0.2">
      <c r="A300" s="132" t="s">
        <v>307</v>
      </c>
      <c r="B300" s="129">
        <v>2015</v>
      </c>
      <c r="C300" s="143">
        <f>(INDEX(Production_Consumption!$AA$83:$AJ$99,MATCH('County Scaled Consumption '!$B300,Production_Consumption!$AA$83:$AA$99,0),MATCH('County Scaled Consumption '!C$2,Production_Consumption!$AA$83:$AJ$83,0)))*'CA Population'!$L300*10^6</f>
        <v>443.09152089482603</v>
      </c>
      <c r="D300" s="143">
        <f>(INDEX(Production_Consumption!$AA$83:$AJ$99,MATCH('County Scaled Consumption '!$B300,Production_Consumption!$AA$83:$AA$99,0),MATCH('County Scaled Consumption '!D$2,Production_Consumption!$AA$83:$AJ$83,0)))*'CA Population'!$L300*10^6</f>
        <v>1731.0147954904915</v>
      </c>
      <c r="E300" s="143">
        <f>(INDEX(Production_Consumption!$AA$83:$AJ$99,MATCH('County Scaled Consumption '!$B300,Production_Consumption!$AA$83:$AA$99,0),MATCH('County Scaled Consumption '!E$2,Production_Consumption!$AA$83:$AJ$83,0)))*'CA Population'!$L300*10^6</f>
        <v>952.81189054865411</v>
      </c>
      <c r="F300" s="143">
        <f>(INDEX(Production_Consumption!$AA$83:$AJ$99,MATCH('County Scaled Consumption '!$B300,Production_Consumption!$AA$83:$AA$99,0),MATCH('County Scaled Consumption '!F$2,Production_Consumption!$AA$83:$AJ$83,0)))*'CA Population'!$L300*10^6</f>
        <v>552.52060451884552</v>
      </c>
      <c r="G300" s="143">
        <f>(INDEX(Production_Consumption!$AA$83:$AJ$99,MATCH('County Scaled Consumption '!$B300,Production_Consumption!$AA$83:$AA$99,0),MATCH('County Scaled Consumption '!G$2,Production_Consumption!$AA$83:$AJ$83,0)))*'CA Population'!$L300*10^6</f>
        <v>1154.1040945512068</v>
      </c>
      <c r="H300" s="143">
        <f>(INDEX(Production_Consumption!$AA$83:$AJ$99,MATCH('County Scaled Consumption '!$B300,Production_Consumption!$AA$83:$AA$99,0),MATCH('County Scaled Consumption '!H$2,Production_Consumption!$AA$83:$AJ$83,0)))*'CA Population'!$L300*10^6</f>
        <v>31.67534172856125</v>
      </c>
      <c r="I300" s="143">
        <f>(INDEX(Production_Consumption!$AA$83:$AJ$99,MATCH('County Scaled Consumption '!$B300,Production_Consumption!$AA$83:$AA$99,0),MATCH('County Scaled Consumption '!I$2,Production_Consumption!$AA$83:$AJ$83,0)))*'CA Population'!$L300*10^6</f>
        <v>646.15260654605481</v>
      </c>
      <c r="J300" s="143">
        <f>(INDEX(Production_Consumption!$AA$83:$AJ$99,MATCH('County Scaled Consumption '!$B300,Production_Consumption!$AA$83:$AA$99,0),MATCH('County Scaled Consumption '!J$2,Production_Consumption!$AA$83:$AJ$83,0)))*'CA Population'!$L300*10^6</f>
        <v>399.23931346857773</v>
      </c>
      <c r="K300" s="143">
        <f>(INDEX(Production_Consumption!$AA$83:$AJ$99,MATCH('County Scaled Consumption '!$B300,Production_Consumption!$AA$83:$AA$99,0),MATCH('County Scaled Consumption '!K$2,Production_Consumption!$AA$83:$AJ$83,0)))*'CA Population'!$L300*10^6</f>
        <v>5910.6101677472188</v>
      </c>
      <c r="L300" s="131">
        <f t="shared" si="4"/>
        <v>0</v>
      </c>
    </row>
    <row r="301" spans="1:12" x14ac:dyDescent="0.2">
      <c r="A301" s="132" t="s">
        <v>308</v>
      </c>
      <c r="B301" s="129">
        <v>2015</v>
      </c>
      <c r="C301" s="143">
        <f>(INDEX(Production_Consumption!$AA$83:$AJ$99,MATCH('County Scaled Consumption '!$B301,Production_Consumption!$AA$83:$AA$99,0),MATCH('County Scaled Consumption '!C$2,Production_Consumption!$AA$83:$AJ$83,0)))*'CA Population'!$L301*10^6</f>
        <v>2747.5576239586121</v>
      </c>
      <c r="D301" s="143">
        <f>(INDEX(Production_Consumption!$AA$83:$AJ$99,MATCH('County Scaled Consumption '!$B301,Production_Consumption!$AA$83:$AA$99,0),MATCH('County Scaled Consumption '!D$2,Production_Consumption!$AA$83:$AJ$83,0)))*'CA Population'!$L301*10^6</f>
        <v>10733.8160949913</v>
      </c>
      <c r="E301" s="143">
        <f>(INDEX(Production_Consumption!$AA$83:$AJ$99,MATCH('County Scaled Consumption '!$B301,Production_Consumption!$AA$83:$AA$99,0),MATCH('County Scaled Consumption '!E$2,Production_Consumption!$AA$83:$AJ$83,0)))*'CA Population'!$L301*10^6</f>
        <v>5908.2727847928509</v>
      </c>
      <c r="F301" s="143">
        <f>(INDEX(Production_Consumption!$AA$83:$AJ$99,MATCH('County Scaled Consumption '!$B301,Production_Consumption!$AA$83:$AA$99,0),MATCH('County Scaled Consumption '!F$2,Production_Consumption!$AA$83:$AJ$83,0)))*'CA Population'!$L301*10^6</f>
        <v>3426.114307658605</v>
      </c>
      <c r="G301" s="143">
        <f>(INDEX(Production_Consumption!$AA$83:$AJ$99,MATCH('County Scaled Consumption '!$B301,Production_Consumption!$AA$83:$AA$99,0),MATCH('County Scaled Consumption '!G$2,Production_Consumption!$AA$83:$AJ$83,0)))*'CA Population'!$L301*10^6</f>
        <v>7156.4617111657453</v>
      </c>
      <c r="H301" s="143">
        <f>(INDEX(Production_Consumption!$AA$83:$AJ$99,MATCH('County Scaled Consumption '!$B301,Production_Consumption!$AA$83:$AA$99,0),MATCH('County Scaled Consumption '!H$2,Production_Consumption!$AA$83:$AJ$83,0)))*'CA Population'!$L301*10^6</f>
        <v>196.41501259614614</v>
      </c>
      <c r="I301" s="143">
        <f>(INDEX(Production_Consumption!$AA$83:$AJ$99,MATCH('County Scaled Consumption '!$B301,Production_Consumption!$AA$83:$AA$99,0),MATCH('County Scaled Consumption '!I$2,Production_Consumption!$AA$83:$AJ$83,0)))*'CA Population'!$L301*10^6</f>
        <v>4006.7151742624847</v>
      </c>
      <c r="J301" s="143">
        <f>(INDEX(Production_Consumption!$AA$83:$AJ$99,MATCH('County Scaled Consumption '!$B301,Production_Consumption!$AA$83:$AA$99,0),MATCH('County Scaled Consumption '!J$2,Production_Consumption!$AA$83:$AJ$83,0)))*'CA Population'!$L301*10^6</f>
        <v>2475.6353208685418</v>
      </c>
      <c r="K301" s="143">
        <f>(INDEX(Production_Consumption!$AA$83:$AJ$99,MATCH('County Scaled Consumption '!$B301,Production_Consumption!$AA$83:$AA$99,0),MATCH('County Scaled Consumption '!K$2,Production_Consumption!$AA$83:$AJ$83,0)))*'CA Population'!$L301*10^6</f>
        <v>36650.988030294291</v>
      </c>
      <c r="L301" s="131">
        <f t="shared" si="4"/>
        <v>0</v>
      </c>
    </row>
    <row r="302" spans="1:12" x14ac:dyDescent="0.2">
      <c r="A302" s="132" t="s">
        <v>309</v>
      </c>
      <c r="B302" s="129">
        <v>2015</v>
      </c>
      <c r="C302" s="143">
        <f>(INDEX(Production_Consumption!$AA$83:$AJ$99,MATCH('County Scaled Consumption '!$B302,Production_Consumption!$AA$83:$AA$99,0),MATCH('County Scaled Consumption '!C$2,Production_Consumption!$AA$83:$AJ$83,0)))*'CA Population'!$L302*10^6</f>
        <v>555.41352201003292</v>
      </c>
      <c r="D302" s="143">
        <f>(INDEX(Production_Consumption!$AA$83:$AJ$99,MATCH('County Scaled Consumption '!$B302,Production_Consumption!$AA$83:$AA$99,0),MATCH('County Scaled Consumption '!D$2,Production_Consumption!$AA$83:$AJ$83,0)))*'CA Population'!$L302*10^6</f>
        <v>2169.8204070193874</v>
      </c>
      <c r="E302" s="143">
        <f>(INDEX(Production_Consumption!$AA$83:$AJ$99,MATCH('County Scaled Consumption '!$B302,Production_Consumption!$AA$83:$AA$99,0),MATCH('County Scaled Consumption '!E$2,Production_Consumption!$AA$83:$AJ$83,0)))*'CA Population'!$L302*10^6</f>
        <v>1194.3460503914271</v>
      </c>
      <c r="F302" s="143">
        <f>(INDEX(Production_Consumption!$AA$83:$AJ$99,MATCH('County Scaled Consumption '!$B302,Production_Consumption!$AA$83:$AA$99,0),MATCH('County Scaled Consumption '!F$2,Production_Consumption!$AA$83:$AJ$83,0)))*'CA Population'!$L302*10^6</f>
        <v>692.58245862882609</v>
      </c>
      <c r="G302" s="143">
        <f>(INDEX(Production_Consumption!$AA$83:$AJ$99,MATCH('County Scaled Consumption '!$B302,Production_Consumption!$AA$83:$AA$99,0),MATCH('County Scaled Consumption '!G$2,Production_Consumption!$AA$83:$AJ$83,0)))*'CA Population'!$L302*10^6</f>
        <v>1446.6650560732289</v>
      </c>
      <c r="H302" s="143">
        <f>(INDEX(Production_Consumption!$AA$83:$AJ$99,MATCH('County Scaled Consumption '!$B302,Production_Consumption!$AA$83:$AA$99,0),MATCH('County Scaled Consumption '!H$2,Production_Consumption!$AA$83:$AJ$83,0)))*'CA Population'!$L302*10^6</f>
        <v>39.704919369259358</v>
      </c>
      <c r="I302" s="143">
        <f>(INDEX(Production_Consumption!$AA$83:$AJ$99,MATCH('County Scaled Consumption '!$B302,Production_Consumption!$AA$83:$AA$99,0),MATCH('County Scaled Consumption '!I$2,Production_Consumption!$AA$83:$AJ$83,0)))*'CA Population'!$L302*10^6</f>
        <v>809.94981405408794</v>
      </c>
      <c r="J302" s="143">
        <f>(INDEX(Production_Consumption!$AA$83:$AJ$99,MATCH('County Scaled Consumption '!$B302,Production_Consumption!$AA$83:$AA$99,0),MATCH('County Scaled Consumption '!J$2,Production_Consumption!$AA$83:$AJ$83,0)))*'CA Population'!$L302*10^6</f>
        <v>500.44494819182978</v>
      </c>
      <c r="K302" s="143">
        <f>(INDEX(Production_Consumption!$AA$83:$AJ$99,MATCH('County Scaled Consumption '!$B302,Production_Consumption!$AA$83:$AA$99,0),MATCH('County Scaled Consumption '!K$2,Production_Consumption!$AA$83:$AJ$83,0)))*'CA Population'!$L302*10^6</f>
        <v>7408.9271757380802</v>
      </c>
      <c r="L302" s="131">
        <f t="shared" si="4"/>
        <v>0</v>
      </c>
    </row>
    <row r="303" spans="1:12" x14ac:dyDescent="0.2">
      <c r="A303" s="132" t="s">
        <v>310</v>
      </c>
      <c r="B303" s="129">
        <v>2015</v>
      </c>
      <c r="C303" s="143">
        <f>(INDEX(Production_Consumption!$AA$83:$AJ$99,MATCH('County Scaled Consumption '!$B303,Production_Consumption!$AA$83:$AA$99,0),MATCH('County Scaled Consumption '!C$2,Production_Consumption!$AA$83:$AJ$83,0)))*'CA Population'!$L303*10^6</f>
        <v>263.13582192654712</v>
      </c>
      <c r="D303" s="143">
        <f>(INDEX(Production_Consumption!$AA$83:$AJ$99,MATCH('County Scaled Consumption '!$B303,Production_Consumption!$AA$83:$AA$99,0),MATCH('County Scaled Consumption '!D$2,Production_Consumption!$AA$83:$AJ$83,0)))*'CA Population'!$L303*10^6</f>
        <v>1027.9862725843536</v>
      </c>
      <c r="E303" s="143">
        <f>(INDEX(Production_Consumption!$AA$83:$AJ$99,MATCH('County Scaled Consumption '!$B303,Production_Consumption!$AA$83:$AA$99,0),MATCH('County Scaled Consumption '!E$2,Production_Consumption!$AA$83:$AJ$83,0)))*'CA Population'!$L303*10^6</f>
        <v>565.84007623205912</v>
      </c>
      <c r="F303" s="143">
        <f>(INDEX(Production_Consumption!$AA$83:$AJ$99,MATCH('County Scaled Consumption '!$B303,Production_Consumption!$AA$83:$AA$99,0),MATCH('County Scaled Consumption '!F$2,Production_Consumption!$AA$83:$AJ$83,0)))*'CA Population'!$L303*10^6</f>
        <v>328.12174583663267</v>
      </c>
      <c r="G303" s="143">
        <f>(INDEX(Production_Consumption!$AA$83:$AJ$99,MATCH('County Scaled Consumption '!$B303,Production_Consumption!$AA$83:$AA$99,0),MATCH('County Scaled Consumption '!G$2,Production_Consumption!$AA$83:$AJ$83,0)))*'CA Population'!$L303*10^6</f>
        <v>685.38014199691588</v>
      </c>
      <c r="H303" s="143">
        <f>(INDEX(Production_Consumption!$AA$83:$AJ$99,MATCH('County Scaled Consumption '!$B303,Production_Consumption!$AA$83:$AA$99,0),MATCH('County Scaled Consumption '!H$2,Production_Consumption!$AA$83:$AJ$83,0)))*'CA Population'!$L303*10^6</f>
        <v>18.810825049680037</v>
      </c>
      <c r="I303" s="143">
        <f>(INDEX(Production_Consumption!$AA$83:$AJ$99,MATCH('County Scaled Consumption '!$B303,Production_Consumption!$AA$83:$AA$99,0),MATCH('County Scaled Consumption '!I$2,Production_Consumption!$AA$83:$AJ$83,0)))*'CA Population'!$L303*10^6</f>
        <v>383.72636170087077</v>
      </c>
      <c r="J303" s="143">
        <f>(INDEX(Production_Consumption!$AA$83:$AJ$99,MATCH('County Scaled Consumption '!$B303,Production_Consumption!$AA$83:$AA$99,0),MATCH('County Scaled Consumption '!J$2,Production_Consumption!$AA$83:$AJ$83,0)))*'CA Population'!$L303*10^6</f>
        <v>237.09360242955466</v>
      </c>
      <c r="K303" s="143">
        <f>(INDEX(Production_Consumption!$AA$83:$AJ$99,MATCH('County Scaled Consumption '!$B303,Production_Consumption!$AA$83:$AA$99,0),MATCH('County Scaled Consumption '!K$2,Production_Consumption!$AA$83:$AJ$83,0)))*'CA Population'!$L303*10^6</f>
        <v>3510.0948477566139</v>
      </c>
      <c r="L303" s="131">
        <f t="shared" si="4"/>
        <v>0</v>
      </c>
    </row>
    <row r="304" spans="1:12" x14ac:dyDescent="0.2">
      <c r="A304" s="132" t="s">
        <v>311</v>
      </c>
      <c r="B304" s="129">
        <v>2015</v>
      </c>
      <c r="C304" s="143">
        <f>(INDEX(Production_Consumption!$AA$83:$AJ$99,MATCH('County Scaled Consumption '!$B304,Production_Consumption!$AA$83:$AA$99,0),MATCH('County Scaled Consumption '!C$2,Production_Consumption!$AA$83:$AJ$83,0)))*'CA Population'!$L304*10^6</f>
        <v>13659.516102629645</v>
      </c>
      <c r="D304" s="143">
        <f>(INDEX(Production_Consumption!$AA$83:$AJ$99,MATCH('County Scaled Consumption '!$B304,Production_Consumption!$AA$83:$AA$99,0),MATCH('County Scaled Consumption '!D$2,Production_Consumption!$AA$83:$AJ$83,0)))*'CA Population'!$L304*10^6</f>
        <v>53363.297102011034</v>
      </c>
      <c r="E304" s="143">
        <f>(INDEX(Production_Consumption!$AA$83:$AJ$99,MATCH('County Scaled Consumption '!$B304,Production_Consumption!$AA$83:$AA$99,0),MATCH('County Scaled Consumption '!E$2,Production_Consumption!$AA$83:$AJ$83,0)))*'CA Population'!$L304*10^6</f>
        <v>29373.049918541812</v>
      </c>
      <c r="F304" s="143">
        <f>(INDEX(Production_Consumption!$AA$83:$AJ$99,MATCH('County Scaled Consumption '!$B304,Production_Consumption!$AA$83:$AA$99,0),MATCH('County Scaled Consumption '!F$2,Production_Consumption!$AA$83:$AJ$83,0)))*'CA Population'!$L304*10^6</f>
        <v>17032.968898204806</v>
      </c>
      <c r="G304" s="143">
        <f>(INDEX(Production_Consumption!$AA$83:$AJ$99,MATCH('County Scaled Consumption '!$B304,Production_Consumption!$AA$83:$AA$99,0),MATCH('County Scaled Consumption '!G$2,Production_Consumption!$AA$83:$AJ$83,0)))*'CA Population'!$L304*10^6</f>
        <v>35578.436327999472</v>
      </c>
      <c r="H304" s="143">
        <f>(INDEX(Production_Consumption!$AA$83:$AJ$99,MATCH('County Scaled Consumption '!$B304,Production_Consumption!$AA$83:$AA$99,0),MATCH('County Scaled Consumption '!H$2,Production_Consumption!$AA$83:$AJ$83,0)))*'CA Population'!$L304*10^6</f>
        <v>976.47962101328346</v>
      </c>
      <c r="I304" s="143">
        <f>(INDEX(Production_Consumption!$AA$83:$AJ$99,MATCH('County Scaled Consumption '!$B304,Production_Consumption!$AA$83:$AA$99,0),MATCH('County Scaled Consumption '!I$2,Production_Consumption!$AA$83:$AJ$83,0)))*'CA Population'!$L304*10^6</f>
        <v>19919.433159198186</v>
      </c>
      <c r="J304" s="143">
        <f>(INDEX(Production_Consumption!$AA$83:$AJ$99,MATCH('County Scaled Consumption '!$B304,Production_Consumption!$AA$83:$AA$99,0),MATCH('County Scaled Consumption '!J$2,Production_Consumption!$AA$83:$AJ$83,0)))*'CA Population'!$L304*10^6</f>
        <v>12307.651069724003</v>
      </c>
      <c r="K304" s="143">
        <f>(INDEX(Production_Consumption!$AA$83:$AJ$99,MATCH('County Scaled Consumption '!$B304,Production_Consumption!$AA$83:$AA$99,0),MATCH('County Scaled Consumption '!K$2,Production_Consumption!$AA$83:$AJ$83,0)))*'CA Population'!$L304*10^6</f>
        <v>182210.83219932226</v>
      </c>
      <c r="L304" s="131">
        <f t="shared" si="4"/>
        <v>0</v>
      </c>
    </row>
    <row r="305" spans="1:12" x14ac:dyDescent="0.2">
      <c r="A305" s="132" t="s">
        <v>312</v>
      </c>
      <c r="B305" s="129">
        <v>2015</v>
      </c>
      <c r="C305" s="143">
        <f>(INDEX(Production_Consumption!$AA$83:$AJ$99,MATCH('County Scaled Consumption '!$B305,Production_Consumption!$AA$83:$AA$99,0),MATCH('County Scaled Consumption '!C$2,Production_Consumption!$AA$83:$AJ$83,0)))*'CA Population'!$L305*10^6</f>
        <v>328.15595344385997</v>
      </c>
      <c r="D305" s="143">
        <f>(INDEX(Production_Consumption!$AA$83:$AJ$99,MATCH('County Scaled Consumption '!$B305,Production_Consumption!$AA$83:$AA$99,0),MATCH('County Scaled Consumption '!D$2,Production_Consumption!$AA$83:$AJ$83,0)))*'CA Population'!$L305*10^6</f>
        <v>1281.9988283514083</v>
      </c>
      <c r="E305" s="143">
        <f>(INDEX(Production_Consumption!$AA$83:$AJ$99,MATCH('County Scaled Consumption '!$B305,Production_Consumption!$AA$83:$AA$99,0),MATCH('County Scaled Consumption '!E$2,Production_Consumption!$AA$83:$AJ$83,0)))*'CA Population'!$L305*10^6</f>
        <v>705.65758912334763</v>
      </c>
      <c r="F305" s="143">
        <f>(INDEX(Production_Consumption!$AA$83:$AJ$99,MATCH('County Scaled Consumption '!$B305,Production_Consumption!$AA$83:$AA$99,0),MATCH('County Scaled Consumption '!F$2,Production_Consumption!$AA$83:$AJ$83,0)))*'CA Population'!$L305*10^6</f>
        <v>409.19971884611346</v>
      </c>
      <c r="G305" s="143">
        <f>(INDEX(Production_Consumption!$AA$83:$AJ$99,MATCH('County Scaled Consumption '!$B305,Production_Consumption!$AA$83:$AA$99,0),MATCH('County Scaled Consumption '!G$2,Production_Consumption!$AA$83:$AJ$83,0)))*'CA Population'!$L305*10^6</f>
        <v>854.73567347006383</v>
      </c>
      <c r="H305" s="143">
        <f>(INDEX(Production_Consumption!$AA$83:$AJ$99,MATCH('County Scaled Consumption '!$B305,Production_Consumption!$AA$83:$AA$99,0),MATCH('County Scaled Consumption '!H$2,Production_Consumption!$AA$83:$AJ$83,0)))*'CA Population'!$L305*10^6</f>
        <v>23.458927728078478</v>
      </c>
      <c r="I305" s="143">
        <f>(INDEX(Production_Consumption!$AA$83:$AJ$99,MATCH('County Scaled Consumption '!$B305,Production_Consumption!$AA$83:$AA$99,0),MATCH('County Scaled Consumption '!I$2,Production_Consumption!$AA$83:$AJ$83,0)))*'CA Population'!$L305*10^6</f>
        <v>478.5440810132007</v>
      </c>
      <c r="J305" s="143">
        <f>(INDEX(Production_Consumption!$AA$83:$AJ$99,MATCH('County Scaled Consumption '!$B305,Production_Consumption!$AA$83:$AA$99,0),MATCH('County Scaled Consumption '!J$2,Production_Consumption!$AA$83:$AJ$83,0)))*'CA Population'!$L305*10^6</f>
        <v>295.67877376432779</v>
      </c>
      <c r="K305" s="143">
        <f>(INDEX(Production_Consumption!$AA$83:$AJ$99,MATCH('County Scaled Consumption '!$B305,Production_Consumption!$AA$83:$AA$99,0),MATCH('County Scaled Consumption '!K$2,Production_Consumption!$AA$83:$AJ$83,0)))*'CA Population'!$L305*10^6</f>
        <v>4377.4295457404005</v>
      </c>
      <c r="L305" s="131">
        <f t="shared" si="4"/>
        <v>0</v>
      </c>
    </row>
    <row r="306" spans="1:12" x14ac:dyDescent="0.2">
      <c r="A306" s="132" t="s">
        <v>313</v>
      </c>
      <c r="B306" s="129">
        <v>2015</v>
      </c>
      <c r="C306" s="143">
        <f>(INDEX(Production_Consumption!$AA$83:$AJ$99,MATCH('County Scaled Consumption '!$B306,Production_Consumption!$AA$83:$AA$99,0),MATCH('County Scaled Consumption '!C$2,Production_Consumption!$AA$83:$AJ$83,0)))*'CA Population'!$L306*10^6</f>
        <v>2239.691376836216</v>
      </c>
      <c r="D306" s="143">
        <f>(INDEX(Production_Consumption!$AA$83:$AJ$99,MATCH('County Scaled Consumption '!$B306,Production_Consumption!$AA$83:$AA$99,0),MATCH('County Scaled Consumption '!D$2,Production_Consumption!$AA$83:$AJ$83,0)))*'CA Population'!$L306*10^6</f>
        <v>8749.7474625703926</v>
      </c>
      <c r="E306" s="143">
        <f>(INDEX(Production_Consumption!$AA$83:$AJ$99,MATCH('County Scaled Consumption '!$B306,Production_Consumption!$AA$83:$AA$99,0),MATCH('County Scaled Consumption '!E$2,Production_Consumption!$AA$83:$AJ$83,0)))*'CA Population'!$L306*10^6</f>
        <v>4816.1710941775591</v>
      </c>
      <c r="F306" s="143">
        <f>(INDEX(Production_Consumption!$AA$83:$AJ$99,MATCH('County Scaled Consumption '!$B306,Production_Consumption!$AA$83:$AA$99,0),MATCH('County Scaled Consumption '!F$2,Production_Consumption!$AA$83:$AJ$83,0)))*'CA Population'!$L306*10^6</f>
        <v>2792.8217424835884</v>
      </c>
      <c r="G306" s="143">
        <f>(INDEX(Production_Consumption!$AA$83:$AJ$99,MATCH('County Scaled Consumption '!$B306,Production_Consumption!$AA$83:$AA$99,0),MATCH('County Scaled Consumption '!G$2,Production_Consumption!$AA$83:$AJ$83,0)))*'CA Population'!$L306*10^6</f>
        <v>5833.6412832220594</v>
      </c>
      <c r="H306" s="143">
        <f>(INDEX(Production_Consumption!$AA$83:$AJ$99,MATCH('County Scaled Consumption '!$B306,Production_Consumption!$AA$83:$AA$99,0),MATCH('County Scaled Consumption '!H$2,Production_Consumption!$AA$83:$AJ$83,0)))*'CA Population'!$L306*10^6</f>
        <v>160.10911150935408</v>
      </c>
      <c r="I306" s="143">
        <f>(INDEX(Production_Consumption!$AA$83:$AJ$99,MATCH('County Scaled Consumption '!$B306,Production_Consumption!$AA$83:$AA$99,0),MATCH('County Scaled Consumption '!I$2,Production_Consumption!$AA$83:$AJ$83,0)))*'CA Population'!$L306*10^6</f>
        <v>3266.1027186411725</v>
      </c>
      <c r="J306" s="143">
        <f>(INDEX(Production_Consumption!$AA$83:$AJ$99,MATCH('County Scaled Consumption '!$B306,Production_Consumption!$AA$83:$AA$99,0),MATCH('County Scaled Consumption '!J$2,Production_Consumption!$AA$83:$AJ$83,0)))*'CA Population'!$L306*10^6</f>
        <v>2018.0319539037823</v>
      </c>
      <c r="K306" s="143">
        <f>(INDEX(Production_Consumption!$AA$83:$AJ$99,MATCH('County Scaled Consumption '!$B306,Production_Consumption!$AA$83:$AA$99,0),MATCH('County Scaled Consumption '!K$2,Production_Consumption!$AA$83:$AJ$83,0)))*'CA Population'!$L306*10^6</f>
        <v>29876.31674334413</v>
      </c>
      <c r="L306" s="131">
        <f t="shared" si="4"/>
        <v>0</v>
      </c>
    </row>
    <row r="307" spans="1:12" x14ac:dyDescent="0.2">
      <c r="A307" s="132" t="s">
        <v>314</v>
      </c>
      <c r="B307" s="129">
        <v>2015</v>
      </c>
      <c r="C307" s="143">
        <f>(INDEX(Production_Consumption!$AA$83:$AJ$99,MATCH('County Scaled Consumption '!$B307,Production_Consumption!$AA$83:$AA$99,0),MATCH('County Scaled Consumption '!C$2,Production_Consumption!$AA$83:$AJ$83,0)))*'CA Population'!$L307*10^6</f>
        <v>11964.833063518376</v>
      </c>
      <c r="D307" s="143">
        <f>(INDEX(Production_Consumption!$AA$83:$AJ$99,MATCH('County Scaled Consumption '!$B307,Production_Consumption!$AA$83:$AA$99,0),MATCH('County Scaled Consumption '!D$2,Production_Consumption!$AA$83:$AJ$83,0)))*'CA Population'!$L307*10^6</f>
        <v>46742.720367786613</v>
      </c>
      <c r="E307" s="143">
        <f>(INDEX(Production_Consumption!$AA$83:$AJ$99,MATCH('County Scaled Consumption '!$B307,Production_Consumption!$AA$83:$AA$99,0),MATCH('County Scaled Consumption '!E$2,Production_Consumption!$AA$83:$AJ$83,0)))*'CA Population'!$L307*10^6</f>
        <v>25728.849850990478</v>
      </c>
      <c r="F307" s="143">
        <f>(INDEX(Production_Consumption!$AA$83:$AJ$99,MATCH('County Scaled Consumption '!$B307,Production_Consumption!$AA$83:$AA$99,0),MATCH('County Scaled Consumption '!F$2,Production_Consumption!$AA$83:$AJ$83,0)))*'CA Population'!$L307*10^6</f>
        <v>14919.754690569698</v>
      </c>
      <c r="G307" s="143">
        <f>(INDEX(Production_Consumption!$AA$83:$AJ$99,MATCH('County Scaled Consumption '!$B307,Production_Consumption!$AA$83:$AA$99,0),MATCH('County Scaled Consumption '!G$2,Production_Consumption!$AA$83:$AJ$83,0)))*'CA Population'!$L307*10^6</f>
        <v>31164.358102230297</v>
      </c>
      <c r="H307" s="143">
        <f>(INDEX(Production_Consumption!$AA$83:$AJ$99,MATCH('County Scaled Consumption '!$B307,Production_Consumption!$AA$83:$AA$99,0),MATCH('County Scaled Consumption '!H$2,Production_Consumption!$AA$83:$AJ$83,0)))*'CA Population'!$L307*10^6</f>
        <v>855.33159209808377</v>
      </c>
      <c r="I307" s="143">
        <f>(INDEX(Production_Consumption!$AA$83:$AJ$99,MATCH('County Scaled Consumption '!$B307,Production_Consumption!$AA$83:$AA$99,0),MATCH('County Scaled Consumption '!I$2,Production_Consumption!$AA$83:$AJ$83,0)))*'CA Population'!$L307*10^6</f>
        <v>17448.106556559233</v>
      </c>
      <c r="J307" s="143">
        <f>(INDEX(Production_Consumption!$AA$83:$AJ$99,MATCH('County Scaled Consumption '!$B307,Production_Consumption!$AA$83:$AA$99,0),MATCH('County Scaled Consumption '!J$2,Production_Consumption!$AA$83:$AJ$83,0)))*'CA Population'!$L307*10^6</f>
        <v>10780.688667655781</v>
      </c>
      <c r="K307" s="143">
        <f>(INDEX(Production_Consumption!$AA$83:$AJ$99,MATCH('County Scaled Consumption '!$B307,Production_Consumption!$AA$83:$AA$99,0),MATCH('County Scaled Consumption '!K$2,Production_Consumption!$AA$83:$AJ$83,0)))*'CA Population'!$L307*10^6</f>
        <v>159604.64289140858</v>
      </c>
      <c r="L307" s="131">
        <f t="shared" si="4"/>
        <v>0</v>
      </c>
    </row>
    <row r="308" spans="1:12" x14ac:dyDescent="0.2">
      <c r="A308" s="132" t="s">
        <v>315</v>
      </c>
      <c r="B308" s="129">
        <v>2015</v>
      </c>
      <c r="C308" s="143">
        <f>(INDEX(Production_Consumption!$AA$83:$AJ$99,MATCH('County Scaled Consumption '!$B308,Production_Consumption!$AA$83:$AA$99,0),MATCH('County Scaled Consumption '!C$2,Production_Consumption!$AA$83:$AJ$83,0)))*'CA Population'!$L308*10^6</f>
        <v>347.82518741673266</v>
      </c>
      <c r="D308" s="143">
        <f>(INDEX(Production_Consumption!$AA$83:$AJ$99,MATCH('County Scaled Consumption '!$B308,Production_Consumption!$AA$83:$AA$99,0),MATCH('County Scaled Consumption '!D$2,Production_Consumption!$AA$83:$AJ$83,0)))*'CA Population'!$L308*10^6</f>
        <v>1358.8401431078885</v>
      </c>
      <c r="E308" s="143">
        <f>(INDEX(Production_Consumption!$AA$83:$AJ$99,MATCH('County Scaled Consumption '!$B308,Production_Consumption!$AA$83:$AA$99,0),MATCH('County Scaled Consumption '!E$2,Production_Consumption!$AA$83:$AJ$83,0)))*'CA Population'!$L308*10^6</f>
        <v>747.95377201912709</v>
      </c>
      <c r="F308" s="143">
        <f>(INDEX(Production_Consumption!$AA$83:$AJ$99,MATCH('County Scaled Consumption '!$B308,Production_Consumption!$AA$83:$AA$99,0),MATCH('County Scaled Consumption '!F$2,Production_Consumption!$AA$83:$AJ$83,0)))*'CA Population'!$L308*10^6</f>
        <v>433.72660896390886</v>
      </c>
      <c r="G308" s="143">
        <f>(INDEX(Production_Consumption!$AA$83:$AJ$99,MATCH('County Scaled Consumption '!$B308,Production_Consumption!$AA$83:$AA$99,0),MATCH('County Scaled Consumption '!G$2,Production_Consumption!$AA$83:$AJ$83,0)))*'CA Population'!$L308*10^6</f>
        <v>905.96739963565278</v>
      </c>
      <c r="H308" s="143">
        <f>(INDEX(Production_Consumption!$AA$83:$AJ$99,MATCH('County Scaled Consumption '!$B308,Production_Consumption!$AA$83:$AA$99,0),MATCH('County Scaled Consumption '!H$2,Production_Consumption!$AA$83:$AJ$83,0)))*'CA Population'!$L308*10^6</f>
        <v>24.865024839509449</v>
      </c>
      <c r="I308" s="143">
        <f>(INDEX(Production_Consumption!$AA$83:$AJ$99,MATCH('County Scaled Consumption '!$B308,Production_Consumption!$AA$83:$AA$99,0),MATCH('County Scaled Consumption '!I$2,Production_Consumption!$AA$83:$AJ$83,0)))*'CA Population'!$L308*10^6</f>
        <v>507.22738051455275</v>
      </c>
      <c r="J308" s="143">
        <f>(INDEX(Production_Consumption!$AA$83:$AJ$99,MATCH('County Scaled Consumption '!$B308,Production_Consumption!$AA$83:$AA$99,0),MATCH('County Scaled Consumption '!J$2,Production_Consumption!$AA$83:$AJ$83,0)))*'CA Population'!$L308*10^6</f>
        <v>313.40136852742296</v>
      </c>
      <c r="K308" s="143">
        <f>(INDEX(Production_Consumption!$AA$83:$AJ$99,MATCH('County Scaled Consumption '!$B308,Production_Consumption!$AA$83:$AA$99,0),MATCH('County Scaled Consumption '!K$2,Production_Consumption!$AA$83:$AJ$83,0)))*'CA Population'!$L308*10^6</f>
        <v>4639.8068850247955</v>
      </c>
      <c r="L308" s="131">
        <f t="shared" si="4"/>
        <v>0</v>
      </c>
    </row>
    <row r="309" spans="1:12" x14ac:dyDescent="0.2">
      <c r="A309" s="132" t="s">
        <v>316</v>
      </c>
      <c r="B309" s="129">
        <v>2015</v>
      </c>
      <c r="C309" s="143">
        <f>(INDEX(Production_Consumption!$AA$83:$AJ$99,MATCH('County Scaled Consumption '!$B309,Production_Consumption!$AA$83:$AA$99,0),MATCH('County Scaled Consumption '!C$2,Production_Consumption!$AA$83:$AJ$83,0)))*'CA Population'!$L309*10^6</f>
        <v>1653.1359235578416</v>
      </c>
      <c r="D309" s="143">
        <f>(INDEX(Production_Consumption!$AA$83:$AJ$99,MATCH('County Scaled Consumption '!$B309,Production_Consumption!$AA$83:$AA$99,0),MATCH('County Scaled Consumption '!D$2,Production_Consumption!$AA$83:$AJ$83,0)))*'CA Population'!$L309*10^6</f>
        <v>6458.2656351817295</v>
      </c>
      <c r="E309" s="143">
        <f>(INDEX(Production_Consumption!$AA$83:$AJ$99,MATCH('County Scaled Consumption '!$B309,Production_Consumption!$AA$83:$AA$99,0),MATCH('County Scaled Consumption '!E$2,Production_Consumption!$AA$83:$AJ$83,0)))*'CA Population'!$L309*10^6</f>
        <v>3554.8582863379165</v>
      </c>
      <c r="F309" s="143">
        <f>(INDEX(Production_Consumption!$AA$83:$AJ$99,MATCH('County Scaled Consumption '!$B309,Production_Consumption!$AA$83:$AA$99,0),MATCH('County Scaled Consumption '!F$2,Production_Consumption!$AA$83:$AJ$83,0)))*'CA Population'!$L309*10^6</f>
        <v>2061.4063162197249</v>
      </c>
      <c r="G309" s="143">
        <f>(INDEX(Production_Consumption!$AA$83:$AJ$99,MATCH('County Scaled Consumption '!$B309,Production_Consumption!$AA$83:$AA$99,0),MATCH('County Scaled Consumption '!G$2,Production_Consumption!$AA$83:$AJ$83,0)))*'CA Population'!$L309*10^6</f>
        <v>4305.8619907119828</v>
      </c>
      <c r="H309" s="143">
        <f>(INDEX(Production_Consumption!$AA$83:$AJ$99,MATCH('County Scaled Consumption '!$B309,Production_Consumption!$AA$83:$AA$99,0),MATCH('County Scaled Consumption '!H$2,Production_Consumption!$AA$83:$AJ$83,0)))*'CA Population'!$L309*10^6</f>
        <v>118.17794481082969</v>
      </c>
      <c r="I309" s="143">
        <f>(INDEX(Production_Consumption!$AA$83:$AJ$99,MATCH('County Scaled Consumption '!$B309,Production_Consumption!$AA$83:$AA$99,0),MATCH('County Scaled Consumption '!I$2,Production_Consumption!$AA$83:$AJ$83,0)))*'CA Population'!$L309*10^6</f>
        <v>2410.7391715025979</v>
      </c>
      <c r="J309" s="143">
        <f>(INDEX(Production_Consumption!$AA$83:$AJ$99,MATCH('County Scaled Consumption '!$B309,Production_Consumption!$AA$83:$AA$99,0),MATCH('County Scaled Consumption '!J$2,Production_Consumption!$AA$83:$AJ$83,0)))*'CA Population'!$L309*10^6</f>
        <v>1489.5271519947125</v>
      </c>
      <c r="K309" s="143">
        <f>(INDEX(Production_Consumption!$AA$83:$AJ$99,MATCH('County Scaled Consumption '!$B309,Production_Consumption!$AA$83:$AA$99,0),MATCH('County Scaled Consumption '!K$2,Production_Consumption!$AA$83:$AJ$83,0)))*'CA Population'!$L309*10^6</f>
        <v>22051.972420317339</v>
      </c>
      <c r="L309" s="131">
        <f t="shared" si="4"/>
        <v>0</v>
      </c>
    </row>
    <row r="310" spans="1:12" x14ac:dyDescent="0.2">
      <c r="A310" s="132" t="s">
        <v>317</v>
      </c>
      <c r="B310" s="129">
        <v>2015</v>
      </c>
      <c r="C310" s="143">
        <f>(INDEX(Production_Consumption!$AA$83:$AJ$99,MATCH('County Scaled Consumption '!$B310,Production_Consumption!$AA$83:$AA$99,0),MATCH('County Scaled Consumption '!C$2,Production_Consumption!$AA$83:$AJ$83,0)))*'CA Population'!$L310*10^6</f>
        <v>2255.9617475461528</v>
      </c>
      <c r="D310" s="143">
        <f>(INDEX(Production_Consumption!$AA$83:$AJ$99,MATCH('County Scaled Consumption '!$B310,Production_Consumption!$AA$83:$AA$99,0),MATCH('County Scaled Consumption '!D$2,Production_Consumption!$AA$83:$AJ$83,0)))*'CA Population'!$L310*10^6</f>
        <v>8813.3105214394454</v>
      </c>
      <c r="E310" s="143">
        <f>(INDEX(Production_Consumption!$AA$83:$AJ$99,MATCH('County Scaled Consumption '!$B310,Production_Consumption!$AA$83:$AA$99,0),MATCH('County Scaled Consumption '!E$2,Production_Consumption!$AA$83:$AJ$83,0)))*'CA Population'!$L310*10^6</f>
        <v>4851.1584544519219</v>
      </c>
      <c r="F310" s="143">
        <f>(INDEX(Production_Consumption!$AA$83:$AJ$99,MATCH('County Scaled Consumption '!$B310,Production_Consumption!$AA$83:$AA$99,0),MATCH('County Scaled Consumption '!F$2,Production_Consumption!$AA$83:$AJ$83,0)))*'CA Population'!$L310*10^6</f>
        <v>2813.1103615080406</v>
      </c>
      <c r="G310" s="143">
        <f>(INDEX(Production_Consumption!$AA$83:$AJ$99,MATCH('County Scaled Consumption '!$B310,Production_Consumption!$AA$83:$AA$99,0),MATCH('County Scaled Consumption '!G$2,Production_Consumption!$AA$83:$AJ$83,0)))*'CA Population'!$L310*10^6</f>
        <v>5876.0201159703875</v>
      </c>
      <c r="H310" s="143">
        <f>(INDEX(Production_Consumption!$AA$83:$AJ$99,MATCH('County Scaled Consumption '!$B310,Production_Consumption!$AA$83:$AA$99,0),MATCH('County Scaled Consumption '!H$2,Production_Consumption!$AA$83:$AJ$83,0)))*'CA Population'!$L310*10^6</f>
        <v>161.27223363646414</v>
      </c>
      <c r="I310" s="143">
        <f>(INDEX(Production_Consumption!$AA$83:$AJ$99,MATCH('County Scaled Consumption '!$B310,Production_Consumption!$AA$83:$AA$99,0),MATCH('County Scaled Consumption '!I$2,Production_Consumption!$AA$83:$AJ$83,0)))*'CA Population'!$L310*10^6</f>
        <v>3289.829515359072</v>
      </c>
      <c r="J310" s="143">
        <f>(INDEX(Production_Consumption!$AA$83:$AJ$99,MATCH('County Scaled Consumption '!$B310,Production_Consumption!$AA$83:$AA$99,0),MATCH('County Scaled Consumption '!J$2,Production_Consumption!$AA$83:$AJ$83,0)))*'CA Population'!$L310*10^6</f>
        <v>2032.6920666023877</v>
      </c>
      <c r="K310" s="143">
        <f>(INDEX(Production_Consumption!$AA$83:$AJ$99,MATCH('County Scaled Consumption '!$B310,Production_Consumption!$AA$83:$AA$99,0),MATCH('County Scaled Consumption '!K$2,Production_Consumption!$AA$83:$AJ$83,0)))*'CA Population'!$L310*10^6</f>
        <v>30093.355016513877</v>
      </c>
      <c r="L310" s="131">
        <f t="shared" si="4"/>
        <v>0</v>
      </c>
    </row>
    <row r="311" spans="1:12" x14ac:dyDescent="0.2">
      <c r="A311" s="132" t="s">
        <v>318</v>
      </c>
      <c r="B311" s="129">
        <v>2015</v>
      </c>
      <c r="C311" s="143">
        <f>(INDEX(Production_Consumption!$AA$83:$AJ$99,MATCH('County Scaled Consumption '!$B311,Production_Consumption!$AA$83:$AA$99,0),MATCH('County Scaled Consumption '!C$2,Production_Consumption!$AA$83:$AJ$83,0)))*'CA Population'!$L311*10^6</f>
        <v>227.78518993911968</v>
      </c>
      <c r="D311" s="143">
        <f>(INDEX(Production_Consumption!$AA$83:$AJ$99,MATCH('County Scaled Consumption '!$B311,Production_Consumption!$AA$83:$AA$99,0),MATCH('County Scaled Consumption '!D$2,Production_Consumption!$AA$83:$AJ$83,0)))*'CA Population'!$L311*10^6</f>
        <v>889.88282416674929</v>
      </c>
      <c r="E311" s="143">
        <f>(INDEX(Production_Consumption!$AA$83:$AJ$99,MATCH('County Scaled Consumption '!$B311,Production_Consumption!$AA$83:$AA$99,0),MATCH('County Scaled Consumption '!E$2,Production_Consumption!$AA$83:$AJ$83,0)))*'CA Population'!$L311*10^6</f>
        <v>489.82304384107931</v>
      </c>
      <c r="F311" s="143">
        <f>(INDEX(Production_Consumption!$AA$83:$AJ$99,MATCH('County Scaled Consumption '!$B311,Production_Consumption!$AA$83:$AA$99,0),MATCH('County Scaled Consumption '!F$2,Production_Consumption!$AA$83:$AJ$83,0)))*'CA Population'!$L311*10^6</f>
        <v>284.04066634232913</v>
      </c>
      <c r="G311" s="143">
        <f>(INDEX(Production_Consumption!$AA$83:$AJ$99,MATCH('County Scaled Consumption '!$B311,Production_Consumption!$AA$83:$AA$99,0),MATCH('County Scaled Consumption '!G$2,Production_Consumption!$AA$83:$AJ$83,0)))*'CA Population'!$L311*10^6</f>
        <v>593.30365847660278</v>
      </c>
      <c r="H311" s="143">
        <f>(INDEX(Production_Consumption!$AA$83:$AJ$99,MATCH('County Scaled Consumption '!$B311,Production_Consumption!$AA$83:$AA$99,0),MATCH('County Scaled Consumption '!H$2,Production_Consumption!$AA$83:$AJ$83,0)))*'CA Population'!$L311*10^6</f>
        <v>16.283709779541166</v>
      </c>
      <c r="I311" s="143">
        <f>(INDEX(Production_Consumption!$AA$83:$AJ$99,MATCH('County Scaled Consumption '!$B311,Production_Consumption!$AA$83:$AA$99,0),MATCH('County Scaled Consumption '!I$2,Production_Consumption!$AA$83:$AJ$83,0)))*'CA Population'!$L311*10^6</f>
        <v>332.17515405059288</v>
      </c>
      <c r="J311" s="143">
        <f>(INDEX(Production_Consumption!$AA$83:$AJ$99,MATCH('County Scaled Consumption '!$B311,Production_Consumption!$AA$83:$AA$99,0),MATCH('County Scaled Consumption '!J$2,Production_Consumption!$AA$83:$AJ$83,0)))*'CA Population'!$L311*10^6</f>
        <v>205.24157778047345</v>
      </c>
      <c r="K311" s="143">
        <f>(INDEX(Production_Consumption!$AA$83:$AJ$99,MATCH('County Scaled Consumption '!$B311,Production_Consumption!$AA$83:$AA$99,0),MATCH('County Scaled Consumption '!K$2,Production_Consumption!$AA$83:$AJ$83,0)))*'CA Population'!$L311*10^6</f>
        <v>3038.5358243764881</v>
      </c>
      <c r="L311" s="131">
        <f t="shared" si="4"/>
        <v>0</v>
      </c>
    </row>
    <row r="312" spans="1:12" x14ac:dyDescent="0.2">
      <c r="A312" s="132" t="s">
        <v>319</v>
      </c>
      <c r="B312" s="129">
        <v>2015</v>
      </c>
      <c r="C312" s="143">
        <f>(INDEX(Production_Consumption!$AA$83:$AJ$99,MATCH('County Scaled Consumption '!$B312,Production_Consumption!$AA$83:$AA$99,0),MATCH('County Scaled Consumption '!C$2,Production_Consumption!$AA$83:$AJ$83,0)))*'CA Population'!$L312*10^6</f>
        <v>10773.758489752463</v>
      </c>
      <c r="D312" s="143">
        <f>(INDEX(Production_Consumption!$AA$83:$AJ$99,MATCH('County Scaled Consumption '!$B312,Production_Consumption!$AA$83:$AA$99,0),MATCH('County Scaled Consumption '!D$2,Production_Consumption!$AA$83:$AJ$83,0)))*'CA Population'!$L312*10^6</f>
        <v>42089.578494167428</v>
      </c>
      <c r="E312" s="143">
        <f>(INDEX(Production_Consumption!$AA$83:$AJ$99,MATCH('County Scaled Consumption '!$B312,Production_Consumption!$AA$83:$AA$99,0),MATCH('County Scaled Consumption '!E$2,Production_Consumption!$AA$83:$AJ$83,0)))*'CA Population'!$L312*10^6</f>
        <v>23167.595656546731</v>
      </c>
      <c r="F312" s="143">
        <f>(INDEX(Production_Consumption!$AA$83:$AJ$99,MATCH('County Scaled Consumption '!$B312,Production_Consumption!$AA$83:$AA$99,0),MATCH('County Scaled Consumption '!F$2,Production_Consumption!$AA$83:$AJ$83,0)))*'CA Population'!$L312*10^6</f>
        <v>13434.523733779679</v>
      </c>
      <c r="G312" s="143">
        <f>(INDEX(Production_Consumption!$AA$83:$AJ$99,MATCH('County Scaled Consumption '!$B312,Production_Consumption!$AA$83:$AA$99,0),MATCH('County Scaled Consumption '!G$2,Production_Consumption!$AA$83:$AJ$83,0)))*'CA Population'!$L312*10^6</f>
        <v>28062.010217705199</v>
      </c>
      <c r="H312" s="143">
        <f>(INDEX(Production_Consumption!$AA$83:$AJ$99,MATCH('County Scaled Consumption '!$B312,Production_Consumption!$AA$83:$AA$99,0),MATCH('County Scaled Consumption '!H$2,Production_Consumption!$AA$83:$AJ$83,0)))*'CA Population'!$L312*10^6</f>
        <v>770.18508766476862</v>
      </c>
      <c r="I312" s="143">
        <f>(INDEX(Production_Consumption!$AA$83:$AJ$99,MATCH('County Scaled Consumption '!$B312,Production_Consumption!$AA$83:$AA$99,0),MATCH('County Scaled Consumption '!I$2,Production_Consumption!$AA$83:$AJ$83,0)))*'CA Population'!$L312*10^6</f>
        <v>15711.18336092838</v>
      </c>
      <c r="J312" s="143">
        <f>(INDEX(Production_Consumption!$AA$83:$AJ$99,MATCH('County Scaled Consumption '!$B312,Production_Consumption!$AA$83:$AA$99,0),MATCH('County Scaled Consumption '!J$2,Production_Consumption!$AA$83:$AJ$83,0)))*'CA Population'!$L312*10^6</f>
        <v>9707.4932380527534</v>
      </c>
      <c r="K312" s="143">
        <f>(INDEX(Production_Consumption!$AA$83:$AJ$99,MATCH('County Scaled Consumption '!$B312,Production_Consumption!$AA$83:$AA$99,0),MATCH('County Scaled Consumption '!K$2,Production_Consumption!$AA$83:$AJ$83,0)))*'CA Population'!$L312*10^6</f>
        <v>143716.32827859742</v>
      </c>
      <c r="L312" s="131">
        <f t="shared" si="4"/>
        <v>0</v>
      </c>
    </row>
    <row r="313" spans="1:12" x14ac:dyDescent="0.2">
      <c r="A313" s="132" t="s">
        <v>320</v>
      </c>
      <c r="B313" s="129">
        <v>2015</v>
      </c>
      <c r="C313" s="143">
        <f>(INDEX(Production_Consumption!$AA$83:$AJ$99,MATCH('County Scaled Consumption '!$B313,Production_Consumption!$AA$83:$AA$99,0),MATCH('County Scaled Consumption '!C$2,Production_Consumption!$AA$83:$AJ$83,0)))*'CA Population'!$L313*10^6</f>
        <v>1831.6437313166389</v>
      </c>
      <c r="D313" s="143">
        <f>(INDEX(Production_Consumption!$AA$83:$AJ$99,MATCH('County Scaled Consumption '!$B313,Production_Consumption!$AA$83:$AA$99,0),MATCH('County Scaled Consumption '!D$2,Production_Consumption!$AA$83:$AJ$83,0)))*'CA Population'!$L313*10^6</f>
        <v>7155.6377169517073</v>
      </c>
      <c r="E313" s="143">
        <f>(INDEX(Production_Consumption!$AA$83:$AJ$99,MATCH('County Scaled Consumption '!$B313,Production_Consumption!$AA$83:$AA$99,0),MATCH('County Scaled Consumption '!E$2,Production_Consumption!$AA$83:$AJ$83,0)))*'CA Population'!$L313*10^6</f>
        <v>3938.7165949890705</v>
      </c>
      <c r="F313" s="143">
        <f>(INDEX(Production_Consumption!$AA$83:$AJ$99,MATCH('County Scaled Consumption '!$B313,Production_Consumption!$AA$83:$AA$99,0),MATCH('County Scaled Consumption '!F$2,Production_Consumption!$AA$83:$AJ$83,0)))*'CA Population'!$L313*10^6</f>
        <v>2283.9997020174087</v>
      </c>
      <c r="G313" s="143">
        <f>(INDEX(Production_Consumption!$AA$83:$AJ$99,MATCH('County Scaled Consumption '!$B313,Production_Consumption!$AA$83:$AA$99,0),MATCH('County Scaled Consumption '!G$2,Production_Consumption!$AA$83:$AJ$83,0)))*'CA Population'!$L313*10^6</f>
        <v>4770.8146745903296</v>
      </c>
      <c r="H313" s="143">
        <f>(INDEX(Production_Consumption!$AA$83:$AJ$99,MATCH('County Scaled Consumption '!$B313,Production_Consumption!$AA$83:$AA$99,0),MATCH('County Scaled Consumption '!H$2,Production_Consumption!$AA$83:$AJ$83,0)))*'CA Population'!$L313*10^6</f>
        <v>130.93895590072219</v>
      </c>
      <c r="I313" s="143">
        <f>(INDEX(Production_Consumption!$AA$83:$AJ$99,MATCH('County Scaled Consumption '!$B313,Production_Consumption!$AA$83:$AA$99,0),MATCH('County Scaled Consumption '!I$2,Production_Consumption!$AA$83:$AJ$83,0)))*'CA Population'!$L313*10^6</f>
        <v>2671.0539819490546</v>
      </c>
      <c r="J313" s="143">
        <f>(INDEX(Production_Consumption!$AA$83:$AJ$99,MATCH('County Scaled Consumption '!$B313,Production_Consumption!$AA$83:$AA$99,0),MATCH('County Scaled Consumption '!J$2,Production_Consumption!$AA$83:$AJ$83,0)))*'CA Population'!$L313*10^6</f>
        <v>1650.3682677860465</v>
      </c>
      <c r="K313" s="143">
        <f>(INDEX(Production_Consumption!$AA$83:$AJ$99,MATCH('County Scaled Consumption '!$B313,Production_Consumption!$AA$83:$AA$99,0),MATCH('County Scaled Consumption '!K$2,Production_Consumption!$AA$83:$AJ$83,0)))*'CA Population'!$L313*10^6</f>
        <v>24433.173625500982</v>
      </c>
      <c r="L313" s="131">
        <f t="shared" si="4"/>
        <v>0</v>
      </c>
    </row>
    <row r="314" spans="1:12" x14ac:dyDescent="0.2">
      <c r="A314" s="132" t="s">
        <v>321</v>
      </c>
      <c r="B314" s="129">
        <v>2015</v>
      </c>
      <c r="C314" s="143">
        <f>(INDEX(Production_Consumption!$AA$83:$AJ$99,MATCH('County Scaled Consumption '!$B314,Production_Consumption!$AA$83:$AA$99,0),MATCH('County Scaled Consumption '!C$2,Production_Consumption!$AA$83:$AJ$83,0)))*'CA Population'!$L314*10^6</f>
        <v>797.05184055512461</v>
      </c>
      <c r="D314" s="143">
        <f>(INDEX(Production_Consumption!$AA$83:$AJ$99,MATCH('County Scaled Consumption '!$B314,Production_Consumption!$AA$83:$AA$99,0),MATCH('County Scaled Consumption '!D$2,Production_Consumption!$AA$83:$AJ$83,0)))*'CA Population'!$L314*10^6</f>
        <v>3113.8229095143129</v>
      </c>
      <c r="E314" s="143">
        <f>(INDEX(Production_Consumption!$AA$83:$AJ$99,MATCH('County Scaled Consumption '!$B314,Production_Consumption!$AA$83:$AA$99,0),MATCH('County Scaled Consumption '!E$2,Production_Consumption!$AA$83:$AJ$83,0)))*'CA Population'!$L314*10^6</f>
        <v>1713.9584831840568</v>
      </c>
      <c r="F314" s="143">
        <f>(INDEX(Production_Consumption!$AA$83:$AJ$99,MATCH('County Scaled Consumption '!$B314,Production_Consumption!$AA$83:$AA$99,0),MATCH('County Scaled Consumption '!F$2,Production_Consumption!$AA$83:$AJ$83,0)))*'CA Population'!$L314*10^6</f>
        <v>993.89752231550392</v>
      </c>
      <c r="G314" s="143">
        <f>(INDEX(Production_Consumption!$AA$83:$AJ$99,MATCH('County Scaled Consumption '!$B314,Production_Consumption!$AA$83:$AA$99,0),MATCH('County Scaled Consumption '!G$2,Production_Consumption!$AA$83:$AJ$83,0)))*'CA Population'!$L314*10^6</f>
        <v>2076.0514462035749</v>
      </c>
      <c r="H314" s="143">
        <f>(INDEX(Production_Consumption!$AA$83:$AJ$99,MATCH('County Scaled Consumption '!$B314,Production_Consumption!$AA$83:$AA$99,0),MATCH('County Scaled Consumption '!H$2,Production_Consumption!$AA$83:$AJ$83,0)))*'CA Population'!$L314*10^6</f>
        <v>56.978949572260014</v>
      </c>
      <c r="I314" s="143">
        <f>(INDEX(Production_Consumption!$AA$83:$AJ$99,MATCH('County Scaled Consumption '!$B314,Production_Consumption!$AA$83:$AA$99,0),MATCH('County Scaled Consumption '!I$2,Production_Consumption!$AA$83:$AJ$83,0)))*'CA Population'!$L314*10^6</f>
        <v>1162.3267429874172</v>
      </c>
      <c r="J314" s="143">
        <f>(INDEX(Production_Consumption!$AA$83:$AJ$99,MATCH('County Scaled Consumption '!$B314,Production_Consumption!$AA$83:$AA$99,0),MATCH('County Scaled Consumption '!J$2,Production_Consumption!$AA$83:$AJ$83,0)))*'CA Population'!$L314*10^6</f>
        <v>718.16862796078385</v>
      </c>
      <c r="K314" s="143">
        <f>(INDEX(Production_Consumption!$AA$83:$AJ$99,MATCH('County Scaled Consumption '!$B314,Production_Consumption!$AA$83:$AA$99,0),MATCH('County Scaled Consumption '!K$2,Production_Consumption!$AA$83:$AJ$83,0)))*'CA Population'!$L314*10^6</f>
        <v>10632.256522293037</v>
      </c>
      <c r="L314" s="131">
        <f t="shared" si="4"/>
        <v>0</v>
      </c>
    </row>
    <row r="315" spans="1:12" x14ac:dyDescent="0.2">
      <c r="A315" s="132" t="s">
        <v>322</v>
      </c>
      <c r="B315" s="129">
        <v>2015</v>
      </c>
      <c r="C315" s="143">
        <f>(INDEX(Production_Consumption!$AA$83:$AJ$99,MATCH('County Scaled Consumption '!$B315,Production_Consumption!$AA$83:$AA$99,0),MATCH('County Scaled Consumption '!C$2,Production_Consumption!$AA$83:$AJ$83,0)))*'CA Population'!$L315*10^6</f>
        <v>378.68490260186985</v>
      </c>
      <c r="D315" s="143">
        <f>(INDEX(Production_Consumption!$AA$83:$AJ$99,MATCH('County Scaled Consumption '!$B315,Production_Consumption!$AA$83:$AA$99,0),MATCH('County Scaled Consumption '!D$2,Production_Consumption!$AA$83:$AJ$83,0)))*'CA Population'!$L315*10^6</f>
        <v>1479.3990368150301</v>
      </c>
      <c r="E315" s="143">
        <f>(INDEX(Production_Consumption!$AA$83:$AJ$99,MATCH('County Scaled Consumption '!$B315,Production_Consumption!$AA$83:$AA$99,0),MATCH('County Scaled Consumption '!E$2,Production_Consumption!$AA$83:$AJ$83,0)))*'CA Population'!$L315*10^6</f>
        <v>814.31365971899322</v>
      </c>
      <c r="F315" s="143">
        <f>(INDEX(Production_Consumption!$AA$83:$AJ$99,MATCH('County Scaled Consumption '!$B315,Production_Consumption!$AA$83:$AA$99,0),MATCH('County Scaled Consumption '!F$2,Production_Consumption!$AA$83:$AJ$83,0)))*'CA Population'!$L315*10^6</f>
        <v>472.20766239263963</v>
      </c>
      <c r="G315" s="143">
        <f>(INDEX(Production_Consumption!$AA$83:$AJ$99,MATCH('County Scaled Consumption '!$B315,Production_Consumption!$AA$83:$AA$99,0),MATCH('County Scaled Consumption '!G$2,Production_Consumption!$AA$83:$AJ$83,0)))*'CA Population'!$L315*10^6</f>
        <v>986.34655827973052</v>
      </c>
      <c r="H315" s="143">
        <f>(INDEX(Production_Consumption!$AA$83:$AJ$99,MATCH('County Scaled Consumption '!$B315,Production_Consumption!$AA$83:$AA$99,0),MATCH('County Scaled Consumption '!H$2,Production_Consumption!$AA$83:$AJ$83,0)))*'CA Population'!$L315*10^6</f>
        <v>27.071097350581741</v>
      </c>
      <c r="I315" s="143">
        <f>(INDEX(Production_Consumption!$AA$83:$AJ$99,MATCH('County Scaled Consumption '!$B315,Production_Consumption!$AA$83:$AA$99,0),MATCH('County Scaled Consumption '!I$2,Production_Consumption!$AA$83:$AJ$83,0)))*'CA Population'!$L315*10^6</f>
        <v>552.22956282640598</v>
      </c>
      <c r="J315" s="143">
        <f>(INDEX(Production_Consumption!$AA$83:$AJ$99,MATCH('County Scaled Consumption '!$B315,Production_Consumption!$AA$83:$AA$99,0),MATCH('County Scaled Consumption '!J$2,Production_Consumption!$AA$83:$AJ$83,0)))*'CA Population'!$L315*10^6</f>
        <v>341.20693673028291</v>
      </c>
      <c r="K315" s="143">
        <f>(INDEX(Production_Consumption!$AA$83:$AJ$99,MATCH('County Scaled Consumption '!$B315,Production_Consumption!$AA$83:$AA$99,0),MATCH('County Scaled Consumption '!K$2,Production_Consumption!$AA$83:$AJ$83,0)))*'CA Population'!$L315*10^6</f>
        <v>5051.4594167155346</v>
      </c>
      <c r="L315" s="131">
        <f t="shared" si="4"/>
        <v>0</v>
      </c>
    </row>
    <row r="316" spans="1:12" x14ac:dyDescent="0.2">
      <c r="A316" s="132" t="s">
        <v>323</v>
      </c>
      <c r="B316" s="129">
        <v>2015</v>
      </c>
      <c r="C316" s="143">
        <f>(INDEX(Production_Consumption!$AA$83:$AJ$99,MATCH('County Scaled Consumption '!$B316,Production_Consumption!$AA$83:$AA$99,0),MATCH('County Scaled Consumption '!C$2,Production_Consumption!$AA$83:$AJ$83,0)))*'CA Population'!$L316*10^6</f>
        <v>124233.97387931473</v>
      </c>
      <c r="D316" s="143">
        <f>(INDEX(Production_Consumption!$AA$83:$AJ$99,MATCH('County Scaled Consumption '!$B316,Production_Consumption!$AA$83:$AA$99,0),MATCH('County Scaled Consumption '!D$2,Production_Consumption!$AA$83:$AJ$83,0)))*'CA Population'!$L316*10^6</f>
        <v>485341.82385927078</v>
      </c>
      <c r="E316" s="143">
        <f>(INDEX(Production_Consumption!$AA$83:$AJ$99,MATCH('County Scaled Consumption '!$B316,Production_Consumption!$AA$83:$AA$99,0),MATCH('County Scaled Consumption '!E$2,Production_Consumption!$AA$83:$AJ$83,0)))*'CA Population'!$L316*10^6</f>
        <v>267149.34035133373</v>
      </c>
      <c r="F316" s="143">
        <f>(INDEX(Production_Consumption!$AA$83:$AJ$99,MATCH('County Scaled Consumption '!$B316,Production_Consumption!$AA$83:$AA$99,0),MATCH('County Scaled Consumption '!F$2,Production_Consumption!$AA$83:$AJ$83,0)))*'CA Population'!$L316*10^6</f>
        <v>154915.69373964739</v>
      </c>
      <c r="G316" s="143">
        <f>(INDEX(Production_Consumption!$AA$83:$AJ$99,MATCH('County Scaled Consumption '!$B316,Production_Consumption!$AA$83:$AA$99,0),MATCH('County Scaled Consumption '!G$2,Production_Consumption!$AA$83:$AJ$83,0)))*'CA Population'!$L316*10^6</f>
        <v>323587.63635767659</v>
      </c>
      <c r="H316" s="143">
        <f>(INDEX(Production_Consumption!$AA$83:$AJ$99,MATCH('County Scaled Consumption '!$B316,Production_Consumption!$AA$83:$AA$99,0),MATCH('County Scaled Consumption '!H$2,Production_Consumption!$AA$83:$AJ$83,0)))*'CA Population'!$L316*10^6</f>
        <v>8881.1304016321028</v>
      </c>
      <c r="I316" s="143">
        <f>(INDEX(Production_Consumption!$AA$83:$AJ$99,MATCH('County Scaled Consumption '!$B316,Production_Consumption!$AA$83:$AA$99,0),MATCH('County Scaled Consumption '!I$2,Production_Consumption!$AA$83:$AJ$83,0)))*'CA Population'!$L316*10^6</f>
        <v>181168.22881552699</v>
      </c>
      <c r="J316" s="143">
        <f>(INDEX(Production_Consumption!$AA$83:$AJ$99,MATCH('County Scaled Consumption '!$B316,Production_Consumption!$AA$83:$AA$99,0),MATCH('County Scaled Consumption '!J$2,Production_Consumption!$AA$83:$AJ$83,0)))*'CA Population'!$L316*10^6</f>
        <v>111938.6946084754</v>
      </c>
      <c r="K316" s="143">
        <f>(INDEX(Production_Consumption!$AA$83:$AJ$99,MATCH('County Scaled Consumption '!$B316,Production_Consumption!$AA$83:$AA$99,0),MATCH('County Scaled Consumption '!K$2,Production_Consumption!$AA$83:$AJ$83,0)))*'CA Population'!$L316*10^6</f>
        <v>1657216.522012878</v>
      </c>
      <c r="L316" s="131">
        <f t="shared" si="4"/>
        <v>0</v>
      </c>
    </row>
    <row r="317" spans="1:12" x14ac:dyDescent="0.2">
      <c r="A317" s="132" t="s">
        <v>324</v>
      </c>
      <c r="B317" s="129">
        <v>2015</v>
      </c>
      <c r="C317" s="143">
        <f>(INDEX(Production_Consumption!$AA$83:$AJ$99,MATCH('County Scaled Consumption '!$B317,Production_Consumption!$AA$83:$AA$99,0),MATCH('County Scaled Consumption '!C$2,Production_Consumption!$AA$83:$AJ$83,0)))*'CA Population'!$L317*10^6</f>
        <v>1892.2465676185845</v>
      </c>
      <c r="D317" s="143">
        <f>(INDEX(Production_Consumption!$AA$83:$AJ$99,MATCH('County Scaled Consumption '!$B317,Production_Consumption!$AA$83:$AA$99,0),MATCH('County Scaled Consumption '!D$2,Production_Consumption!$AA$83:$AJ$83,0)))*'CA Population'!$L317*10^6</f>
        <v>7392.3933336592918</v>
      </c>
      <c r="E317" s="143">
        <f>(INDEX(Production_Consumption!$AA$83:$AJ$99,MATCH('County Scaled Consumption '!$B317,Production_Consumption!$AA$83:$AA$99,0),MATCH('County Scaled Consumption '!E$2,Production_Consumption!$AA$83:$AJ$83,0)))*'CA Population'!$L317*10^6</f>
        <v>4069.0352770366412</v>
      </c>
      <c r="F317" s="143">
        <f>(INDEX(Production_Consumption!$AA$83:$AJ$99,MATCH('County Scaled Consumption '!$B317,Production_Consumption!$AA$83:$AA$99,0),MATCH('County Scaled Consumption '!F$2,Production_Consumption!$AA$83:$AJ$83,0)))*'CA Population'!$L317*10^6</f>
        <v>2359.5694526673105</v>
      </c>
      <c r="G317" s="143">
        <f>(INDEX(Production_Consumption!$AA$83:$AJ$99,MATCH('County Scaled Consumption '!$B317,Production_Consumption!$AA$83:$AA$99,0),MATCH('County Scaled Consumption '!G$2,Production_Consumption!$AA$83:$AJ$83,0)))*'CA Population'!$L317*10^6</f>
        <v>4928.6646406114432</v>
      </c>
      <c r="H317" s="143">
        <f>(INDEX(Production_Consumption!$AA$83:$AJ$99,MATCH('County Scaled Consumption '!$B317,Production_Consumption!$AA$83:$AA$99,0),MATCH('County Scaled Consumption '!H$2,Production_Consumption!$AA$83:$AJ$83,0)))*'CA Population'!$L317*10^6</f>
        <v>135.27127881610437</v>
      </c>
      <c r="I317" s="143">
        <f>(INDEX(Production_Consumption!$AA$83:$AJ$99,MATCH('County Scaled Consumption '!$B317,Production_Consumption!$AA$83:$AA$99,0),MATCH('County Scaled Consumption '!I$2,Production_Consumption!$AA$83:$AJ$83,0)))*'CA Population'!$L317*10^6</f>
        <v>2759.430036994082</v>
      </c>
      <c r="J317" s="143">
        <f>(INDEX(Production_Consumption!$AA$83:$AJ$99,MATCH('County Scaled Consumption '!$B317,Production_Consumption!$AA$83:$AA$99,0),MATCH('County Scaled Consumption '!J$2,Production_Consumption!$AA$83:$AJ$83,0)))*'CA Population'!$L317*10^6</f>
        <v>1704.973318026176</v>
      </c>
      <c r="K317" s="143">
        <f>(INDEX(Production_Consumption!$AA$83:$AJ$99,MATCH('County Scaled Consumption '!$B317,Production_Consumption!$AA$83:$AA$99,0),MATCH('County Scaled Consumption '!K$2,Production_Consumption!$AA$83:$AJ$83,0)))*'CA Population'!$L317*10^6</f>
        <v>25241.583905429634</v>
      </c>
      <c r="L317" s="131">
        <f t="shared" si="4"/>
        <v>0</v>
      </c>
    </row>
    <row r="318" spans="1:12" x14ac:dyDescent="0.2">
      <c r="A318" s="132" t="s">
        <v>325</v>
      </c>
      <c r="B318" s="129">
        <v>2015</v>
      </c>
      <c r="C318" s="143">
        <f>(INDEX(Production_Consumption!$AA$83:$AJ$99,MATCH('County Scaled Consumption '!$B318,Production_Consumption!$AA$83:$AA$99,0),MATCH('County Scaled Consumption '!C$2,Production_Consumption!$AA$83:$AJ$83,0)))*'CA Population'!$L318*10^6</f>
        <v>3223.5334536789519</v>
      </c>
      <c r="D318" s="143">
        <f>(INDEX(Production_Consumption!$AA$83:$AJ$99,MATCH('County Scaled Consumption '!$B318,Production_Consumption!$AA$83:$AA$99,0),MATCH('County Scaled Consumption '!D$2,Production_Consumption!$AA$83:$AJ$83,0)))*'CA Population'!$L318*10^6</f>
        <v>12593.29921459119</v>
      </c>
      <c r="E318" s="143">
        <f>(INDEX(Production_Consumption!$AA$83:$AJ$99,MATCH('County Scaled Consumption '!$B318,Production_Consumption!$AA$83:$AA$99,0),MATCH('County Scaled Consumption '!E$2,Production_Consumption!$AA$83:$AJ$83,0)))*'CA Population'!$L318*10^6</f>
        <v>6931.798193844741</v>
      </c>
      <c r="F318" s="143">
        <f>(INDEX(Production_Consumption!$AA$83:$AJ$99,MATCH('County Scaled Consumption '!$B318,Production_Consumption!$AA$83:$AA$99,0),MATCH('County Scaled Consumption '!F$2,Production_Consumption!$AA$83:$AJ$83,0)))*'CA Population'!$L318*10^6</f>
        <v>4019.640567520988</v>
      </c>
      <c r="G318" s="143">
        <f>(INDEX(Production_Consumption!$AA$83:$AJ$99,MATCH('County Scaled Consumption '!$B318,Production_Consumption!$AA$83:$AA$99,0),MATCH('County Scaled Consumption '!G$2,Production_Consumption!$AA$83:$AJ$83,0)))*'CA Population'!$L318*10^6</f>
        <v>8396.218348526545</v>
      </c>
      <c r="H318" s="143">
        <f>(INDEX(Production_Consumption!$AA$83:$AJ$99,MATCH('County Scaled Consumption '!$B318,Production_Consumption!$AA$83:$AA$99,0),MATCH('County Scaled Consumption '!H$2,Production_Consumption!$AA$83:$AJ$83,0)))*'CA Population'!$L318*10^6</f>
        <v>230.44115922716216</v>
      </c>
      <c r="I318" s="143">
        <f>(INDEX(Production_Consumption!$AA$83:$AJ$99,MATCH('County Scaled Consumption '!$B318,Production_Consumption!$AA$83:$AA$99,0),MATCH('County Scaled Consumption '!I$2,Production_Consumption!$AA$83:$AJ$83,0)))*'CA Population'!$L318*10^6</f>
        <v>4700.8223925762395</v>
      </c>
      <c r="J318" s="143">
        <f>(INDEX(Production_Consumption!$AA$83:$AJ$99,MATCH('County Scaled Consumption '!$B318,Production_Consumption!$AA$83:$AA$99,0),MATCH('County Scaled Consumption '!J$2,Production_Consumption!$AA$83:$AJ$83,0)))*'CA Population'!$L318*10^6</f>
        <v>2904.5044247083574</v>
      </c>
      <c r="K318" s="143">
        <f>(INDEX(Production_Consumption!$AA$83:$AJ$99,MATCH('County Scaled Consumption '!$B318,Production_Consumption!$AA$83:$AA$99,0),MATCH('County Scaled Consumption '!K$2,Production_Consumption!$AA$83:$AJ$83,0)))*'CA Population'!$L318*10^6</f>
        <v>43000.257754674181</v>
      </c>
      <c r="L318" s="131">
        <f t="shared" si="4"/>
        <v>0</v>
      </c>
    </row>
    <row r="319" spans="1:12" x14ac:dyDescent="0.2">
      <c r="A319" s="132" t="s">
        <v>326</v>
      </c>
      <c r="B319" s="129">
        <v>2015</v>
      </c>
      <c r="C319" s="143">
        <f>(INDEX(Production_Consumption!$AA$83:$AJ$99,MATCH('County Scaled Consumption '!$B319,Production_Consumption!$AA$83:$AA$99,0),MATCH('County Scaled Consumption '!C$2,Production_Consumption!$AA$83:$AJ$83,0)))*'CA Population'!$L319*10^6</f>
        <v>222.97524626016389</v>
      </c>
      <c r="D319" s="143">
        <f>(INDEX(Production_Consumption!$AA$83:$AJ$99,MATCH('County Scaled Consumption '!$B319,Production_Consumption!$AA$83:$AA$99,0),MATCH('County Scaled Consumption '!D$2,Production_Consumption!$AA$83:$AJ$83,0)))*'CA Population'!$L319*10^6</f>
        <v>871.09193496865805</v>
      </c>
      <c r="E319" s="143">
        <f>(INDEX(Production_Consumption!$AA$83:$AJ$99,MATCH('County Scaled Consumption '!$B319,Production_Consumption!$AA$83:$AA$99,0),MATCH('County Scaled Consumption '!E$2,Production_Consumption!$AA$83:$AJ$83,0)))*'CA Population'!$L319*10^6</f>
        <v>479.47987247791923</v>
      </c>
      <c r="F319" s="143">
        <f>(INDEX(Production_Consumption!$AA$83:$AJ$99,MATCH('County Scaled Consumption '!$B319,Production_Consumption!$AA$83:$AA$99,0),MATCH('County Scaled Consumption '!F$2,Production_Consumption!$AA$83:$AJ$83,0)))*'CA Population'!$L319*10^6</f>
        <v>278.04282421745341</v>
      </c>
      <c r="G319" s="143">
        <f>(INDEX(Production_Consumption!$AA$83:$AJ$99,MATCH('County Scaled Consumption '!$B319,Production_Consumption!$AA$83:$AA$99,0),MATCH('County Scaled Consumption '!G$2,Production_Consumption!$AA$83:$AJ$83,0)))*'CA Population'!$L319*10^6</f>
        <v>580.77537609549802</v>
      </c>
      <c r="H319" s="143">
        <f>(INDEX(Production_Consumption!$AA$83:$AJ$99,MATCH('County Scaled Consumption '!$B319,Production_Consumption!$AA$83:$AA$99,0),MATCH('County Scaled Consumption '!H$2,Production_Consumption!$AA$83:$AJ$83,0)))*'CA Population'!$L319*10^6</f>
        <v>15.939860704256736</v>
      </c>
      <c r="I319" s="143">
        <f>(INDEX(Production_Consumption!$AA$83:$AJ$99,MATCH('County Scaled Consumption '!$B319,Production_Consumption!$AA$83:$AA$99,0),MATCH('County Scaled Consumption '!I$2,Production_Consumption!$AA$83:$AJ$83,0)))*'CA Population'!$L319*10^6</f>
        <v>325.16089740397405</v>
      </c>
      <c r="J319" s="143">
        <f>(INDEX(Production_Consumption!$AA$83:$AJ$99,MATCH('County Scaled Consumption '!$B319,Production_Consumption!$AA$83:$AA$99,0),MATCH('County Scaled Consumption '!J$2,Production_Consumption!$AA$83:$AJ$83,0)))*'CA Population'!$L319*10^6</f>
        <v>200.90766814408335</v>
      </c>
      <c r="K319" s="143">
        <f>(INDEX(Production_Consumption!$AA$83:$AJ$99,MATCH('County Scaled Consumption '!$B319,Production_Consumption!$AA$83:$AA$99,0),MATCH('County Scaled Consumption '!K$2,Production_Consumption!$AA$83:$AJ$83,0)))*'CA Population'!$L319*10^6</f>
        <v>2974.3736802720073</v>
      </c>
      <c r="L319" s="131">
        <f t="shared" si="4"/>
        <v>0</v>
      </c>
    </row>
    <row r="320" spans="1:12" x14ac:dyDescent="0.2">
      <c r="A320" s="132" t="s">
        <v>327</v>
      </c>
      <c r="B320" s="129">
        <v>2015</v>
      </c>
      <c r="C320" s="143">
        <f>(INDEX(Production_Consumption!$AA$83:$AJ$99,MATCH('County Scaled Consumption '!$B320,Production_Consumption!$AA$83:$AA$99,0),MATCH('County Scaled Consumption '!C$2,Production_Consumption!$AA$83:$AJ$83,0)))*'CA Population'!$L320*10^6</f>
        <v>1081.0348418453093</v>
      </c>
      <c r="D320" s="143">
        <f>(INDEX(Production_Consumption!$AA$83:$AJ$99,MATCH('County Scaled Consumption '!$B320,Production_Consumption!$AA$83:$AA$99,0),MATCH('County Scaled Consumption '!D$2,Production_Consumption!$AA$83:$AJ$83,0)))*'CA Population'!$L320*10^6</f>
        <v>4223.2523472710054</v>
      </c>
      <c r="E320" s="143">
        <f>(INDEX(Production_Consumption!$AA$83:$AJ$99,MATCH('County Scaled Consumption '!$B320,Production_Consumption!$AA$83:$AA$99,0),MATCH('County Scaled Consumption '!E$2,Production_Consumption!$AA$83:$AJ$83,0)))*'CA Population'!$L320*10^6</f>
        <v>2324.6277638702204</v>
      </c>
      <c r="F320" s="143">
        <f>(INDEX(Production_Consumption!$AA$83:$AJ$99,MATCH('County Scaled Consumption '!$B320,Production_Consumption!$AA$83:$AA$99,0),MATCH('County Scaled Consumption '!F$2,Production_Consumption!$AA$83:$AJ$83,0)))*'CA Population'!$L320*10^6</f>
        <v>1348.0150175658198</v>
      </c>
      <c r="G320" s="143">
        <f>(INDEX(Production_Consumption!$AA$83:$AJ$99,MATCH('County Scaled Consumption '!$B320,Production_Consumption!$AA$83:$AA$99,0),MATCH('County Scaled Consumption '!G$2,Production_Consumption!$AA$83:$AJ$83,0)))*'CA Population'!$L320*10^6</f>
        <v>2815.7314651532888</v>
      </c>
      <c r="H320" s="143">
        <f>(INDEX(Production_Consumption!$AA$83:$AJ$99,MATCH('County Scaled Consumption '!$B320,Production_Consumption!$AA$83:$AA$99,0),MATCH('County Scaled Consumption '!H$2,Production_Consumption!$AA$83:$AJ$83,0)))*'CA Population'!$L320*10^6</f>
        <v>77.280079670175368</v>
      </c>
      <c r="I320" s="143">
        <f>(INDEX(Production_Consumption!$AA$83:$AJ$99,MATCH('County Scaled Consumption '!$B320,Production_Consumption!$AA$83:$AA$99,0),MATCH('County Scaled Consumption '!I$2,Production_Consumption!$AA$83:$AJ$83,0)))*'CA Population'!$L320*10^6</f>
        <v>1576.4541813275875</v>
      </c>
      <c r="J320" s="143">
        <f>(INDEX(Production_Consumption!$AA$83:$AJ$99,MATCH('County Scaled Consumption '!$B320,Production_Consumption!$AA$83:$AA$99,0),MATCH('County Scaled Consumption '!J$2,Production_Consumption!$AA$83:$AJ$83,0)))*'CA Population'!$L320*10^6</f>
        <v>974.04619077867221</v>
      </c>
      <c r="K320" s="143">
        <f>(INDEX(Production_Consumption!$AA$83:$AJ$99,MATCH('County Scaled Consumption '!$B320,Production_Consumption!$AA$83:$AA$99,0),MATCH('County Scaled Consumption '!K$2,Production_Consumption!$AA$83:$AJ$83,0)))*'CA Population'!$L320*10^6</f>
        <v>14420.441887482082</v>
      </c>
      <c r="L320" s="131">
        <f t="shared" si="4"/>
        <v>0</v>
      </c>
    </row>
    <row r="321" spans="1:12" x14ac:dyDescent="0.2">
      <c r="A321" s="132" t="s">
        <v>328</v>
      </c>
      <c r="B321" s="129">
        <v>2015</v>
      </c>
      <c r="C321" s="143">
        <f>(INDEX(Production_Consumption!$AA$83:$AJ$99,MATCH('County Scaled Consumption '!$B321,Production_Consumption!$AA$83:$AA$99,0),MATCH('County Scaled Consumption '!C$2,Production_Consumption!$AA$83:$AJ$83,0)))*'CA Population'!$L321*10^6</f>
        <v>3291.2653136479212</v>
      </c>
      <c r="D321" s="143">
        <f>(INDEX(Production_Consumption!$AA$83:$AJ$99,MATCH('County Scaled Consumption '!$B321,Production_Consumption!$AA$83:$AA$99,0),MATCH('County Scaled Consumption '!D$2,Production_Consumption!$AA$83:$AJ$83,0)))*'CA Population'!$L321*10^6</f>
        <v>12857.905613503088</v>
      </c>
      <c r="E321" s="143">
        <f>(INDEX(Production_Consumption!$AA$83:$AJ$99,MATCH('County Scaled Consumption '!$B321,Production_Consumption!$AA$83:$AA$99,0),MATCH('County Scaled Consumption '!E$2,Production_Consumption!$AA$83:$AJ$83,0)))*'CA Population'!$L321*10^6</f>
        <v>7077.4469334484238</v>
      </c>
      <c r="F321" s="143">
        <f>(INDEX(Production_Consumption!$AA$83:$AJ$99,MATCH('County Scaled Consumption '!$B321,Production_Consumption!$AA$83:$AA$99,0),MATCH('County Scaled Consumption '!F$2,Production_Consumption!$AA$83:$AJ$83,0)))*'CA Population'!$L321*10^6</f>
        <v>4104.0999770345443</v>
      </c>
      <c r="G321" s="143">
        <f>(INDEX(Production_Consumption!$AA$83:$AJ$99,MATCH('County Scaled Consumption '!$B321,Production_Consumption!$AA$83:$AA$99,0),MATCH('County Scaled Consumption '!G$2,Production_Consumption!$AA$83:$AJ$83,0)))*'CA Population'!$L321*10^6</f>
        <v>8572.6370187910834</v>
      </c>
      <c r="H321" s="143">
        <f>(INDEX(Production_Consumption!$AA$83:$AJ$99,MATCH('County Scaled Consumption '!$B321,Production_Consumption!$AA$83:$AA$99,0),MATCH('County Scaled Consumption '!H$2,Production_Consumption!$AA$83:$AJ$83,0)))*'CA Population'!$L321*10^6</f>
        <v>235.2831155934123</v>
      </c>
      <c r="I321" s="143">
        <f>(INDEX(Production_Consumption!$AA$83:$AJ$99,MATCH('County Scaled Consumption '!$B321,Production_Consumption!$AA$83:$AA$99,0),MATCH('County Scaled Consumption '!I$2,Production_Consumption!$AA$83:$AJ$83,0)))*'CA Population'!$L321*10^6</f>
        <v>4799.5945780082193</v>
      </c>
      <c r="J321" s="143">
        <f>(INDEX(Production_Consumption!$AA$83:$AJ$99,MATCH('County Scaled Consumption '!$B321,Production_Consumption!$AA$83:$AA$99,0),MATCH('County Scaled Consumption '!J$2,Production_Consumption!$AA$83:$AJ$83,0)))*'CA Population'!$L321*10^6</f>
        <v>2965.532948159565</v>
      </c>
      <c r="K321" s="143">
        <f>(INDEX(Production_Consumption!$AA$83:$AJ$99,MATCH('County Scaled Consumption '!$B321,Production_Consumption!$AA$83:$AA$99,0),MATCH('County Scaled Consumption '!K$2,Production_Consumption!$AA$83:$AJ$83,0)))*'CA Population'!$L321*10^6</f>
        <v>43903.765498186265</v>
      </c>
      <c r="L321" s="131">
        <f t="shared" si="4"/>
        <v>0</v>
      </c>
    </row>
    <row r="322" spans="1:12" x14ac:dyDescent="0.2">
      <c r="A322" s="132" t="s">
        <v>329</v>
      </c>
      <c r="B322" s="129">
        <v>2015</v>
      </c>
      <c r="C322" s="143">
        <f>(INDEX(Production_Consumption!$AA$83:$AJ$99,MATCH('County Scaled Consumption '!$B322,Production_Consumption!$AA$83:$AA$99,0),MATCH('County Scaled Consumption '!C$2,Production_Consumption!$AA$83:$AJ$83,0)))*'CA Population'!$L322*10^6</f>
        <v>118.06448489518475</v>
      </c>
      <c r="D322" s="143">
        <f>(INDEX(Production_Consumption!$AA$83:$AJ$99,MATCH('County Scaled Consumption '!$B322,Production_Consumption!$AA$83:$AA$99,0),MATCH('County Scaled Consumption '!D$2,Production_Consumption!$AA$83:$AJ$83,0)))*'CA Population'!$L322*10^6</f>
        <v>461.23963230620893</v>
      </c>
      <c r="E322" s="143">
        <f>(INDEX(Production_Consumption!$AA$83:$AJ$99,MATCH('County Scaled Consumption '!$B322,Production_Consumption!$AA$83:$AA$99,0),MATCH('County Scaled Consumption '!E$2,Production_Consumption!$AA$83:$AJ$83,0)))*'CA Population'!$L322*10^6</f>
        <v>253.88263993960703</v>
      </c>
      <c r="F322" s="143">
        <f>(INDEX(Production_Consumption!$AA$83:$AJ$99,MATCH('County Scaled Consumption '!$B322,Production_Consumption!$AA$83:$AA$99,0),MATCH('County Scaled Consumption '!F$2,Production_Consumption!$AA$83:$AJ$83,0)))*'CA Population'!$L322*10^6</f>
        <v>147.22254317743435</v>
      </c>
      <c r="G322" s="143">
        <f>(INDEX(Production_Consumption!$AA$83:$AJ$99,MATCH('County Scaled Consumption '!$B322,Production_Consumption!$AA$83:$AA$99,0),MATCH('County Scaled Consumption '!G$2,Production_Consumption!$AA$83:$AJ$83,0)))*'CA Population'!$L322*10^6</f>
        <v>307.51819660966771</v>
      </c>
      <c r="H322" s="143">
        <f>(INDEX(Production_Consumption!$AA$83:$AJ$99,MATCH('County Scaled Consumption '!$B322,Production_Consumption!$AA$83:$AA$99,0),MATCH('County Scaled Consumption '!H$2,Production_Consumption!$AA$83:$AJ$83,0)))*'CA Population'!$L322*10^6</f>
        <v>8.4400913326193212</v>
      </c>
      <c r="I322" s="143">
        <f>(INDEX(Production_Consumption!$AA$83:$AJ$99,MATCH('County Scaled Consumption '!$B322,Production_Consumption!$AA$83:$AA$99,0),MATCH('County Scaled Consumption '!I$2,Production_Consumption!$AA$83:$AJ$83,0)))*'CA Population'!$L322*10^6</f>
        <v>172.17137105552712</v>
      </c>
      <c r="J322" s="143">
        <f>(INDEX(Production_Consumption!$AA$83:$AJ$99,MATCH('County Scaled Consumption '!$B322,Production_Consumption!$AA$83:$AA$99,0),MATCH('County Scaled Consumption '!J$2,Production_Consumption!$AA$83:$AJ$83,0)))*'CA Population'!$L322*10^6</f>
        <v>106.37979214628933</v>
      </c>
      <c r="K322" s="143">
        <f>(INDEX(Production_Consumption!$AA$83:$AJ$99,MATCH('County Scaled Consumption '!$B322,Production_Consumption!$AA$83:$AA$99,0),MATCH('County Scaled Consumption '!K$2,Production_Consumption!$AA$83:$AJ$83,0)))*'CA Population'!$L322*10^6</f>
        <v>1574.9187514625387</v>
      </c>
      <c r="L322" s="131">
        <f t="shared" si="4"/>
        <v>0</v>
      </c>
    </row>
    <row r="323" spans="1:12" x14ac:dyDescent="0.2">
      <c r="A323" s="132" t="s">
        <v>330</v>
      </c>
      <c r="B323" s="129">
        <v>2015</v>
      </c>
      <c r="C323" s="143">
        <f>(INDEX(Production_Consumption!$AA$83:$AJ$99,MATCH('County Scaled Consumption '!$B323,Production_Consumption!$AA$83:$AA$99,0),MATCH('County Scaled Consumption '!C$2,Production_Consumption!$AA$83:$AJ$83,0)))*'CA Population'!$L323*10^6</f>
        <v>169.24375807101256</v>
      </c>
      <c r="D323" s="143">
        <f>(INDEX(Production_Consumption!$AA$83:$AJ$99,MATCH('County Scaled Consumption '!$B323,Production_Consumption!$AA$83:$AA$99,0),MATCH('County Scaled Consumption '!D$2,Production_Consumption!$AA$83:$AJ$83,0)))*'CA Population'!$L323*10^6</f>
        <v>661.18044568691948</v>
      </c>
      <c r="E323" s="143">
        <f>(INDEX(Production_Consumption!$AA$83:$AJ$99,MATCH('County Scaled Consumption '!$B323,Production_Consumption!$AA$83:$AA$99,0),MATCH('County Scaled Consumption '!E$2,Production_Consumption!$AA$83:$AJ$83,0)))*'CA Population'!$L323*10^6</f>
        <v>363.9371495205778</v>
      </c>
      <c r="F323" s="143">
        <f>(INDEX(Production_Consumption!$AA$83:$AJ$99,MATCH('County Scaled Consumption '!$B323,Production_Consumption!$AA$83:$AA$99,0),MATCH('County Scaled Consumption '!F$2,Production_Consumption!$AA$83:$AJ$83,0)))*'CA Population'!$L323*10^6</f>
        <v>211.04141946023194</v>
      </c>
      <c r="G323" s="143">
        <f>(INDEX(Production_Consumption!$AA$83:$AJ$99,MATCH('County Scaled Consumption '!$B323,Production_Consumption!$AA$83:$AA$99,0),MATCH('County Scaled Consumption '!G$2,Production_Consumption!$AA$83:$AJ$83,0)))*'CA Population'!$L323*10^6</f>
        <v>440.82295633310611</v>
      </c>
      <c r="H323" s="143">
        <f>(INDEX(Production_Consumption!$AA$83:$AJ$99,MATCH('County Scaled Consumption '!$B323,Production_Consumption!$AA$83:$AA$99,0),MATCH('County Scaled Consumption '!H$2,Production_Consumption!$AA$83:$AJ$83,0)))*'CA Population'!$L323*10^6</f>
        <v>12.098750753566648</v>
      </c>
      <c r="I323" s="143">
        <f>(INDEX(Production_Consumption!$AA$83:$AJ$99,MATCH('County Scaled Consumption '!$B323,Production_Consumption!$AA$83:$AA$99,0),MATCH('County Scaled Consumption '!I$2,Production_Consumption!$AA$83:$AJ$83,0)))*'CA Population'!$L323*10^6</f>
        <v>246.80520899697413</v>
      </c>
      <c r="J323" s="143">
        <f>(INDEX(Production_Consumption!$AA$83:$AJ$99,MATCH('County Scaled Consumption '!$B323,Production_Consumption!$AA$83:$AA$99,0),MATCH('County Scaled Consumption '!J$2,Production_Consumption!$AA$83:$AJ$83,0)))*'CA Population'!$L323*10^6</f>
        <v>152.49391738451143</v>
      </c>
      <c r="K323" s="143">
        <f>(INDEX(Production_Consumption!$AA$83:$AJ$99,MATCH('County Scaled Consumption '!$B323,Production_Consumption!$AA$83:$AA$99,0),MATCH('County Scaled Consumption '!K$2,Production_Consumption!$AA$83:$AJ$83,0)))*'CA Population'!$L323*10^6</f>
        <v>2257.6236062069006</v>
      </c>
      <c r="L323" s="131">
        <f t="shared" si="4"/>
        <v>0</v>
      </c>
    </row>
    <row r="324" spans="1:12" x14ac:dyDescent="0.2">
      <c r="A324" s="132" t="s">
        <v>331</v>
      </c>
      <c r="B324" s="129">
        <v>2015</v>
      </c>
      <c r="C324" s="143">
        <f>(INDEX(Production_Consumption!$AA$83:$AJ$99,MATCH('County Scaled Consumption '!$B324,Production_Consumption!$AA$83:$AA$99,0),MATCH('County Scaled Consumption '!C$2,Production_Consumption!$AA$83:$AJ$83,0)))*'CA Population'!$L324*10^6</f>
        <v>5279.6125927297235</v>
      </c>
      <c r="D324" s="143">
        <f>(INDEX(Production_Consumption!$AA$83:$AJ$99,MATCH('County Scaled Consumption '!$B324,Production_Consumption!$AA$83:$AA$99,0),MATCH('County Scaled Consumption '!D$2,Production_Consumption!$AA$83:$AJ$83,0)))*'CA Population'!$L324*10^6</f>
        <v>20625.733243589548</v>
      </c>
      <c r="E324" s="143">
        <f>(INDEX(Production_Consumption!$AA$83:$AJ$99,MATCH('County Scaled Consumption '!$B324,Production_Consumption!$AA$83:$AA$99,0),MATCH('County Scaled Consumption '!E$2,Production_Consumption!$AA$83:$AJ$83,0)))*'CA Population'!$L324*10^6</f>
        <v>11353.134552618405</v>
      </c>
      <c r="F324" s="143">
        <f>(INDEX(Production_Consumption!$AA$83:$AJ$99,MATCH('County Scaled Consumption '!$B324,Production_Consumption!$AA$83:$AA$99,0),MATCH('County Scaled Consumption '!F$2,Production_Consumption!$AA$83:$AJ$83,0)))*'CA Population'!$L324*10^6</f>
        <v>6583.5038672580449</v>
      </c>
      <c r="G324" s="143">
        <f>(INDEX(Production_Consumption!$AA$83:$AJ$99,MATCH('County Scaled Consumption '!$B324,Production_Consumption!$AA$83:$AA$99,0),MATCH('County Scaled Consumption '!G$2,Production_Consumption!$AA$83:$AJ$83,0)))*'CA Population'!$L324*10^6</f>
        <v>13751.611627792352</v>
      </c>
      <c r="H324" s="143">
        <f>(INDEX(Production_Consumption!$AA$83:$AJ$99,MATCH('County Scaled Consumption '!$B324,Production_Consumption!$AA$83:$AA$99,0),MATCH('County Scaled Consumption '!H$2,Production_Consumption!$AA$83:$AJ$83,0)))*'CA Population'!$L324*10^6</f>
        <v>377.42435858713816</v>
      </c>
      <c r="I324" s="143">
        <f>(INDEX(Production_Consumption!$AA$83:$AJ$99,MATCH('County Scaled Consumption '!$B324,Production_Consumption!$AA$83:$AA$99,0),MATCH('County Scaled Consumption '!I$2,Production_Consumption!$AA$83:$AJ$83,0)))*'CA Population'!$L324*10^6</f>
        <v>7699.1665998398494</v>
      </c>
      <c r="J324" s="143">
        <f>(INDEX(Production_Consumption!$AA$83:$AJ$99,MATCH('County Scaled Consumption '!$B324,Production_Consumption!$AA$83:$AA$99,0),MATCH('County Scaled Consumption '!J$2,Production_Consumption!$AA$83:$AJ$83,0)))*'CA Population'!$L324*10^6</f>
        <v>4757.096011778106</v>
      </c>
      <c r="K324" s="143">
        <f>(INDEX(Production_Consumption!$AA$83:$AJ$99,MATCH('County Scaled Consumption '!$B324,Production_Consumption!$AA$83:$AA$99,0),MATCH('County Scaled Consumption '!K$2,Production_Consumption!$AA$83:$AJ$83,0)))*'CA Population'!$L324*10^6</f>
        <v>70427.282854193181</v>
      </c>
      <c r="L324" s="131">
        <f t="shared" ref="L324:L387" si="5">K324-SUM(C324:J324)</f>
        <v>0</v>
      </c>
    </row>
    <row r="325" spans="1:12" x14ac:dyDescent="0.2">
      <c r="A325" s="132" t="s">
        <v>332</v>
      </c>
      <c r="B325" s="129">
        <v>2015</v>
      </c>
      <c r="C325" s="143">
        <f>(INDEX(Production_Consumption!$AA$83:$AJ$99,MATCH('County Scaled Consumption '!$B325,Production_Consumption!$AA$83:$AA$99,0),MATCH('County Scaled Consumption '!C$2,Production_Consumption!$AA$83:$AJ$83,0)))*'CA Population'!$L325*10^6</f>
        <v>1730.0214008342111</v>
      </c>
      <c r="D325" s="143">
        <f>(INDEX(Production_Consumption!$AA$83:$AJ$99,MATCH('County Scaled Consumption '!$B325,Production_Consumption!$AA$83:$AA$99,0),MATCH('County Scaled Consumption '!D$2,Production_Consumption!$AA$83:$AJ$83,0)))*'CA Population'!$L325*10^6</f>
        <v>6758.6322467001983</v>
      </c>
      <c r="E325" s="143">
        <f>(INDEX(Production_Consumption!$AA$83:$AJ$99,MATCH('County Scaled Consumption '!$B325,Production_Consumption!$AA$83:$AA$99,0),MATCH('County Scaled Consumption '!E$2,Production_Consumption!$AA$83:$AJ$83,0)))*'CA Population'!$L325*10^6</f>
        <v>3720.1907143010822</v>
      </c>
      <c r="F325" s="143">
        <f>(INDEX(Production_Consumption!$AA$83:$AJ$99,MATCH('County Scaled Consumption '!$B325,Production_Consumption!$AA$83:$AA$99,0),MATCH('County Scaled Consumption '!F$2,Production_Consumption!$AA$83:$AJ$83,0)))*'CA Population'!$L325*10^6</f>
        <v>2157.2799865117436</v>
      </c>
      <c r="G325" s="143">
        <f>(INDEX(Production_Consumption!$AA$83:$AJ$99,MATCH('County Scaled Consumption '!$B325,Production_Consumption!$AA$83:$AA$99,0),MATCH('County Scaled Consumption '!G$2,Production_Consumption!$AA$83:$AJ$83,0)))*'CA Population'!$L325*10^6</f>
        <v>4506.1227493854585</v>
      </c>
      <c r="H325" s="143">
        <f>(INDEX(Production_Consumption!$AA$83:$AJ$99,MATCH('County Scaled Consumption '!$B325,Production_Consumption!$AA$83:$AA$99,0),MATCH('County Scaled Consumption '!H$2,Production_Consumption!$AA$83:$AJ$83,0)))*'CA Population'!$L325*10^6</f>
        <v>123.67426701933029</v>
      </c>
      <c r="I325" s="143">
        <f>(INDEX(Production_Consumption!$AA$83:$AJ$99,MATCH('County Scaled Consumption '!$B325,Production_Consumption!$AA$83:$AA$99,0),MATCH('County Scaled Consumption '!I$2,Production_Consumption!$AA$83:$AJ$83,0)))*'CA Population'!$L325*10^6</f>
        <v>2522.8599167773782</v>
      </c>
      <c r="J325" s="143">
        <f>(INDEX(Production_Consumption!$AA$83:$AJ$99,MATCH('County Scaled Consumption '!$B325,Production_Consumption!$AA$83:$AA$99,0),MATCH('County Scaled Consumption '!J$2,Production_Consumption!$AA$83:$AJ$83,0)))*'CA Population'!$L325*10^6</f>
        <v>1558.8033708253763</v>
      </c>
      <c r="K325" s="143">
        <f>(INDEX(Production_Consumption!$AA$83:$AJ$99,MATCH('County Scaled Consumption '!$B325,Production_Consumption!$AA$83:$AA$99,0),MATCH('County Scaled Consumption '!K$2,Production_Consumption!$AA$83:$AJ$83,0)))*'CA Population'!$L325*10^6</f>
        <v>23077.584652354781</v>
      </c>
      <c r="L325" s="131">
        <f t="shared" si="5"/>
        <v>0</v>
      </c>
    </row>
    <row r="326" spans="1:12" x14ac:dyDescent="0.2">
      <c r="A326" s="132" t="s">
        <v>333</v>
      </c>
      <c r="B326" s="129">
        <v>2015</v>
      </c>
      <c r="C326" s="143">
        <f>(INDEX(Production_Consumption!$AA$83:$AJ$99,MATCH('County Scaled Consumption '!$B326,Production_Consumption!$AA$83:$AA$99,0),MATCH('County Scaled Consumption '!C$2,Production_Consumption!$AA$83:$AJ$83,0)))*'CA Population'!$L326*10^6</f>
        <v>1204.400080998935</v>
      </c>
      <c r="D326" s="143">
        <f>(INDEX(Production_Consumption!$AA$83:$AJ$99,MATCH('County Scaled Consumption '!$B326,Production_Consumption!$AA$83:$AA$99,0),MATCH('County Scaled Consumption '!D$2,Production_Consumption!$AA$83:$AJ$83,0)))*'CA Population'!$L326*10^6</f>
        <v>4705.2003064485807</v>
      </c>
      <c r="E326" s="143">
        <f>(INDEX(Production_Consumption!$AA$83:$AJ$99,MATCH('County Scaled Consumption '!$B326,Production_Consumption!$AA$83:$AA$99,0),MATCH('County Scaled Consumption '!E$2,Production_Consumption!$AA$83:$AJ$83,0)))*'CA Population'!$L326*10^6</f>
        <v>2589.9090008222893</v>
      </c>
      <c r="F326" s="143">
        <f>(INDEX(Production_Consumption!$AA$83:$AJ$99,MATCH('County Scaled Consumption '!$B326,Production_Consumption!$AA$83:$AA$99,0),MATCH('County Scaled Consumption '!F$2,Production_Consumption!$AA$83:$AJ$83,0)))*'CA Population'!$L326*10^6</f>
        <v>1501.8474275747501</v>
      </c>
      <c r="G326" s="143">
        <f>(INDEX(Production_Consumption!$AA$83:$AJ$99,MATCH('County Scaled Consumption '!$B326,Production_Consumption!$AA$83:$AA$99,0),MATCH('County Scaled Consumption '!G$2,Production_Consumption!$AA$83:$AJ$83,0)))*'CA Population'!$L326*10^6</f>
        <v>3137.0563403053989</v>
      </c>
      <c r="H326" s="143">
        <f>(INDEX(Production_Consumption!$AA$83:$AJ$99,MATCH('County Scaled Consumption '!$B326,Production_Consumption!$AA$83:$AA$99,0),MATCH('County Scaled Consumption '!H$2,Production_Consumption!$AA$83:$AJ$83,0)))*'CA Population'!$L326*10^6</f>
        <v>86.099106718414276</v>
      </c>
      <c r="I326" s="143">
        <f>(INDEX(Production_Consumption!$AA$83:$AJ$99,MATCH('County Scaled Consumption '!$B326,Production_Consumption!$AA$83:$AA$99,0),MATCH('County Scaled Consumption '!I$2,Production_Consumption!$AA$83:$AJ$83,0)))*'CA Population'!$L326*10^6</f>
        <v>1756.3555495038784</v>
      </c>
      <c r="J326" s="143">
        <f>(INDEX(Production_Consumption!$AA$83:$AJ$99,MATCH('County Scaled Consumption '!$B326,Production_Consumption!$AA$83:$AA$99,0),MATCH('County Scaled Consumption '!J$2,Production_Consumption!$AA$83:$AJ$83,0)))*'CA Population'!$L326*10^6</f>
        <v>1085.2021282385344</v>
      </c>
      <c r="K326" s="143">
        <f>(INDEX(Production_Consumption!$AA$83:$AJ$99,MATCH('County Scaled Consumption '!$B326,Production_Consumption!$AA$83:$AA$99,0),MATCH('County Scaled Consumption '!K$2,Production_Consumption!$AA$83:$AJ$83,0)))*'CA Population'!$L326*10^6</f>
        <v>16066.069940610783</v>
      </c>
      <c r="L326" s="131">
        <f t="shared" si="5"/>
        <v>0</v>
      </c>
    </row>
    <row r="327" spans="1:12" x14ac:dyDescent="0.2">
      <c r="A327" s="132" t="s">
        <v>334</v>
      </c>
      <c r="B327" s="129">
        <v>2015</v>
      </c>
      <c r="C327" s="143">
        <f>(INDEX(Production_Consumption!$AA$83:$AJ$99,MATCH('County Scaled Consumption '!$B327,Production_Consumption!$AA$83:$AA$99,0),MATCH('County Scaled Consumption '!C$2,Production_Consumption!$AA$83:$AJ$83,0)))*'CA Population'!$L327*10^6</f>
        <v>38585.846732898179</v>
      </c>
      <c r="D327" s="143">
        <f>(INDEX(Production_Consumption!$AA$83:$AJ$99,MATCH('County Scaled Consumption '!$B327,Production_Consumption!$AA$83:$AA$99,0),MATCH('County Scaled Consumption '!D$2,Production_Consumption!$AA$83:$AJ$83,0)))*'CA Population'!$L327*10^6</f>
        <v>150742.38264881933</v>
      </c>
      <c r="E327" s="143">
        <f>(INDEX(Production_Consumption!$AA$83:$AJ$99,MATCH('County Scaled Consumption '!$B327,Production_Consumption!$AA$83:$AA$99,0),MATCH('County Scaled Consumption '!E$2,Production_Consumption!$AA$83:$AJ$83,0)))*'CA Population'!$L327*10^6</f>
        <v>82973.949715277951</v>
      </c>
      <c r="F327" s="143">
        <f>(INDEX(Production_Consumption!$AA$83:$AJ$99,MATCH('County Scaled Consumption '!$B327,Production_Consumption!$AA$83:$AA$99,0),MATCH('County Scaled Consumption '!F$2,Production_Consumption!$AA$83:$AJ$83,0)))*'CA Population'!$L327*10^6</f>
        <v>48115.286249842044</v>
      </c>
      <c r="G327" s="143">
        <f>(INDEX(Production_Consumption!$AA$83:$AJ$99,MATCH('County Scaled Consumption '!$B327,Production_Consumption!$AA$83:$AA$99,0),MATCH('County Scaled Consumption '!G$2,Production_Consumption!$AA$83:$AJ$83,0)))*'CA Population'!$L327*10^6</f>
        <v>100503.12769747947</v>
      </c>
      <c r="H327" s="143">
        <f>(INDEX(Production_Consumption!$AA$83:$AJ$99,MATCH('County Scaled Consumption '!$B327,Production_Consumption!$AA$83:$AA$99,0),MATCH('County Scaled Consumption '!H$2,Production_Consumption!$AA$83:$AJ$83,0)))*'CA Population'!$L327*10^6</f>
        <v>2758.3914914060147</v>
      </c>
      <c r="I327" s="143">
        <f>(INDEX(Production_Consumption!$AA$83:$AJ$99,MATCH('County Scaled Consumption '!$B327,Production_Consumption!$AA$83:$AA$99,0),MATCH('County Scaled Consumption '!I$2,Production_Consumption!$AA$83:$AJ$83,0)))*'CA Population'!$L327*10^6</f>
        <v>56269.064666138744</v>
      </c>
      <c r="J327" s="143">
        <f>(INDEX(Production_Consumption!$AA$83:$AJ$99,MATCH('County Scaled Consumption '!$B327,Production_Consumption!$AA$83:$AA$99,0),MATCH('County Scaled Consumption '!J$2,Production_Consumption!$AA$83:$AJ$83,0)))*'CA Population'!$L327*10^6</f>
        <v>34767.054282906531</v>
      </c>
      <c r="K327" s="143">
        <f>(INDEX(Production_Consumption!$AA$83:$AJ$99,MATCH('County Scaled Consumption '!$B327,Production_Consumption!$AA$83:$AA$99,0),MATCH('County Scaled Consumption '!K$2,Production_Consumption!$AA$83:$AJ$83,0)))*'CA Population'!$L327*10^6</f>
        <v>514715.10348476836</v>
      </c>
      <c r="L327" s="131">
        <f t="shared" si="5"/>
        <v>0</v>
      </c>
    </row>
    <row r="328" spans="1:12" x14ac:dyDescent="0.2">
      <c r="A328" s="132" t="s">
        <v>335</v>
      </c>
      <c r="B328" s="129">
        <v>2015</v>
      </c>
      <c r="C328" s="143">
        <f>(INDEX(Production_Consumption!$AA$83:$AJ$99,MATCH('County Scaled Consumption '!$B328,Production_Consumption!$AA$83:$AA$99,0),MATCH('County Scaled Consumption '!C$2,Production_Consumption!$AA$83:$AJ$83,0)))*'CA Population'!$L328*10^6</f>
        <v>4555.1393666159856</v>
      </c>
      <c r="D328" s="143">
        <f>(INDEX(Production_Consumption!$AA$83:$AJ$99,MATCH('County Scaled Consumption '!$B328,Production_Consumption!$AA$83:$AA$99,0),MATCH('County Scaled Consumption '!D$2,Production_Consumption!$AA$83:$AJ$83,0)))*'CA Population'!$L328*10^6</f>
        <v>17795.451430010722</v>
      </c>
      <c r="E328" s="143">
        <f>(INDEX(Production_Consumption!$AA$83:$AJ$99,MATCH('County Scaled Consumption '!$B328,Production_Consumption!$AA$83:$AA$99,0),MATCH('County Scaled Consumption '!E$2,Production_Consumption!$AA$83:$AJ$83,0)))*'CA Population'!$L328*10^6</f>
        <v>9795.24713732489</v>
      </c>
      <c r="F328" s="143">
        <f>(INDEX(Production_Consumption!$AA$83:$AJ$99,MATCH('County Scaled Consumption '!$B328,Production_Consumption!$AA$83:$AA$99,0),MATCH('County Scaled Consumption '!F$2,Production_Consumption!$AA$83:$AJ$83,0)))*'CA Population'!$L328*10^6</f>
        <v>5680.1094984339697</v>
      </c>
      <c r="G328" s="143">
        <f>(INDEX(Production_Consumption!$AA$83:$AJ$99,MATCH('County Scaled Consumption '!$B328,Production_Consumption!$AA$83:$AA$99,0),MATCH('County Scaled Consumption '!G$2,Production_Consumption!$AA$83:$AJ$83,0)))*'CA Population'!$L328*10^6</f>
        <v>11864.603013946517</v>
      </c>
      <c r="H328" s="143">
        <f>(INDEX(Production_Consumption!$AA$83:$AJ$99,MATCH('County Scaled Consumption '!$B328,Production_Consumption!$AA$83:$AA$99,0),MATCH('County Scaled Consumption '!H$2,Production_Consumption!$AA$83:$AJ$83,0)))*'CA Population'!$L328*10^6</f>
        <v>325.6338459544379</v>
      </c>
      <c r="I328" s="143">
        <f>(INDEX(Production_Consumption!$AA$83:$AJ$99,MATCH('County Scaled Consumption '!$B328,Production_Consumption!$AA$83:$AA$99,0),MATCH('County Scaled Consumption '!I$2,Production_Consumption!$AA$83:$AJ$83,0)))*'CA Population'!$L328*10^6</f>
        <v>6642.6799794665912</v>
      </c>
      <c r="J328" s="143">
        <f>(INDEX(Production_Consumption!$AA$83:$AJ$99,MATCH('County Scaled Consumption '!$B328,Production_Consumption!$AA$83:$AA$99,0),MATCH('County Scaled Consumption '!J$2,Production_Consumption!$AA$83:$AJ$83,0)))*'CA Population'!$L328*10^6</f>
        <v>4104.3229845807082</v>
      </c>
      <c r="K328" s="143">
        <f>(INDEX(Production_Consumption!$AA$83:$AJ$99,MATCH('County Scaled Consumption '!$B328,Production_Consumption!$AA$83:$AA$99,0),MATCH('County Scaled Consumption '!K$2,Production_Consumption!$AA$83:$AJ$83,0)))*'CA Population'!$L328*10^6</f>
        <v>60763.187256333833</v>
      </c>
      <c r="L328" s="131">
        <f t="shared" si="5"/>
        <v>0</v>
      </c>
    </row>
    <row r="329" spans="1:12" x14ac:dyDescent="0.2">
      <c r="A329" s="132" t="s">
        <v>336</v>
      </c>
      <c r="B329" s="129">
        <v>2015</v>
      </c>
      <c r="C329" s="143">
        <f>(INDEX(Production_Consumption!$AA$83:$AJ$99,MATCH('County Scaled Consumption '!$B329,Production_Consumption!$AA$83:$AA$99,0),MATCH('County Scaled Consumption '!C$2,Production_Consumption!$AA$83:$AJ$83,0)))*'CA Population'!$L329*10^6</f>
        <v>224.44767799861972</v>
      </c>
      <c r="D329" s="143">
        <f>(INDEX(Production_Consumption!$AA$83:$AJ$99,MATCH('County Scaled Consumption '!$B329,Production_Consumption!$AA$83:$AA$99,0),MATCH('County Scaled Consumption '!D$2,Production_Consumption!$AA$83:$AJ$83,0)))*'CA Population'!$L329*10^6</f>
        <v>876.84424798848181</v>
      </c>
      <c r="E329" s="143">
        <f>(INDEX(Production_Consumption!$AA$83:$AJ$99,MATCH('County Scaled Consumption '!$B329,Production_Consumption!$AA$83:$AA$99,0),MATCH('County Scaled Consumption '!E$2,Production_Consumption!$AA$83:$AJ$83,0)))*'CA Population'!$L329*10^6</f>
        <v>482.6461494258254</v>
      </c>
      <c r="F329" s="143">
        <f>(INDEX(Production_Consumption!$AA$83:$AJ$99,MATCH('County Scaled Consumption '!$B329,Production_Consumption!$AA$83:$AA$99,0),MATCH('County Scaled Consumption '!F$2,Production_Consumption!$AA$83:$AJ$83,0)))*'CA Population'!$L329*10^6</f>
        <v>279.87889833731327</v>
      </c>
      <c r="G329" s="143">
        <f>(INDEX(Production_Consumption!$AA$83:$AJ$99,MATCH('County Scaled Consumption '!$B329,Production_Consumption!$AA$83:$AA$99,0),MATCH('County Scaled Consumption '!G$2,Production_Consumption!$AA$83:$AJ$83,0)))*'CA Population'!$L329*10^6</f>
        <v>584.61056457950974</v>
      </c>
      <c r="H329" s="143">
        <f>(INDEX(Production_Consumption!$AA$83:$AJ$99,MATCH('County Scaled Consumption '!$B329,Production_Consumption!$AA$83:$AA$99,0),MATCH('County Scaled Consumption '!H$2,Production_Consumption!$AA$83:$AJ$83,0)))*'CA Population'!$L329*10^6</f>
        <v>16.045120625262172</v>
      </c>
      <c r="I329" s="143">
        <f>(INDEX(Production_Consumption!$AA$83:$AJ$99,MATCH('County Scaled Consumption '!$B329,Production_Consumption!$AA$83:$AA$99,0),MATCH('County Scaled Consumption '!I$2,Production_Consumption!$AA$83:$AJ$83,0)))*'CA Population'!$L329*10^6</f>
        <v>327.30811882640842</v>
      </c>
      <c r="J329" s="143">
        <f>(INDEX(Production_Consumption!$AA$83:$AJ$99,MATCH('County Scaled Consumption '!$B329,Production_Consumption!$AA$83:$AA$99,0),MATCH('County Scaled Consumption '!J$2,Production_Consumption!$AA$83:$AJ$83,0)))*'CA Population'!$L329*10^6</f>
        <v>202.2343751756313</v>
      </c>
      <c r="K329" s="143">
        <f>(INDEX(Production_Consumption!$AA$83:$AJ$99,MATCH('County Scaled Consumption '!$B329,Production_Consumption!$AA$83:$AA$99,0),MATCH('County Scaled Consumption '!K$2,Production_Consumption!$AA$83:$AJ$83,0)))*'CA Population'!$L329*10^6</f>
        <v>2994.0151529570526</v>
      </c>
      <c r="L329" s="131">
        <f t="shared" si="5"/>
        <v>0</v>
      </c>
    </row>
    <row r="330" spans="1:12" x14ac:dyDescent="0.2">
      <c r="A330" s="132" t="s">
        <v>337</v>
      </c>
      <c r="B330" s="129">
        <v>2015</v>
      </c>
      <c r="C330" s="143">
        <f>(INDEX(Production_Consumption!$AA$83:$AJ$99,MATCH('County Scaled Consumption '!$B330,Production_Consumption!$AA$83:$AA$99,0),MATCH('County Scaled Consumption '!C$2,Production_Consumption!$AA$83:$AJ$83,0)))*'CA Population'!$L330*10^6</f>
        <v>28412.374122385194</v>
      </c>
      <c r="D330" s="143">
        <f>(INDEX(Production_Consumption!$AA$83:$AJ$99,MATCH('County Scaled Consumption '!$B330,Production_Consumption!$AA$83:$AA$99,0),MATCH('County Scaled Consumption '!D$2,Production_Consumption!$AA$83:$AJ$83,0)))*'CA Population'!$L330*10^6</f>
        <v>110997.92630095044</v>
      </c>
      <c r="E330" s="143">
        <f>(INDEX(Production_Consumption!$AA$83:$AJ$99,MATCH('County Scaled Consumption '!$B330,Production_Consumption!$AA$83:$AA$99,0),MATCH('County Scaled Consumption '!E$2,Production_Consumption!$AA$83:$AJ$83,0)))*'CA Population'!$L330*10^6</f>
        <v>61097.192399110085</v>
      </c>
      <c r="F330" s="143">
        <f>(INDEX(Production_Consumption!$AA$83:$AJ$99,MATCH('County Scaled Consumption '!$B330,Production_Consumption!$AA$83:$AA$99,0),MATCH('County Scaled Consumption '!F$2,Production_Consumption!$AA$83:$AJ$83,0)))*'CA Population'!$L330*10^6</f>
        <v>35429.299333493924</v>
      </c>
      <c r="G330" s="143">
        <f>(INDEX(Production_Consumption!$AA$83:$AJ$99,MATCH('County Scaled Consumption '!$B330,Production_Consumption!$AA$83:$AA$99,0),MATCH('County Scaled Consumption '!G$2,Production_Consumption!$AA$83:$AJ$83,0)))*'CA Population'!$L330*10^6</f>
        <v>74004.659904897766</v>
      </c>
      <c r="H330" s="143">
        <f>(INDEX(Production_Consumption!$AA$83:$AJ$99,MATCH('County Scaled Consumption '!$B330,Production_Consumption!$AA$83:$AA$99,0),MATCH('County Scaled Consumption '!H$2,Production_Consumption!$AA$83:$AJ$83,0)))*'CA Population'!$L330*10^6</f>
        <v>2031.1191192031461</v>
      </c>
      <c r="I330" s="143">
        <f>(INDEX(Production_Consumption!$AA$83:$AJ$99,MATCH('County Scaled Consumption '!$B330,Production_Consumption!$AA$83:$AA$99,0),MATCH('County Scaled Consumption '!I$2,Production_Consumption!$AA$83:$AJ$83,0)))*'CA Population'!$L330*10^6</f>
        <v>41433.267692113142</v>
      </c>
      <c r="J330" s="143">
        <f>(INDEX(Production_Consumption!$AA$83:$AJ$99,MATCH('County Scaled Consumption '!$B330,Production_Consumption!$AA$83:$AA$99,0),MATCH('County Scaled Consumption '!J$2,Production_Consumption!$AA$83:$AJ$83,0)))*'CA Population'!$L330*10^6</f>
        <v>25600.437389832037</v>
      </c>
      <c r="K330" s="143">
        <f>(INDEX(Production_Consumption!$AA$83:$AJ$99,MATCH('County Scaled Consumption '!$B330,Production_Consumption!$AA$83:$AA$99,0),MATCH('County Scaled Consumption '!K$2,Production_Consumption!$AA$83:$AJ$83,0)))*'CA Population'!$L330*10^6</f>
        <v>379006.27626198583</v>
      </c>
      <c r="L330" s="131">
        <f t="shared" si="5"/>
        <v>0</v>
      </c>
    </row>
    <row r="331" spans="1:12" x14ac:dyDescent="0.2">
      <c r="A331" s="132" t="s">
        <v>338</v>
      </c>
      <c r="B331" s="129">
        <v>2015</v>
      </c>
      <c r="C331" s="143">
        <f>(INDEX(Production_Consumption!$AA$83:$AJ$99,MATCH('County Scaled Consumption '!$B331,Production_Consumption!$AA$83:$AA$99,0),MATCH('County Scaled Consumption '!C$2,Production_Consumption!$AA$83:$AJ$83,0)))*'CA Population'!$L331*10^6</f>
        <v>18180.126944978838</v>
      </c>
      <c r="D331" s="143">
        <f>(INDEX(Production_Consumption!$AA$83:$AJ$99,MATCH('County Scaled Consumption '!$B331,Production_Consumption!$AA$83:$AA$99,0),MATCH('County Scaled Consumption '!D$2,Production_Consumption!$AA$83:$AJ$83,0)))*'CA Population'!$L331*10^6</f>
        <v>71023.856791706887</v>
      </c>
      <c r="E331" s="143">
        <f>(INDEX(Production_Consumption!$AA$83:$AJ$99,MATCH('County Scaled Consumption '!$B331,Production_Consumption!$AA$83:$AA$99,0),MATCH('County Scaled Consumption '!E$2,Production_Consumption!$AA$83:$AJ$83,0)))*'CA Population'!$L331*10^6</f>
        <v>39094.047861438303</v>
      </c>
      <c r="F331" s="143">
        <f>(INDEX(Production_Consumption!$AA$83:$AJ$99,MATCH('County Scaled Consumption '!$B331,Production_Consumption!$AA$83:$AA$99,0),MATCH('County Scaled Consumption '!F$2,Production_Consumption!$AA$83:$AJ$83,0)))*'CA Population'!$L331*10^6</f>
        <v>22670.022458528059</v>
      </c>
      <c r="G331" s="143">
        <f>(INDEX(Production_Consumption!$AA$83:$AJ$99,MATCH('County Scaled Consumption '!$B331,Production_Consumption!$AA$83:$AA$99,0),MATCH('County Scaled Consumption '!G$2,Production_Consumption!$AA$83:$AJ$83,0)))*'CA Population'!$L331*10^6</f>
        <v>47353.104171995918</v>
      </c>
      <c r="H331" s="143">
        <f>(INDEX(Production_Consumption!$AA$83:$AJ$99,MATCH('County Scaled Consumption '!$B331,Production_Consumption!$AA$83:$AA$99,0),MATCH('County Scaled Consumption '!H$2,Production_Consumption!$AA$83:$AJ$83,0)))*'CA Population'!$L331*10^6</f>
        <v>1299.6451218201439</v>
      </c>
      <c r="I331" s="143">
        <f>(INDEX(Production_Consumption!$AA$83:$AJ$99,MATCH('County Scaled Consumption '!$B331,Production_Consumption!$AA$83:$AA$99,0),MATCH('County Scaled Consumption '!I$2,Production_Consumption!$AA$83:$AJ$83,0)))*'CA Population'!$L331*10^6</f>
        <v>26511.760796308692</v>
      </c>
      <c r="J331" s="143">
        <f>(INDEX(Production_Consumption!$AA$83:$AJ$99,MATCH('County Scaled Consumption '!$B331,Production_Consumption!$AA$83:$AA$99,0),MATCH('County Scaled Consumption '!J$2,Production_Consumption!$AA$83:$AJ$83,0)))*'CA Population'!$L331*10^6</f>
        <v>16380.862774414914</v>
      </c>
      <c r="K331" s="143">
        <f>(INDEX(Production_Consumption!$AA$83:$AJ$99,MATCH('County Scaled Consumption '!$B331,Production_Consumption!$AA$83:$AA$99,0),MATCH('County Scaled Consumption '!K$2,Production_Consumption!$AA$83:$AJ$83,0)))*'CA Population'!$L331*10^6</f>
        <v>242513.4269211918</v>
      </c>
      <c r="L331" s="131">
        <f t="shared" si="5"/>
        <v>0</v>
      </c>
    </row>
    <row r="332" spans="1:12" x14ac:dyDescent="0.2">
      <c r="A332" s="132" t="s">
        <v>339</v>
      </c>
      <c r="B332" s="129">
        <v>2015</v>
      </c>
      <c r="C332" s="143">
        <f>(INDEX(Production_Consumption!$AA$83:$AJ$99,MATCH('County Scaled Consumption '!$B332,Production_Consumption!$AA$83:$AA$99,0),MATCH('County Scaled Consumption '!C$2,Production_Consumption!$AA$83:$AJ$83,0)))*'CA Population'!$L332*10^6</f>
        <v>713.33182595942264</v>
      </c>
      <c r="D332" s="143">
        <f>(INDEX(Production_Consumption!$AA$83:$AJ$99,MATCH('County Scaled Consumption '!$B332,Production_Consumption!$AA$83:$AA$99,0),MATCH('County Scaled Consumption '!D$2,Production_Consumption!$AA$83:$AJ$83,0)))*'CA Population'!$L332*10^6</f>
        <v>2786.7559783954948</v>
      </c>
      <c r="E332" s="143">
        <f>(INDEX(Production_Consumption!$AA$83:$AJ$99,MATCH('County Scaled Consumption '!$B332,Production_Consumption!$AA$83:$AA$99,0),MATCH('County Scaled Consumption '!E$2,Production_Consumption!$AA$83:$AJ$83,0)))*'CA Population'!$L332*10^6</f>
        <v>1533.9292530543603</v>
      </c>
      <c r="F332" s="143">
        <f>(INDEX(Production_Consumption!$AA$83:$AJ$99,MATCH('County Scaled Consumption '!$B332,Production_Consumption!$AA$83:$AA$99,0),MATCH('County Scaled Consumption '!F$2,Production_Consumption!$AA$83:$AJ$83,0)))*'CA Population'!$L332*10^6</f>
        <v>889.50140798380221</v>
      </c>
      <c r="G332" s="143">
        <f>(INDEX(Production_Consumption!$AA$83:$AJ$99,MATCH('County Scaled Consumption '!$B332,Production_Consumption!$AA$83:$AA$99,0),MATCH('County Scaled Consumption '!G$2,Production_Consumption!$AA$83:$AJ$83,0)))*'CA Population'!$L332*10^6</f>
        <v>1857.9890209834789</v>
      </c>
      <c r="H332" s="143">
        <f>(INDEX(Production_Consumption!$AA$83:$AJ$99,MATCH('County Scaled Consumption '!$B332,Production_Consumption!$AA$83:$AA$99,0),MATCH('County Scaled Consumption '!H$2,Production_Consumption!$AA$83:$AJ$83,0)))*'CA Population'!$L332*10^6</f>
        <v>50.994045897092526</v>
      </c>
      <c r="I332" s="143">
        <f>(INDEX(Production_Consumption!$AA$83:$AJ$99,MATCH('County Scaled Consumption '!$B332,Production_Consumption!$AA$83:$AA$99,0),MATCH('County Scaled Consumption '!I$2,Production_Consumption!$AA$83:$AJ$83,0)))*'CA Population'!$L332*10^6</f>
        <v>1040.2393116101714</v>
      </c>
      <c r="J332" s="143">
        <f>(INDEX(Production_Consumption!$AA$83:$AJ$99,MATCH('County Scaled Consumption '!$B332,Production_Consumption!$AA$83:$AA$99,0),MATCH('County Scaled Consumption '!J$2,Production_Consumption!$AA$83:$AJ$83,0)))*'CA Population'!$L332*10^6</f>
        <v>642.73427732535129</v>
      </c>
      <c r="K332" s="143">
        <f>(INDEX(Production_Consumption!$AA$83:$AJ$99,MATCH('County Scaled Consumption '!$B332,Production_Consumption!$AA$83:$AA$99,0),MATCH('County Scaled Consumption '!K$2,Production_Consumption!$AA$83:$AJ$83,0)))*'CA Population'!$L332*10^6</f>
        <v>9515.475121209176</v>
      </c>
      <c r="L332" s="131">
        <f t="shared" si="5"/>
        <v>0</v>
      </c>
    </row>
    <row r="333" spans="1:12" x14ac:dyDescent="0.2">
      <c r="A333" s="132" t="s">
        <v>340</v>
      </c>
      <c r="B333" s="129">
        <v>2015</v>
      </c>
      <c r="C333" s="143">
        <f>(INDEX(Production_Consumption!$AA$83:$AJ$99,MATCH('County Scaled Consumption '!$B333,Production_Consumption!$AA$83:$AA$99,0),MATCH('County Scaled Consumption '!C$2,Production_Consumption!$AA$83:$AJ$83,0)))*'CA Population'!$L333*10^6</f>
        <v>25917.093136282016</v>
      </c>
      <c r="D333" s="143">
        <f>(INDEX(Production_Consumption!$AA$83:$AJ$99,MATCH('County Scaled Consumption '!$B333,Production_Consumption!$AA$83:$AA$99,0),MATCH('County Scaled Consumption '!D$2,Production_Consumption!$AA$83:$AJ$83,0)))*'CA Population'!$L333*10^6</f>
        <v>101249.67317002229</v>
      </c>
      <c r="E333" s="143">
        <f>(INDEX(Production_Consumption!$AA$83:$AJ$99,MATCH('County Scaled Consumption '!$B333,Production_Consumption!$AA$83:$AA$99,0),MATCH('County Scaled Consumption '!E$2,Production_Consumption!$AA$83:$AJ$83,0)))*'CA Population'!$L333*10^6</f>
        <v>55731.408398058484</v>
      </c>
      <c r="F333" s="143">
        <f>(INDEX(Production_Consumption!$AA$83:$AJ$99,MATCH('County Scaled Consumption '!$B333,Production_Consumption!$AA$83:$AA$99,0),MATCH('County Scaled Consumption '!F$2,Production_Consumption!$AA$83:$AJ$83,0)))*'CA Population'!$L333*10^6</f>
        <v>32317.765725037985</v>
      </c>
      <c r="G333" s="143">
        <f>(INDEX(Production_Consumption!$AA$83:$AJ$99,MATCH('County Scaled Consumption '!$B333,Production_Consumption!$AA$83:$AA$99,0),MATCH('County Scaled Consumption '!G$2,Production_Consumption!$AA$83:$AJ$83,0)))*'CA Population'!$L333*10^6</f>
        <v>67505.293820659354</v>
      </c>
      <c r="H333" s="143">
        <f>(INDEX(Production_Consumption!$AA$83:$AJ$99,MATCH('County Scaled Consumption '!$B333,Production_Consumption!$AA$83:$AA$99,0),MATCH('County Scaled Consumption '!H$2,Production_Consumption!$AA$83:$AJ$83,0)))*'CA Population'!$L333*10^6</f>
        <v>1852.7386397392647</v>
      </c>
      <c r="I333" s="143">
        <f>(INDEX(Production_Consumption!$AA$83:$AJ$99,MATCH('County Scaled Consumption '!$B333,Production_Consumption!$AA$83:$AA$99,0),MATCH('County Scaled Consumption '!I$2,Production_Consumption!$AA$83:$AJ$83,0)))*'CA Population'!$L333*10^6</f>
        <v>37794.443121561068</v>
      </c>
      <c r="J333" s="143">
        <f>(INDEX(Production_Consumption!$AA$83:$AJ$99,MATCH('County Scaled Consumption '!$B333,Production_Consumption!$AA$83:$AA$99,0),MATCH('County Scaled Consumption '!J$2,Production_Consumption!$AA$83:$AJ$83,0)))*'CA Population'!$L333*10^6</f>
        <v>23352.111207035381</v>
      </c>
      <c r="K333" s="143">
        <f>(INDEX(Production_Consumption!$AA$83:$AJ$99,MATCH('County Scaled Consumption '!$B333,Production_Consumption!$AA$83:$AA$99,0),MATCH('County Scaled Consumption '!K$2,Production_Consumption!$AA$83:$AJ$83,0)))*'CA Population'!$L333*10^6</f>
        <v>345720.52721839584</v>
      </c>
      <c r="L333" s="131">
        <f t="shared" si="5"/>
        <v>0</v>
      </c>
    </row>
    <row r="334" spans="1:12" x14ac:dyDescent="0.2">
      <c r="A334" s="132" t="s">
        <v>341</v>
      </c>
      <c r="B334" s="129">
        <v>2015</v>
      </c>
      <c r="C334" s="143">
        <f>(INDEX(Production_Consumption!$AA$83:$AJ$99,MATCH('County Scaled Consumption '!$B334,Production_Consumption!$AA$83:$AA$99,0),MATCH('County Scaled Consumption '!C$2,Production_Consumption!$AA$83:$AJ$83,0)))*'CA Population'!$L334*10^6</f>
        <v>40058.806092726976</v>
      </c>
      <c r="D334" s="143">
        <f>(INDEX(Production_Consumption!$AA$83:$AJ$99,MATCH('County Scaled Consumption '!$B334,Production_Consumption!$AA$83:$AA$99,0),MATCH('County Scaled Consumption '!D$2,Production_Consumption!$AA$83:$AJ$83,0)))*'CA Population'!$L334*10^6</f>
        <v>156496.75691414197</v>
      </c>
      <c r="E334" s="143">
        <f>(INDEX(Production_Consumption!$AA$83:$AJ$99,MATCH('County Scaled Consumption '!$B334,Production_Consumption!$AA$83:$AA$99,0),MATCH('County Scaled Consumption '!E$2,Production_Consumption!$AA$83:$AJ$83,0)))*'CA Population'!$L334*10^6</f>
        <v>86141.3612457571</v>
      </c>
      <c r="F334" s="143">
        <f>(INDEX(Production_Consumption!$AA$83:$AJ$99,MATCH('County Scaled Consumption '!$B334,Production_Consumption!$AA$83:$AA$99,0),MATCH('County Scaled Consumption '!F$2,Production_Consumption!$AA$83:$AJ$83,0)))*'CA Population'!$L334*10^6</f>
        <v>49952.01829626158</v>
      </c>
      <c r="G334" s="143">
        <f>(INDEX(Production_Consumption!$AA$83:$AJ$99,MATCH('County Scaled Consumption '!$B334,Production_Consumption!$AA$83:$AA$99,0),MATCH('County Scaled Consumption '!G$2,Production_Consumption!$AA$83:$AJ$83,0)))*'CA Population'!$L334*10^6</f>
        <v>104339.69045736457</v>
      </c>
      <c r="H334" s="143">
        <f>(INDEX(Production_Consumption!$AA$83:$AJ$99,MATCH('County Scaled Consumption '!$B334,Production_Consumption!$AA$83:$AA$99,0),MATCH('County Scaled Consumption '!H$2,Production_Consumption!$AA$83:$AJ$83,0)))*'CA Population'!$L334*10^6</f>
        <v>2863.6891305498125</v>
      </c>
      <c r="I334" s="143">
        <f>(INDEX(Production_Consumption!$AA$83:$AJ$99,MATCH('County Scaled Consumption '!$B334,Production_Consumption!$AA$83:$AA$99,0),MATCH('County Scaled Consumption '!I$2,Production_Consumption!$AA$83:$AJ$83,0)))*'CA Population'!$L334*10^6</f>
        <v>58417.055509582795</v>
      </c>
      <c r="J334" s="143">
        <f>(INDEX(Production_Consumption!$AA$83:$AJ$99,MATCH('County Scaled Consumption '!$B334,Production_Consumption!$AA$83:$AA$99,0),MATCH('County Scaled Consumption '!J$2,Production_Consumption!$AA$83:$AJ$83,0)))*'CA Population'!$L334*10^6</f>
        <v>36094.236717807486</v>
      </c>
      <c r="K334" s="143">
        <f>(INDEX(Production_Consumption!$AA$83:$AJ$99,MATCH('County Scaled Consumption '!$B334,Production_Consumption!$AA$83:$AA$99,0),MATCH('County Scaled Consumption '!K$2,Production_Consumption!$AA$83:$AJ$83,0)))*'CA Population'!$L334*10^6</f>
        <v>534363.61436419236</v>
      </c>
      <c r="L334" s="131">
        <f t="shared" si="5"/>
        <v>0</v>
      </c>
    </row>
    <row r="335" spans="1:12" x14ac:dyDescent="0.2">
      <c r="A335" s="132" t="s">
        <v>342</v>
      </c>
      <c r="B335" s="129">
        <v>2015</v>
      </c>
      <c r="C335" s="143">
        <f>(INDEX(Production_Consumption!$AA$83:$AJ$99,MATCH('County Scaled Consumption '!$B335,Production_Consumption!$AA$83:$AA$99,0),MATCH('County Scaled Consumption '!C$2,Production_Consumption!$AA$83:$AJ$83,0)))*'CA Population'!$L335*10^6</f>
        <v>10594.75987141418</v>
      </c>
      <c r="D335" s="143">
        <f>(INDEX(Production_Consumption!$AA$83:$AJ$99,MATCH('County Scaled Consumption '!$B335,Production_Consumption!$AA$83:$AA$99,0),MATCH('County Scaled Consumption '!D$2,Production_Consumption!$AA$83:$AJ$83,0)))*'CA Population'!$L335*10^6</f>
        <v>41390.288974724179</v>
      </c>
      <c r="E335" s="143">
        <f>(INDEX(Production_Consumption!$AA$83:$AJ$99,MATCH('County Scaled Consumption '!$B335,Production_Consumption!$AA$83:$AA$99,0),MATCH('County Scaled Consumption '!E$2,Production_Consumption!$AA$83:$AJ$83,0)))*'CA Population'!$L335*10^6</f>
        <v>22782.68192224628</v>
      </c>
      <c r="F335" s="143">
        <f>(INDEX(Production_Consumption!$AA$83:$AJ$99,MATCH('County Scaled Consumption '!$B335,Production_Consumption!$AA$83:$AA$99,0),MATCH('County Scaled Consumption '!F$2,Production_Consumption!$AA$83:$AJ$83,0)))*'CA Population'!$L335*10^6</f>
        <v>13211.318323275376</v>
      </c>
      <c r="G335" s="143">
        <f>(INDEX(Production_Consumption!$AA$83:$AJ$99,MATCH('County Scaled Consumption '!$B335,Production_Consumption!$AA$83:$AA$99,0),MATCH('County Scaled Consumption '!G$2,Production_Consumption!$AA$83:$AJ$83,0)))*'CA Population'!$L335*10^6</f>
        <v>27595.779137665519</v>
      </c>
      <c r="H335" s="143">
        <f>(INDEX(Production_Consumption!$AA$83:$AJ$99,MATCH('County Scaled Consumption '!$B335,Production_Consumption!$AA$83:$AA$99,0),MATCH('County Scaled Consumption '!H$2,Production_Consumption!$AA$83:$AJ$83,0)))*'CA Population'!$L335*10^6</f>
        <v>757.38898993454097</v>
      </c>
      <c r="I335" s="143">
        <f>(INDEX(Production_Consumption!$AA$83:$AJ$99,MATCH('County Scaled Consumption '!$B335,Production_Consumption!$AA$83:$AA$99,0),MATCH('County Scaled Consumption '!I$2,Production_Consumption!$AA$83:$AJ$83,0)))*'CA Population'!$L335*10^6</f>
        <v>15450.152810007781</v>
      </c>
      <c r="J335" s="143">
        <f>(INDEX(Production_Consumption!$AA$83:$AJ$99,MATCH('County Scaled Consumption '!$B335,Production_Consumption!$AA$83:$AA$99,0),MATCH('County Scaled Consumption '!J$2,Production_Consumption!$AA$83:$AJ$83,0)))*'CA Population'!$L335*10^6</f>
        <v>9546.2098865842363</v>
      </c>
      <c r="K335" s="143">
        <f>(INDEX(Production_Consumption!$AA$83:$AJ$99,MATCH('County Scaled Consumption '!$B335,Production_Consumption!$AA$83:$AA$99,0),MATCH('County Scaled Consumption '!K$2,Production_Consumption!$AA$83:$AJ$83,0)))*'CA Population'!$L335*10^6</f>
        <v>141328.57991585214</v>
      </c>
      <c r="L335" s="131">
        <f t="shared" si="5"/>
        <v>0</v>
      </c>
    </row>
    <row r="336" spans="1:12" x14ac:dyDescent="0.2">
      <c r="A336" s="132" t="s">
        <v>343</v>
      </c>
      <c r="B336" s="129">
        <v>2015</v>
      </c>
      <c r="C336" s="143">
        <f>(INDEX(Production_Consumption!$AA$83:$AJ$99,MATCH('County Scaled Consumption '!$B336,Production_Consumption!$AA$83:$AA$99,0),MATCH('County Scaled Consumption '!C$2,Production_Consumption!$AA$83:$AJ$83,0)))*'CA Population'!$L336*10^6</f>
        <v>8866.2477131118885</v>
      </c>
      <c r="D336" s="143">
        <f>(INDEX(Production_Consumption!$AA$83:$AJ$99,MATCH('County Scaled Consumption '!$B336,Production_Consumption!$AA$83:$AA$99,0),MATCH('County Scaled Consumption '!D$2,Production_Consumption!$AA$83:$AJ$83,0)))*'CA Population'!$L336*10^6</f>
        <v>34637.552848869302</v>
      </c>
      <c r="E336" s="143">
        <f>(INDEX(Production_Consumption!$AA$83:$AJ$99,MATCH('County Scaled Consumption '!$B336,Production_Consumption!$AA$83:$AA$99,0),MATCH('County Scaled Consumption '!E$2,Production_Consumption!$AA$83:$AJ$83,0)))*'CA Population'!$L336*10^6</f>
        <v>19065.736641816802</v>
      </c>
      <c r="F336" s="143">
        <f>(INDEX(Production_Consumption!$AA$83:$AJ$99,MATCH('County Scaled Consumption '!$B336,Production_Consumption!$AA$83:$AA$99,0),MATCH('County Scaled Consumption '!F$2,Production_Consumption!$AA$83:$AJ$83,0)))*'CA Population'!$L336*10^6</f>
        <v>11055.920312736489</v>
      </c>
      <c r="G336" s="143">
        <f>(INDEX(Production_Consumption!$AA$83:$AJ$99,MATCH('County Scaled Consumption '!$B336,Production_Consumption!$AA$83:$AA$99,0),MATCH('County Scaled Consumption '!G$2,Production_Consumption!$AA$83:$AJ$83,0)))*'CA Population'!$L336*10^6</f>
        <v>23093.587456476173</v>
      </c>
      <c r="H336" s="143">
        <f>(INDEX(Production_Consumption!$AA$83:$AJ$99,MATCH('County Scaled Consumption '!$B336,Production_Consumption!$AA$83:$AA$99,0),MATCH('County Scaled Consumption '!H$2,Production_Consumption!$AA$83:$AJ$83,0)))*'CA Population'!$L336*10^6</f>
        <v>633.82261433424128</v>
      </c>
      <c r="I336" s="143">
        <f>(INDEX(Production_Consumption!$AA$83:$AJ$99,MATCH('County Scaled Consumption '!$B336,Production_Consumption!$AA$83:$AA$99,0),MATCH('County Scaled Consumption '!I$2,Production_Consumption!$AA$83:$AJ$83,0)))*'CA Population'!$L336*10^6</f>
        <v>12929.4937951884</v>
      </c>
      <c r="J336" s="143">
        <f>(INDEX(Production_Consumption!$AA$83:$AJ$99,MATCH('County Scaled Consumption '!$B336,Production_Consumption!$AA$83:$AA$99,0),MATCH('County Scaled Consumption '!J$2,Production_Consumption!$AA$83:$AJ$83,0)))*'CA Population'!$L336*10^6</f>
        <v>7988.7663904661968</v>
      </c>
      <c r="K336" s="143">
        <f>(INDEX(Production_Consumption!$AA$83:$AJ$99,MATCH('County Scaled Consumption '!$B336,Production_Consumption!$AA$83:$AA$99,0),MATCH('County Scaled Consumption '!K$2,Production_Consumption!$AA$83:$AJ$83,0)))*'CA Population'!$L336*10^6</f>
        <v>118271.12777299952</v>
      </c>
      <c r="L336" s="131">
        <f t="shared" si="5"/>
        <v>0</v>
      </c>
    </row>
    <row r="337" spans="1:12" x14ac:dyDescent="0.2">
      <c r="A337" s="132" t="s">
        <v>344</v>
      </c>
      <c r="B337" s="129">
        <v>2015</v>
      </c>
      <c r="C337" s="143">
        <f>(INDEX(Production_Consumption!$AA$83:$AJ$99,MATCH('County Scaled Consumption '!$B337,Production_Consumption!$AA$83:$AA$99,0),MATCH('County Scaled Consumption '!C$2,Production_Consumption!$AA$83:$AJ$83,0)))*'CA Population'!$L337*10^6</f>
        <v>3397.1208853784096</v>
      </c>
      <c r="D337" s="143">
        <f>(INDEX(Production_Consumption!$AA$83:$AJ$99,MATCH('County Scaled Consumption '!$B337,Production_Consumption!$AA$83:$AA$99,0),MATCH('County Scaled Consumption '!D$2,Production_Consumption!$AA$83:$AJ$83,0)))*'CA Population'!$L337*10^6</f>
        <v>13271.448983686591</v>
      </c>
      <c r="E337" s="143">
        <f>(INDEX(Production_Consumption!$AA$83:$AJ$99,MATCH('County Scaled Consumption '!$B337,Production_Consumption!$AA$83:$AA$99,0),MATCH('County Scaled Consumption '!E$2,Production_Consumption!$AA$83:$AJ$83,0)))*'CA Population'!$L337*10^6</f>
        <v>7305.0758603616423</v>
      </c>
      <c r="F337" s="143">
        <f>(INDEX(Production_Consumption!$AA$83:$AJ$99,MATCH('County Scaled Consumption '!$B337,Production_Consumption!$AA$83:$AA$99,0),MATCH('County Scaled Consumption '!F$2,Production_Consumption!$AA$83:$AJ$83,0)))*'CA Population'!$L337*10^6</f>
        <v>4236.098405634807</v>
      </c>
      <c r="G337" s="143">
        <f>(INDEX(Production_Consumption!$AA$83:$AJ$99,MATCH('County Scaled Consumption '!$B337,Production_Consumption!$AA$83:$AA$99,0),MATCH('County Scaled Consumption '!G$2,Production_Consumption!$AA$83:$AJ$83,0)))*'CA Population'!$L337*10^6</f>
        <v>8848.3551108874854</v>
      </c>
      <c r="H337" s="143">
        <f>(INDEX(Production_Consumption!$AA$83:$AJ$99,MATCH('County Scaled Consumption '!$B337,Production_Consumption!$AA$83:$AA$99,0),MATCH('County Scaled Consumption '!H$2,Production_Consumption!$AA$83:$AJ$83,0)))*'CA Population'!$L337*10^6</f>
        <v>242.85042674769485</v>
      </c>
      <c r="I337" s="143">
        <f>(INDEX(Production_Consumption!$AA$83:$AJ$99,MATCH('County Scaled Consumption '!$B337,Production_Consumption!$AA$83:$AA$99,0),MATCH('County Scaled Consumption '!I$2,Production_Consumption!$AA$83:$AJ$83,0)))*'CA Population'!$L337*10^6</f>
        <v>4953.9619047693959</v>
      </c>
      <c r="J337" s="143">
        <f>(INDEX(Production_Consumption!$AA$83:$AJ$99,MATCH('County Scaled Consumption '!$B337,Production_Consumption!$AA$83:$AA$99,0),MATCH('County Scaled Consumption '!J$2,Production_Consumption!$AA$83:$AJ$83,0)))*'CA Population'!$L337*10^6</f>
        <v>3060.9121278359357</v>
      </c>
      <c r="K337" s="143">
        <f>(INDEX(Production_Consumption!$AA$83:$AJ$99,MATCH('County Scaled Consumption '!$B337,Production_Consumption!$AA$83:$AA$99,0),MATCH('County Scaled Consumption '!K$2,Production_Consumption!$AA$83:$AJ$83,0)))*'CA Population'!$L337*10^6</f>
        <v>45315.823705301969</v>
      </c>
      <c r="L337" s="131">
        <f t="shared" si="5"/>
        <v>0</v>
      </c>
    </row>
    <row r="338" spans="1:12" x14ac:dyDescent="0.2">
      <c r="A338" s="132" t="s">
        <v>345</v>
      </c>
      <c r="B338" s="129">
        <v>2015</v>
      </c>
      <c r="C338" s="143">
        <f>(INDEX(Production_Consumption!$AA$83:$AJ$99,MATCH('County Scaled Consumption '!$B338,Production_Consumption!$AA$83:$AA$99,0),MATCH('County Scaled Consumption '!C$2,Production_Consumption!$AA$83:$AJ$83,0)))*'CA Population'!$L338*10^6</f>
        <v>9345.2911089540103</v>
      </c>
      <c r="D338" s="143">
        <f>(INDEX(Production_Consumption!$AA$83:$AJ$99,MATCH('County Scaled Consumption '!$B338,Production_Consumption!$AA$83:$AA$99,0),MATCH('County Scaled Consumption '!D$2,Production_Consumption!$AA$83:$AJ$83,0)))*'CA Population'!$L338*10^6</f>
        <v>36509.019953927163</v>
      </c>
      <c r="E338" s="143">
        <f>(INDEX(Production_Consumption!$AA$83:$AJ$99,MATCH('County Scaled Consumption '!$B338,Production_Consumption!$AA$83:$AA$99,0),MATCH('County Scaled Consumption '!E$2,Production_Consumption!$AA$83:$AJ$83,0)))*'CA Population'!$L338*10^6</f>
        <v>20095.858461176831</v>
      </c>
      <c r="F338" s="143">
        <f>(INDEX(Production_Consumption!$AA$83:$AJ$99,MATCH('County Scaled Consumption '!$B338,Production_Consumption!$AA$83:$AA$99,0),MATCH('County Scaled Consumption '!F$2,Production_Consumption!$AA$83:$AJ$83,0)))*'CA Population'!$L338*10^6</f>
        <v>11653.271727015248</v>
      </c>
      <c r="G338" s="143">
        <f>(INDEX(Production_Consumption!$AA$83:$AJ$99,MATCH('County Scaled Consumption '!$B338,Production_Consumption!$AA$83:$AA$99,0),MATCH('County Scaled Consumption '!G$2,Production_Consumption!$AA$83:$AJ$83,0)))*'CA Population'!$L338*10^6</f>
        <v>24341.334069845328</v>
      </c>
      <c r="H338" s="143">
        <f>(INDEX(Production_Consumption!$AA$83:$AJ$99,MATCH('County Scaled Consumption '!$B338,Production_Consumption!$AA$83:$AA$99,0),MATCH('County Scaled Consumption '!H$2,Production_Consumption!$AA$83:$AJ$83,0)))*'CA Population'!$L338*10^6</f>
        <v>668.06805246735189</v>
      </c>
      <c r="I338" s="143">
        <f>(INDEX(Production_Consumption!$AA$83:$AJ$99,MATCH('County Scaled Consumption '!$B338,Production_Consumption!$AA$83:$AA$99,0),MATCH('County Scaled Consumption '!I$2,Production_Consumption!$AA$83:$AJ$83,0)))*'CA Population'!$L338*10^6</f>
        <v>13628.07439146556</v>
      </c>
      <c r="J338" s="143">
        <f>(INDEX(Production_Consumption!$AA$83:$AJ$99,MATCH('County Scaled Consumption '!$B338,Production_Consumption!$AA$83:$AA$99,0),MATCH('County Scaled Consumption '!J$2,Production_Consumption!$AA$83:$AJ$83,0)))*'CA Population'!$L338*10^6</f>
        <v>8420.3994672884055</v>
      </c>
      <c r="K338" s="143">
        <f>(INDEX(Production_Consumption!$AA$83:$AJ$99,MATCH('County Scaled Consumption '!$B338,Production_Consumption!$AA$83:$AA$99,0),MATCH('County Scaled Consumption '!K$2,Production_Consumption!$AA$83:$AJ$83,0)))*'CA Population'!$L338*10^6</f>
        <v>124661.31723213992</v>
      </c>
      <c r="L338" s="131">
        <f t="shared" si="5"/>
        <v>0</v>
      </c>
    </row>
    <row r="339" spans="1:12" x14ac:dyDescent="0.2">
      <c r="A339" s="132" t="s">
        <v>346</v>
      </c>
      <c r="B339" s="129">
        <v>2015</v>
      </c>
      <c r="C339" s="143">
        <f>(INDEX(Production_Consumption!$AA$83:$AJ$99,MATCH('County Scaled Consumption '!$B339,Production_Consumption!$AA$83:$AA$99,0),MATCH('County Scaled Consumption '!C$2,Production_Consumption!$AA$83:$AJ$83,0)))*'CA Population'!$L339*10^6</f>
        <v>5422.5489037403249</v>
      </c>
      <c r="D339" s="143">
        <f>(INDEX(Production_Consumption!$AA$83:$AJ$99,MATCH('County Scaled Consumption '!$B339,Production_Consumption!$AA$83:$AA$99,0),MATCH('County Scaled Consumption '!D$2,Production_Consumption!$AA$83:$AJ$83,0)))*'CA Population'!$L339*10^6</f>
        <v>21184.13902998895</v>
      </c>
      <c r="E339" s="143">
        <f>(INDEX(Production_Consumption!$AA$83:$AJ$99,MATCH('County Scaled Consumption '!$B339,Production_Consumption!$AA$83:$AA$99,0),MATCH('County Scaled Consumption '!E$2,Production_Consumption!$AA$83:$AJ$83,0)))*'CA Population'!$L339*10^6</f>
        <v>11660.500887336393</v>
      </c>
      <c r="F339" s="143">
        <f>(INDEX(Production_Consumption!$AA$83:$AJ$99,MATCH('County Scaled Consumption '!$B339,Production_Consumption!$AA$83:$AA$99,0),MATCH('County Scaled Consumption '!F$2,Production_Consumption!$AA$83:$AJ$83,0)))*'CA Population'!$L339*10^6</f>
        <v>6761.7407624434463</v>
      </c>
      <c r="G339" s="143">
        <f>(INDEX(Production_Consumption!$AA$83:$AJ$99,MATCH('County Scaled Consumption '!$B339,Production_Consumption!$AA$83:$AA$99,0),MATCH('County Scaled Consumption '!G$2,Production_Consumption!$AA$83:$AJ$83,0)))*'CA Population'!$L339*10^6</f>
        <v>14123.912549877783</v>
      </c>
      <c r="H339" s="143">
        <f>(INDEX(Production_Consumption!$AA$83:$AJ$99,MATCH('County Scaled Consumption '!$B339,Production_Consumption!$AA$83:$AA$99,0),MATCH('County Scaled Consumption '!H$2,Production_Consumption!$AA$83:$AJ$83,0)))*'CA Population'!$L339*10^6</f>
        <v>387.64246541874104</v>
      </c>
      <c r="I339" s="143">
        <f>(INDEX(Production_Consumption!$AA$83:$AJ$99,MATCH('County Scaled Consumption '!$B339,Production_Consumption!$AA$83:$AA$99,0),MATCH('County Scaled Consumption '!I$2,Production_Consumption!$AA$83:$AJ$83,0)))*'CA Population'!$L339*10^6</f>
        <v>7907.6081194226626</v>
      </c>
      <c r="J339" s="143">
        <f>(INDEX(Production_Consumption!$AA$83:$AJ$99,MATCH('County Scaled Consumption '!$B339,Production_Consumption!$AA$83:$AA$99,0),MATCH('County Scaled Consumption '!J$2,Production_Consumption!$AA$83:$AJ$83,0)))*'CA Population'!$L339*10^6</f>
        <v>4885.8860968656272</v>
      </c>
      <c r="K339" s="143">
        <f>(INDEX(Production_Consumption!$AA$83:$AJ$99,MATCH('County Scaled Consumption '!$B339,Production_Consumption!$AA$83:$AA$99,0),MATCH('County Scaled Consumption '!K$2,Production_Consumption!$AA$83:$AJ$83,0)))*'CA Population'!$L339*10^6</f>
        <v>72333.978815093942</v>
      </c>
      <c r="L339" s="131">
        <f t="shared" si="5"/>
        <v>0</v>
      </c>
    </row>
    <row r="340" spans="1:12" x14ac:dyDescent="0.2">
      <c r="A340" s="132" t="s">
        <v>347</v>
      </c>
      <c r="B340" s="129">
        <v>2015</v>
      </c>
      <c r="C340" s="143">
        <f>(INDEX(Production_Consumption!$AA$83:$AJ$99,MATCH('County Scaled Consumption '!$B340,Production_Consumption!$AA$83:$AA$99,0),MATCH('County Scaled Consumption '!C$2,Production_Consumption!$AA$83:$AJ$83,0)))*'CA Population'!$L340*10^6</f>
        <v>23456.696512115759</v>
      </c>
      <c r="D340" s="143">
        <f>(INDEX(Production_Consumption!$AA$83:$AJ$99,MATCH('County Scaled Consumption '!$B340,Production_Consumption!$AA$83:$AA$99,0),MATCH('County Scaled Consumption '!D$2,Production_Consumption!$AA$83:$AJ$83,0)))*'CA Population'!$L340*10^6</f>
        <v>91637.701921722139</v>
      </c>
      <c r="E340" s="143">
        <f>(INDEX(Production_Consumption!$AA$83:$AJ$99,MATCH('County Scaled Consumption '!$B340,Production_Consumption!$AA$83:$AA$99,0),MATCH('County Scaled Consumption '!E$2,Production_Consumption!$AA$83:$AJ$83,0)))*'CA Population'!$L340*10^6</f>
        <v>50440.638775031039</v>
      </c>
      <c r="F340" s="143">
        <f>(INDEX(Production_Consumption!$AA$83:$AJ$99,MATCH('County Scaled Consumption '!$B340,Production_Consumption!$AA$83:$AA$99,0),MATCH('County Scaled Consumption '!F$2,Production_Consumption!$AA$83:$AJ$83,0)))*'CA Population'!$L340*10^6</f>
        <v>29249.731772605064</v>
      </c>
      <c r="G340" s="143">
        <f>(INDEX(Production_Consumption!$AA$83:$AJ$99,MATCH('County Scaled Consumption '!$B340,Production_Consumption!$AA$83:$AA$99,0),MATCH('County Scaled Consumption '!G$2,Production_Consumption!$AA$83:$AJ$83,0)))*'CA Population'!$L340*10^6</f>
        <v>61096.789743587979</v>
      </c>
      <c r="H340" s="143">
        <f>(INDEX(Production_Consumption!$AA$83:$AJ$99,MATCH('County Scaled Consumption '!$B340,Production_Consumption!$AA$83:$AA$99,0),MATCH('County Scaled Consumption '!H$2,Production_Consumption!$AA$83:$AJ$83,0)))*'CA Population'!$L340*10^6</f>
        <v>1676.8519432372043</v>
      </c>
      <c r="I340" s="143">
        <f>(INDEX(Production_Consumption!$AA$83:$AJ$99,MATCH('County Scaled Consumption '!$B340,Production_Consumption!$AA$83:$AA$99,0),MATCH('County Scaled Consumption '!I$2,Production_Consumption!$AA$83:$AJ$83,0)))*'CA Population'!$L340*10^6</f>
        <v>34206.489805208847</v>
      </c>
      <c r="J340" s="143">
        <f>(INDEX(Production_Consumption!$AA$83:$AJ$99,MATCH('County Scaled Consumption '!$B340,Production_Consumption!$AA$83:$AA$99,0),MATCH('County Scaled Consumption '!J$2,Production_Consumption!$AA$83:$AJ$83,0)))*'CA Population'!$L340*10^6</f>
        <v>21135.216924994489</v>
      </c>
      <c r="K340" s="143">
        <f>(INDEX(Production_Consumption!$AA$83:$AJ$99,MATCH('County Scaled Consumption '!$B340,Production_Consumption!$AA$83:$AA$99,0),MATCH('County Scaled Consumption '!K$2,Production_Consumption!$AA$83:$AJ$83,0)))*'CA Population'!$L340*10^6</f>
        <v>312900.11739850254</v>
      </c>
      <c r="L340" s="131">
        <f t="shared" si="5"/>
        <v>0</v>
      </c>
    </row>
    <row r="341" spans="1:12" x14ac:dyDescent="0.2">
      <c r="A341" s="132" t="s">
        <v>348</v>
      </c>
      <c r="B341" s="129">
        <v>2015</v>
      </c>
      <c r="C341" s="143">
        <f>(INDEX(Production_Consumption!$AA$83:$AJ$99,MATCH('County Scaled Consumption '!$B341,Production_Consumption!$AA$83:$AA$99,0),MATCH('County Scaled Consumption '!C$2,Production_Consumption!$AA$83:$AJ$83,0)))*'CA Population'!$L341*10^6</f>
        <v>3359.2793897000938</v>
      </c>
      <c r="D341" s="143">
        <f>(INDEX(Production_Consumption!$AA$83:$AJ$99,MATCH('County Scaled Consumption '!$B341,Production_Consumption!$AA$83:$AA$99,0),MATCH('County Scaled Consumption '!D$2,Production_Consumption!$AA$83:$AJ$83,0)))*'CA Population'!$L341*10^6</f>
        <v>13123.614539077118</v>
      </c>
      <c r="E341" s="143">
        <f>(INDEX(Production_Consumption!$AA$83:$AJ$99,MATCH('County Scaled Consumption '!$B341,Production_Consumption!$AA$83:$AA$99,0),MATCH('County Scaled Consumption '!E$2,Production_Consumption!$AA$83:$AJ$83,0)))*'CA Population'!$L341*10^6</f>
        <v>7223.7025428004554</v>
      </c>
      <c r="F341" s="143">
        <f>(INDEX(Production_Consumption!$AA$83:$AJ$99,MATCH('County Scaled Consumption '!$B341,Production_Consumption!$AA$83:$AA$99,0),MATCH('County Scaled Consumption '!F$2,Production_Consumption!$AA$83:$AJ$83,0)))*'CA Population'!$L341*10^6</f>
        <v>4188.9113007544074</v>
      </c>
      <c r="G341" s="143">
        <f>(INDEX(Production_Consumption!$AA$83:$AJ$99,MATCH('County Scaled Consumption '!$B341,Production_Consumption!$AA$83:$AA$99,0),MATCH('County Scaled Consumption '!G$2,Production_Consumption!$AA$83:$AJ$83,0)))*'CA Population'!$L341*10^6</f>
        <v>8749.7907668483876</v>
      </c>
      <c r="H341" s="143">
        <f>(INDEX(Production_Consumption!$AA$83:$AJ$99,MATCH('County Scaled Consumption '!$B341,Production_Consumption!$AA$83:$AA$99,0),MATCH('County Scaled Consumption '!H$2,Production_Consumption!$AA$83:$AJ$83,0)))*'CA Population'!$L341*10^6</f>
        <v>240.14524677785514</v>
      </c>
      <c r="I341" s="143">
        <f>(INDEX(Production_Consumption!$AA$83:$AJ$99,MATCH('County Scaled Consumption '!$B341,Production_Consumption!$AA$83:$AA$99,0),MATCH('County Scaled Consumption '!I$2,Production_Consumption!$AA$83:$AJ$83,0)))*'CA Population'!$L341*10^6</f>
        <v>4898.7783142128319</v>
      </c>
      <c r="J341" s="143">
        <f>(INDEX(Production_Consumption!$AA$83:$AJ$99,MATCH('County Scaled Consumption '!$B341,Production_Consumption!$AA$83:$AA$99,0),MATCH('County Scaled Consumption '!J$2,Production_Consumption!$AA$83:$AJ$83,0)))*'CA Population'!$L341*10^6</f>
        <v>3026.8157571251527</v>
      </c>
      <c r="K341" s="143">
        <f>(INDEX(Production_Consumption!$AA$83:$AJ$99,MATCH('County Scaled Consumption '!$B341,Production_Consumption!$AA$83:$AA$99,0),MATCH('County Scaled Consumption '!K$2,Production_Consumption!$AA$83:$AJ$83,0)))*'CA Population'!$L341*10^6</f>
        <v>44811.037857296309</v>
      </c>
      <c r="L341" s="131">
        <f t="shared" si="5"/>
        <v>0</v>
      </c>
    </row>
    <row r="342" spans="1:12" x14ac:dyDescent="0.2">
      <c r="A342" s="132" t="s">
        <v>349</v>
      </c>
      <c r="B342" s="129">
        <v>2015</v>
      </c>
      <c r="C342" s="143">
        <f>(INDEX(Production_Consumption!$AA$83:$AJ$99,MATCH('County Scaled Consumption '!$B342,Production_Consumption!$AA$83:$AA$99,0),MATCH('County Scaled Consumption '!C$2,Production_Consumption!$AA$83:$AJ$83,0)))*'CA Population'!$L342*10^6</f>
        <v>2197.7638830836859</v>
      </c>
      <c r="D342" s="143">
        <f>(INDEX(Production_Consumption!$AA$83:$AJ$99,MATCH('County Scaled Consumption '!$B342,Production_Consumption!$AA$83:$AA$99,0),MATCH('County Scaled Consumption '!D$2,Production_Consumption!$AA$83:$AJ$83,0)))*'CA Population'!$L342*10^6</f>
        <v>8585.9503493309076</v>
      </c>
      <c r="E342" s="143">
        <f>(INDEX(Production_Consumption!$AA$83:$AJ$99,MATCH('County Scaled Consumption '!$B342,Production_Consumption!$AA$83:$AA$99,0),MATCH('County Scaled Consumption '!E$2,Production_Consumption!$AA$83:$AJ$83,0)))*'CA Population'!$L342*10^6</f>
        <v>4726.0113580859324</v>
      </c>
      <c r="F342" s="143">
        <f>(INDEX(Production_Consumption!$AA$83:$AJ$99,MATCH('County Scaled Consumption '!$B342,Production_Consumption!$AA$83:$AA$99,0),MATCH('County Scaled Consumption '!F$2,Production_Consumption!$AA$83:$AJ$83,0)))*'CA Population'!$L342*10^6</f>
        <v>2740.5395319205772</v>
      </c>
      <c r="G342" s="143">
        <f>(INDEX(Production_Consumption!$AA$83:$AJ$99,MATCH('County Scaled Consumption '!$B342,Production_Consumption!$AA$83:$AA$99,0),MATCH('County Scaled Consumption '!G$2,Production_Consumption!$AA$83:$AJ$83,0)))*'CA Population'!$L342*10^6</f>
        <v>5724.4342911398271</v>
      </c>
      <c r="H342" s="143">
        <f>(INDEX(Production_Consumption!$AA$83:$AJ$99,MATCH('County Scaled Consumption '!$B342,Production_Consumption!$AA$83:$AA$99,0),MATCH('County Scaled Consumption '!H$2,Production_Consumption!$AA$83:$AJ$83,0)))*'CA Population'!$L342*10^6</f>
        <v>157.11183525872423</v>
      </c>
      <c r="I342" s="143">
        <f>(INDEX(Production_Consumption!$AA$83:$AJ$99,MATCH('County Scaled Consumption '!$B342,Production_Consumption!$AA$83:$AA$99,0),MATCH('County Scaled Consumption '!I$2,Production_Consumption!$AA$83:$AJ$83,0)))*'CA Population'!$L342*10^6</f>
        <v>3204.9605886373542</v>
      </c>
      <c r="J342" s="143">
        <f>(INDEX(Production_Consumption!$AA$83:$AJ$99,MATCH('County Scaled Consumption '!$B342,Production_Consumption!$AA$83:$AA$99,0),MATCH('County Scaled Consumption '!J$2,Production_Consumption!$AA$83:$AJ$83,0)))*'CA Population'!$L342*10^6</f>
        <v>1980.2539711804534</v>
      </c>
      <c r="K342" s="143">
        <f>(INDEX(Production_Consumption!$AA$83:$AJ$99,MATCH('County Scaled Consumption '!$B342,Production_Consumption!$AA$83:$AA$99,0),MATCH('County Scaled Consumption '!K$2,Production_Consumption!$AA$83:$AJ$83,0)))*'CA Population'!$L342*10^6</f>
        <v>29317.025808637467</v>
      </c>
      <c r="L342" s="131">
        <f t="shared" si="5"/>
        <v>0</v>
      </c>
    </row>
    <row r="343" spans="1:12" x14ac:dyDescent="0.2">
      <c r="A343" s="132" t="s">
        <v>350</v>
      </c>
      <c r="B343" s="129">
        <v>2015</v>
      </c>
      <c r="C343" s="143">
        <f>(INDEX(Production_Consumption!$AA$83:$AJ$99,MATCH('County Scaled Consumption '!$B343,Production_Consumption!$AA$83:$AA$99,0),MATCH('County Scaled Consumption '!C$2,Production_Consumption!$AA$83:$AJ$83,0)))*'CA Population'!$L343*10^6</f>
        <v>39.228035565361218</v>
      </c>
      <c r="D343" s="143">
        <f>(INDEX(Production_Consumption!$AA$83:$AJ$99,MATCH('County Scaled Consumption '!$B343,Production_Consumption!$AA$83:$AA$99,0),MATCH('County Scaled Consumption '!D$2,Production_Consumption!$AA$83:$AJ$83,0)))*'CA Population'!$L343*10^6</f>
        <v>153.25120603647369</v>
      </c>
      <c r="E343" s="143">
        <f>(INDEX(Production_Consumption!$AA$83:$AJ$99,MATCH('County Scaled Consumption '!$B343,Production_Consumption!$AA$83:$AA$99,0),MATCH('County Scaled Consumption '!E$2,Production_Consumption!$AA$83:$AJ$83,0)))*'CA Population'!$L343*10^6</f>
        <v>84.354895020465989</v>
      </c>
      <c r="F343" s="143">
        <f>(INDEX(Production_Consumption!$AA$83:$AJ$99,MATCH('County Scaled Consumption '!$B343,Production_Consumption!$AA$83:$AA$99,0),MATCH('County Scaled Consumption '!F$2,Production_Consumption!$AA$83:$AJ$83,0)))*'CA Population'!$L343*10^6</f>
        <v>48.916074676601283</v>
      </c>
      <c r="G343" s="143">
        <f>(INDEX(Production_Consumption!$AA$83:$AJ$99,MATCH('County Scaled Consumption '!$B343,Production_Consumption!$AA$83:$AA$99,0),MATCH('County Scaled Consumption '!G$2,Production_Consumption!$AA$83:$AJ$83,0)))*'CA Population'!$L343*10^6</f>
        <v>102.17581319487714</v>
      </c>
      <c r="H343" s="143">
        <f>(INDEX(Production_Consumption!$AA$83:$AJ$99,MATCH('County Scaled Consumption '!$B343,Production_Consumption!$AA$83:$AA$99,0),MATCH('County Scaled Consumption '!H$2,Production_Consumption!$AA$83:$AJ$83,0)))*'CA Population'!$L343*10^6</f>
        <v>2.8042997287865274</v>
      </c>
      <c r="I343" s="143">
        <f>(INDEX(Production_Consumption!$AA$83:$AJ$99,MATCH('County Scaled Consumption '!$B343,Production_Consumption!$AA$83:$AA$99,0),MATCH('County Scaled Consumption '!I$2,Production_Consumption!$AA$83:$AJ$83,0)))*'CA Population'!$L343*10^6</f>
        <v>57.205557396021632</v>
      </c>
      <c r="J343" s="143">
        <f>(INDEX(Production_Consumption!$AA$83:$AJ$99,MATCH('County Scaled Consumption '!$B343,Production_Consumption!$AA$83:$AA$99,0),MATCH('County Scaled Consumption '!J$2,Production_Consumption!$AA$83:$AJ$83,0)))*'CA Population'!$L343*10^6</f>
        <v>35.345686498824257</v>
      </c>
      <c r="K343" s="143">
        <f>(INDEX(Production_Consumption!$AA$83:$AJ$99,MATCH('County Scaled Consumption '!$B343,Production_Consumption!$AA$83:$AA$99,0),MATCH('County Scaled Consumption '!K$2,Production_Consumption!$AA$83:$AJ$83,0)))*'CA Population'!$L343*10^6</f>
        <v>523.28156811741189</v>
      </c>
      <c r="L343" s="131">
        <f t="shared" si="5"/>
        <v>0</v>
      </c>
    </row>
    <row r="344" spans="1:12" x14ac:dyDescent="0.2">
      <c r="A344" s="132" t="s">
        <v>351</v>
      </c>
      <c r="B344" s="129">
        <v>2015</v>
      </c>
      <c r="C344" s="143">
        <f>(INDEX(Production_Consumption!$AA$83:$AJ$99,MATCH('County Scaled Consumption '!$B344,Production_Consumption!$AA$83:$AA$99,0),MATCH('County Scaled Consumption '!C$2,Production_Consumption!$AA$83:$AJ$83,0)))*'CA Population'!$L344*10^6</f>
        <v>548.73849812903313</v>
      </c>
      <c r="D344" s="143">
        <f>(INDEX(Production_Consumption!$AA$83:$AJ$99,MATCH('County Scaled Consumption '!$B344,Production_Consumption!$AA$83:$AA$99,0),MATCH('County Scaled Consumption '!D$2,Production_Consumption!$AA$83:$AJ$83,0)))*'CA Population'!$L344*10^6</f>
        <v>2143.7432546628525</v>
      </c>
      <c r="E344" s="143">
        <f>(INDEX(Production_Consumption!$AA$83:$AJ$99,MATCH('County Scaled Consumption '!$B344,Production_Consumption!$AA$83:$AA$99,0),MATCH('County Scaled Consumption '!E$2,Production_Consumption!$AA$83:$AJ$83,0)))*'CA Population'!$L344*10^6</f>
        <v>1179.9922615609194</v>
      </c>
      <c r="F344" s="143">
        <f>(INDEX(Production_Consumption!$AA$83:$AJ$99,MATCH('County Scaled Consumption '!$B344,Production_Consumption!$AA$83:$AA$99,0),MATCH('County Scaled Consumption '!F$2,Production_Consumption!$AA$83:$AJ$83,0)))*'CA Population'!$L344*10^6</f>
        <v>684.25892261879449</v>
      </c>
      <c r="G344" s="143">
        <f>(INDEX(Production_Consumption!$AA$83:$AJ$99,MATCH('County Scaled Consumption '!$B344,Production_Consumption!$AA$83:$AA$99,0),MATCH('County Scaled Consumption '!G$2,Production_Consumption!$AA$83:$AJ$83,0)))*'CA Population'!$L344*10^6</f>
        <v>1429.2788682790431</v>
      </c>
      <c r="H344" s="143">
        <f>(INDEX(Production_Consumption!$AA$83:$AJ$99,MATCH('County Scaled Consumption '!$B344,Production_Consumption!$AA$83:$AA$99,0),MATCH('County Scaled Consumption '!H$2,Production_Consumption!$AA$83:$AJ$83,0)))*'CA Population'!$L344*10^6</f>
        <v>39.227741060701376</v>
      </c>
      <c r="I344" s="143">
        <f>(INDEX(Production_Consumption!$AA$83:$AJ$99,MATCH('County Scaled Consumption '!$B344,Production_Consumption!$AA$83:$AA$99,0),MATCH('County Scaled Consumption '!I$2,Production_Consumption!$AA$83:$AJ$83,0)))*'CA Population'!$L344*10^6</f>
        <v>800.2157436057189</v>
      </c>
      <c r="J344" s="143">
        <f>(INDEX(Production_Consumption!$AA$83:$AJ$99,MATCH('County Scaled Consumption '!$B344,Production_Consumption!$AA$83:$AA$99,0),MATCH('County Scaled Consumption '!J$2,Production_Consumption!$AA$83:$AJ$83,0)))*'CA Population'!$L344*10^6</f>
        <v>494.43054298214571</v>
      </c>
      <c r="K344" s="143">
        <f>(INDEX(Production_Consumption!$AA$83:$AJ$99,MATCH('County Scaled Consumption '!$B344,Production_Consumption!$AA$83:$AA$99,0),MATCH('County Scaled Consumption '!K$2,Production_Consumption!$AA$83:$AJ$83,0)))*'CA Population'!$L344*10^6</f>
        <v>7319.8858328992092</v>
      </c>
      <c r="L344" s="131">
        <f t="shared" si="5"/>
        <v>0</v>
      </c>
    </row>
    <row r="345" spans="1:12" x14ac:dyDescent="0.2">
      <c r="A345" s="132" t="s">
        <v>352</v>
      </c>
      <c r="B345" s="129">
        <v>2015</v>
      </c>
      <c r="C345" s="143">
        <f>(INDEX(Production_Consumption!$AA$83:$AJ$99,MATCH('County Scaled Consumption '!$B345,Production_Consumption!$AA$83:$AA$99,0),MATCH('County Scaled Consumption '!C$2,Production_Consumption!$AA$83:$AJ$83,0)))*'CA Population'!$L345*10^6</f>
        <v>5237.5501260678348</v>
      </c>
      <c r="D345" s="143">
        <f>(INDEX(Production_Consumption!$AA$83:$AJ$99,MATCH('County Scaled Consumption '!$B345,Production_Consumption!$AA$83:$AA$99,0),MATCH('County Scaled Consumption '!D$2,Production_Consumption!$AA$83:$AJ$83,0)))*'CA Population'!$L345*10^6</f>
        <v>20461.408834989914</v>
      </c>
      <c r="E345" s="143">
        <f>(INDEX(Production_Consumption!$AA$83:$AJ$99,MATCH('County Scaled Consumption '!$B345,Production_Consumption!$AA$83:$AA$99,0),MATCH('County Scaled Consumption '!E$2,Production_Consumption!$AA$83:$AJ$83,0)))*'CA Population'!$L345*10^6</f>
        <v>11262.684574473222</v>
      </c>
      <c r="F345" s="143">
        <f>(INDEX(Production_Consumption!$AA$83:$AJ$99,MATCH('County Scaled Consumption '!$B345,Production_Consumption!$AA$83:$AA$99,0),MATCH('County Scaled Consumption '!F$2,Production_Consumption!$AA$83:$AJ$83,0)))*'CA Population'!$L345*10^6</f>
        <v>6531.0533499007133</v>
      </c>
      <c r="G345" s="143">
        <f>(INDEX(Production_Consumption!$AA$83:$AJ$99,MATCH('County Scaled Consumption '!$B345,Production_Consumption!$AA$83:$AA$99,0),MATCH('County Scaled Consumption '!G$2,Production_Consumption!$AA$83:$AJ$83,0)))*'CA Population'!$L345*10^6</f>
        <v>13642.053076765753</v>
      </c>
      <c r="H345" s="143">
        <f>(INDEX(Production_Consumption!$AA$83:$AJ$99,MATCH('County Scaled Consumption '!$B345,Production_Consumption!$AA$83:$AA$99,0),MATCH('County Scaled Consumption '!H$2,Production_Consumption!$AA$83:$AJ$83,0)))*'CA Population'!$L345*10^6</f>
        <v>374.41743351041617</v>
      </c>
      <c r="I345" s="143">
        <f>(INDEX(Production_Consumption!$AA$83:$AJ$99,MATCH('County Scaled Consumption '!$B345,Production_Consumption!$AA$83:$AA$99,0),MATCH('County Scaled Consumption '!I$2,Production_Consumption!$AA$83:$AJ$83,0)))*'CA Population'!$L345*10^6</f>
        <v>7637.8276412056421</v>
      </c>
      <c r="J345" s="143">
        <f>(INDEX(Production_Consumption!$AA$83:$AJ$99,MATCH('County Scaled Consumption '!$B345,Production_Consumption!$AA$83:$AA$99,0),MATCH('County Scaled Consumption '!J$2,Production_Consumption!$AA$83:$AJ$83,0)))*'CA Population'!$L345*10^6</f>
        <v>4719.1964142435518</v>
      </c>
      <c r="K345" s="143">
        <f>(INDEX(Production_Consumption!$AA$83:$AJ$99,MATCH('County Scaled Consumption '!$B345,Production_Consumption!$AA$83:$AA$99,0),MATCH('County Scaled Consumption '!K$2,Production_Consumption!$AA$83:$AJ$83,0)))*'CA Population'!$L345*10^6</f>
        <v>69866.19145115705</v>
      </c>
      <c r="L345" s="131">
        <f t="shared" si="5"/>
        <v>0</v>
      </c>
    </row>
    <row r="346" spans="1:12" x14ac:dyDescent="0.2">
      <c r="A346" s="132" t="s">
        <v>353</v>
      </c>
      <c r="B346" s="129">
        <v>2015</v>
      </c>
      <c r="C346" s="143">
        <f>(INDEX(Production_Consumption!$AA$83:$AJ$99,MATCH('County Scaled Consumption '!$B346,Production_Consumption!$AA$83:$AA$99,0),MATCH('County Scaled Consumption '!C$2,Production_Consumption!$AA$83:$AJ$83,0)))*'CA Population'!$L346*10^6</f>
        <v>6142.5312130517732</v>
      </c>
      <c r="D346" s="143">
        <f>(INDEX(Production_Consumption!$AA$83:$AJ$99,MATCH('County Scaled Consumption '!$B346,Production_Consumption!$AA$83:$AA$99,0),MATCH('County Scaled Consumption '!D$2,Production_Consumption!$AA$83:$AJ$83,0)))*'CA Population'!$L346*10^6</f>
        <v>23996.876288857318</v>
      </c>
      <c r="E346" s="143">
        <f>(INDEX(Production_Consumption!$AA$83:$AJ$99,MATCH('County Scaled Consumption '!$B346,Production_Consumption!$AA$83:$AA$99,0),MATCH('County Scaled Consumption '!E$2,Production_Consumption!$AA$83:$AJ$83,0)))*'CA Population'!$L346*10^6</f>
        <v>13208.731157938797</v>
      </c>
      <c r="F346" s="143">
        <f>(INDEX(Production_Consumption!$AA$83:$AJ$99,MATCH('County Scaled Consumption '!$B346,Production_Consumption!$AA$83:$AA$99,0),MATCH('County Scaled Consumption '!F$2,Production_Consumption!$AA$83:$AJ$83,0)))*'CA Population'!$L346*10^6</f>
        <v>7659.5351052019496</v>
      </c>
      <c r="G346" s="143">
        <f>(INDEX(Production_Consumption!$AA$83:$AJ$99,MATCH('County Scaled Consumption '!$B346,Production_Consumption!$AA$83:$AA$99,0),MATCH('County Scaled Consumption '!G$2,Production_Consumption!$AA$83:$AJ$83,0)))*'CA Population'!$L346*10^6</f>
        <v>15999.22383884738</v>
      </c>
      <c r="H346" s="143">
        <f>(INDEX(Production_Consumption!$AA$83:$AJ$99,MATCH('County Scaled Consumption '!$B346,Production_Consumption!$AA$83:$AA$99,0),MATCH('County Scaled Consumption '!H$2,Production_Consumption!$AA$83:$AJ$83,0)))*'CA Population'!$L346*10^6</f>
        <v>439.11193529237477</v>
      </c>
      <c r="I346" s="143">
        <f>(INDEX(Production_Consumption!$AA$83:$AJ$99,MATCH('County Scaled Consumption '!$B346,Production_Consumption!$AA$83:$AA$99,0),MATCH('County Scaled Consumption '!I$2,Production_Consumption!$AA$83:$AJ$83,0)))*'CA Population'!$L346*10^6</f>
        <v>8957.5457144574957</v>
      </c>
      <c r="J346" s="143">
        <f>(INDEX(Production_Consumption!$AA$83:$AJ$99,MATCH('County Scaled Consumption '!$B346,Production_Consumption!$AA$83:$AA$99,0),MATCH('County Scaled Consumption '!J$2,Production_Consumption!$AA$83:$AJ$83,0)))*'CA Population'!$L346*10^6</f>
        <v>5534.6126676168033</v>
      </c>
      <c r="K346" s="143">
        <f>(INDEX(Production_Consumption!$AA$83:$AJ$99,MATCH('County Scaled Consumption '!$B346,Production_Consumption!$AA$83:$AA$99,0),MATCH('County Scaled Consumption '!K$2,Production_Consumption!$AA$83:$AJ$83,0)))*'CA Population'!$L346*10^6</f>
        <v>81938.167921263899</v>
      </c>
      <c r="L346" s="131">
        <f t="shared" si="5"/>
        <v>0</v>
      </c>
    </row>
    <row r="347" spans="1:12" x14ac:dyDescent="0.2">
      <c r="A347" s="132" t="s">
        <v>354</v>
      </c>
      <c r="B347" s="129">
        <v>2015</v>
      </c>
      <c r="C347" s="143">
        <f>(INDEX(Production_Consumption!$AA$83:$AJ$99,MATCH('County Scaled Consumption '!$B347,Production_Consumption!$AA$83:$AA$99,0),MATCH('County Scaled Consumption '!C$2,Production_Consumption!$AA$83:$AJ$83,0)))*'CA Population'!$L347*10^6</f>
        <v>6549.4254537095594</v>
      </c>
      <c r="D347" s="143">
        <f>(INDEX(Production_Consumption!$AA$83:$AJ$99,MATCH('County Scaled Consumption '!$B347,Production_Consumption!$AA$83:$AA$99,0),MATCH('County Scaled Consumption '!D$2,Production_Consumption!$AA$83:$AJ$83,0)))*'CA Population'!$L347*10^6</f>
        <v>25586.480055943804</v>
      </c>
      <c r="E347" s="143">
        <f>(INDEX(Production_Consumption!$AA$83:$AJ$99,MATCH('County Scaled Consumption '!$B347,Production_Consumption!$AA$83:$AA$99,0),MATCH('County Scaled Consumption '!E$2,Production_Consumption!$AA$83:$AJ$83,0)))*'CA Population'!$L347*10^6</f>
        <v>14083.705406851426</v>
      </c>
      <c r="F347" s="143">
        <f>(INDEX(Production_Consumption!$AA$83:$AJ$99,MATCH('County Scaled Consumption '!$B347,Production_Consumption!$AA$83:$AA$99,0),MATCH('County Scaled Consumption '!F$2,Production_Consumption!$AA$83:$AJ$83,0)))*'CA Population'!$L347*10^6</f>
        <v>8166.9188876075732</v>
      </c>
      <c r="G347" s="143">
        <f>(INDEX(Production_Consumption!$AA$83:$AJ$99,MATCH('County Scaled Consumption '!$B347,Production_Consumption!$AA$83:$AA$99,0),MATCH('County Scaled Consumption '!G$2,Production_Consumption!$AA$83:$AJ$83,0)))*'CA Population'!$L347*10^6</f>
        <v>17059.04621649997</v>
      </c>
      <c r="H347" s="143">
        <f>(INDEX(Production_Consumption!$AA$83:$AJ$99,MATCH('County Scaled Consumption '!$B347,Production_Consumption!$AA$83:$AA$99,0),MATCH('County Scaled Consumption '!H$2,Production_Consumption!$AA$83:$AJ$83,0)))*'CA Population'!$L347*10^6</f>
        <v>468.19963729621901</v>
      </c>
      <c r="I347" s="143">
        <f>(INDEX(Production_Consumption!$AA$83:$AJ$99,MATCH('County Scaled Consumption '!$B347,Production_Consumption!$AA$83:$AA$99,0),MATCH('County Scaled Consumption '!I$2,Production_Consumption!$AA$83:$AJ$83,0)))*'CA Population'!$L347*10^6</f>
        <v>9550.9124610353756</v>
      </c>
      <c r="J347" s="143">
        <f>(INDEX(Production_Consumption!$AA$83:$AJ$99,MATCH('County Scaled Consumption '!$B347,Production_Consumption!$AA$83:$AA$99,0),MATCH('County Scaled Consumption '!J$2,Production_Consumption!$AA$83:$AJ$83,0)))*'CA Population'!$L347*10^6</f>
        <v>5901.2370998931601</v>
      </c>
      <c r="K347" s="143">
        <f>(INDEX(Production_Consumption!$AA$83:$AJ$99,MATCH('County Scaled Consumption '!$B347,Production_Consumption!$AA$83:$AA$99,0),MATCH('County Scaled Consumption '!K$2,Production_Consumption!$AA$83:$AJ$83,0)))*'CA Population'!$L347*10^6</f>
        <v>87365.925218837103</v>
      </c>
      <c r="L347" s="131">
        <f t="shared" si="5"/>
        <v>0</v>
      </c>
    </row>
    <row r="348" spans="1:12" x14ac:dyDescent="0.2">
      <c r="A348" s="132" t="s">
        <v>355</v>
      </c>
      <c r="B348" s="129">
        <v>2015</v>
      </c>
      <c r="C348" s="143">
        <f>(INDEX(Production_Consumption!$AA$83:$AJ$99,MATCH('County Scaled Consumption '!$B348,Production_Consumption!$AA$83:$AA$99,0),MATCH('County Scaled Consumption '!C$2,Production_Consumption!$AA$83:$AJ$83,0)))*'CA Population'!$L348*10^6</f>
        <v>1178.571174253522</v>
      </c>
      <c r="D348" s="143">
        <f>(INDEX(Production_Consumption!$AA$83:$AJ$99,MATCH('County Scaled Consumption '!$B348,Production_Consumption!$AA$83:$AA$99,0),MATCH('County Scaled Consumption '!D$2,Production_Consumption!$AA$83:$AJ$83,0)))*'CA Population'!$L348*10^6</f>
        <v>4604.2951488925037</v>
      </c>
      <c r="E348" s="143">
        <f>(INDEX(Production_Consumption!$AA$83:$AJ$99,MATCH('County Scaled Consumption '!$B348,Production_Consumption!$AA$83:$AA$99,0),MATCH('County Scaled Consumption '!E$2,Production_Consumption!$AA$83:$AJ$83,0)))*'CA Population'!$L348*10^6</f>
        <v>2534.3672260277694</v>
      </c>
      <c r="F348" s="143">
        <f>(INDEX(Production_Consumption!$AA$83:$AJ$99,MATCH('County Scaled Consumption '!$B348,Production_Consumption!$AA$83:$AA$99,0),MATCH('County Scaled Consumption '!F$2,Production_Consumption!$AA$83:$AJ$83,0)))*'CA Population'!$L348*10^6</f>
        <v>1469.639627388874</v>
      </c>
      <c r="G348" s="143">
        <f>(INDEX(Production_Consumption!$AA$83:$AJ$99,MATCH('County Scaled Consumption '!$B348,Production_Consumption!$AA$83:$AA$99,0),MATCH('County Scaled Consumption '!G$2,Production_Consumption!$AA$83:$AJ$83,0)))*'CA Population'!$L348*10^6</f>
        <v>3069.780742315028</v>
      </c>
      <c r="H348" s="143">
        <f>(INDEX(Production_Consumption!$AA$83:$AJ$99,MATCH('County Scaled Consumption '!$B348,Production_Consumption!$AA$83:$AA$99,0),MATCH('County Scaled Consumption '!H$2,Production_Consumption!$AA$83:$AJ$83,0)))*'CA Population'!$L348*10^6</f>
        <v>84.252672270777225</v>
      </c>
      <c r="I348" s="143">
        <f>(INDEX(Production_Consumption!$AA$83:$AJ$99,MATCH('County Scaled Consumption '!$B348,Production_Consumption!$AA$83:$AA$99,0),MATCH('County Scaled Consumption '!I$2,Production_Consumption!$AA$83:$AJ$83,0)))*'CA Population'!$L348*10^6</f>
        <v>1718.6897070520095</v>
      </c>
      <c r="J348" s="143">
        <f>(INDEX(Production_Consumption!$AA$83:$AJ$99,MATCH('County Scaled Consumption '!$B348,Production_Consumption!$AA$83:$AA$99,0),MATCH('County Scaled Consumption '!J$2,Production_Consumption!$AA$83:$AJ$83,0)))*'CA Population'!$L348*10^6</f>
        <v>1061.9294757267969</v>
      </c>
      <c r="K348" s="143">
        <f>(INDEX(Production_Consumption!$AA$83:$AJ$99,MATCH('County Scaled Consumption '!$B348,Production_Consumption!$AA$83:$AA$99,0),MATCH('County Scaled Consumption '!K$2,Production_Consumption!$AA$83:$AJ$83,0)))*'CA Population'!$L348*10^6</f>
        <v>15721.525773927284</v>
      </c>
      <c r="L348" s="131">
        <f t="shared" si="5"/>
        <v>0</v>
      </c>
    </row>
    <row r="349" spans="1:12" x14ac:dyDescent="0.2">
      <c r="A349" s="132" t="s">
        <v>356</v>
      </c>
      <c r="B349" s="129">
        <v>2015</v>
      </c>
      <c r="C349" s="143">
        <f>(INDEX(Production_Consumption!$AA$83:$AJ$99,MATCH('County Scaled Consumption '!$B349,Production_Consumption!$AA$83:$AA$99,0),MATCH('County Scaled Consumption '!C$2,Production_Consumption!$AA$83:$AJ$83,0)))*'CA Population'!$L349*10^6</f>
        <v>774.71995918854418</v>
      </c>
      <c r="D349" s="143">
        <f>(INDEX(Production_Consumption!$AA$83:$AJ$99,MATCH('County Scaled Consumption '!$B349,Production_Consumption!$AA$83:$AA$99,0),MATCH('County Scaled Consumption '!D$2,Production_Consumption!$AA$83:$AJ$83,0)))*'CA Population'!$L349*10^6</f>
        <v>3026.5794953803174</v>
      </c>
      <c r="E349" s="143">
        <f>(INDEX(Production_Consumption!$AA$83:$AJ$99,MATCH('County Scaled Consumption '!$B349,Production_Consumption!$AA$83:$AA$99,0),MATCH('County Scaled Consumption '!E$2,Production_Consumption!$AA$83:$AJ$83,0)))*'CA Population'!$L349*10^6</f>
        <v>1665.9366161408136</v>
      </c>
      <c r="F349" s="143">
        <f>(INDEX(Production_Consumption!$AA$83:$AJ$99,MATCH('County Scaled Consumption '!$B349,Production_Consumption!$AA$83:$AA$99,0),MATCH('County Scaled Consumption '!F$2,Production_Consumption!$AA$83:$AJ$83,0)))*'CA Population'!$L349*10^6</f>
        <v>966.05039816429519</v>
      </c>
      <c r="G349" s="143">
        <f>(INDEX(Production_Consumption!$AA$83:$AJ$99,MATCH('County Scaled Consumption '!$B349,Production_Consumption!$AA$83:$AA$99,0),MATCH('County Scaled Consumption '!G$2,Production_Consumption!$AA$83:$AJ$83,0)))*'CA Population'!$L349*10^6</f>
        <v>2017.8844208627311</v>
      </c>
      <c r="H349" s="143">
        <f>(INDEX(Production_Consumption!$AA$83:$AJ$99,MATCH('County Scaled Consumption '!$B349,Production_Consumption!$AA$83:$AA$99,0),MATCH('County Scaled Consumption '!H$2,Production_Consumption!$AA$83:$AJ$83,0)))*'CA Population'!$L349*10^6</f>
        <v>55.382507437010872</v>
      </c>
      <c r="I349" s="143">
        <f>(INDEX(Production_Consumption!$AA$83:$AJ$99,MATCH('County Scaled Consumption '!$B349,Production_Consumption!$AA$83:$AA$99,0),MATCH('County Scaled Consumption '!I$2,Production_Consumption!$AA$83:$AJ$83,0)))*'CA Population'!$L349*10^6</f>
        <v>1129.7605514138295</v>
      </c>
      <c r="J349" s="143">
        <f>(INDEX(Production_Consumption!$AA$83:$AJ$99,MATCH('County Scaled Consumption '!$B349,Production_Consumption!$AA$83:$AA$99,0),MATCH('County Scaled Consumption '!J$2,Production_Consumption!$AA$83:$AJ$83,0)))*'CA Population'!$L349*10^6</f>
        <v>698.04690464897271</v>
      </c>
      <c r="K349" s="143">
        <f>(INDEX(Production_Consumption!$AA$83:$AJ$99,MATCH('County Scaled Consumption '!$B349,Production_Consumption!$AA$83:$AA$99,0),MATCH('County Scaled Consumption '!K$2,Production_Consumption!$AA$83:$AJ$83,0)))*'CA Population'!$L349*10^6</f>
        <v>10334.360853236516</v>
      </c>
      <c r="L349" s="131">
        <f t="shared" si="5"/>
        <v>0</v>
      </c>
    </row>
    <row r="350" spans="1:12" x14ac:dyDescent="0.2">
      <c r="A350" s="132" t="s">
        <v>357</v>
      </c>
      <c r="B350" s="129">
        <v>2015</v>
      </c>
      <c r="C350" s="143">
        <f>(INDEX(Production_Consumption!$AA$83:$AJ$99,MATCH('County Scaled Consumption '!$B350,Production_Consumption!$AA$83:$AA$99,0),MATCH('County Scaled Consumption '!C$2,Production_Consumption!$AA$83:$AJ$83,0)))*'CA Population'!$L350*10^6</f>
        <v>167.83267765499241</v>
      </c>
      <c r="D350" s="143">
        <f>(INDEX(Production_Consumption!$AA$83:$AJ$99,MATCH('County Scaled Consumption '!$B350,Production_Consumption!$AA$83:$AA$99,0),MATCH('County Scaled Consumption '!D$2,Production_Consumption!$AA$83:$AJ$83,0)))*'CA Population'!$L350*10^6</f>
        <v>655.66781237625491</v>
      </c>
      <c r="E350" s="143">
        <f>(INDEX(Production_Consumption!$AA$83:$AJ$99,MATCH('County Scaled Consumption '!$B350,Production_Consumption!$AA$83:$AA$99,0),MATCH('County Scaled Consumption '!E$2,Production_Consumption!$AA$83:$AJ$83,0)))*'CA Population'!$L350*10^6</f>
        <v>360.90280077883443</v>
      </c>
      <c r="F350" s="143">
        <f>(INDEX(Production_Consumption!$AA$83:$AJ$99,MATCH('County Scaled Consumption '!$B350,Production_Consumption!$AA$83:$AA$99,0),MATCH('County Scaled Consumption '!F$2,Production_Consumption!$AA$83:$AJ$83,0)))*'CA Population'!$L350*10^6</f>
        <v>209.28184842869953</v>
      </c>
      <c r="G350" s="143">
        <f>(INDEX(Production_Consumption!$AA$83:$AJ$99,MATCH('County Scaled Consumption '!$B350,Production_Consumption!$AA$83:$AA$99,0),MATCH('County Scaled Consumption '!G$2,Production_Consumption!$AA$83:$AJ$83,0)))*'CA Population'!$L350*10^6</f>
        <v>437.14756736926165</v>
      </c>
      <c r="H350" s="143">
        <f>(INDEX(Production_Consumption!$AA$83:$AJ$99,MATCH('County Scaled Consumption '!$B350,Production_Consumption!$AA$83:$AA$99,0),MATCH('County Scaled Consumption '!H$2,Production_Consumption!$AA$83:$AJ$83,0)))*'CA Population'!$L350*10^6</f>
        <v>11.997876662603105</v>
      </c>
      <c r="I350" s="143">
        <f>(INDEX(Production_Consumption!$AA$83:$AJ$99,MATCH('County Scaled Consumption '!$B350,Production_Consumption!$AA$83:$AA$99,0),MATCH('County Scaled Consumption '!I$2,Production_Consumption!$AA$83:$AJ$83,0)))*'CA Population'!$L350*10^6</f>
        <v>244.74745513380788</v>
      </c>
      <c r="J350" s="143">
        <f>(INDEX(Production_Consumption!$AA$83:$AJ$99,MATCH('County Scaled Consumption '!$B350,Production_Consumption!$AA$83:$AA$99,0),MATCH('County Scaled Consumption '!J$2,Production_Consumption!$AA$83:$AJ$83,0)))*'CA Population'!$L350*10^6</f>
        <v>151.22248981261126</v>
      </c>
      <c r="K350" s="143">
        <f>(INDEX(Production_Consumption!$AA$83:$AJ$99,MATCH('County Scaled Consumption '!$B350,Production_Consumption!$AA$83:$AA$99,0),MATCH('County Scaled Consumption '!K$2,Production_Consumption!$AA$83:$AJ$83,0)))*'CA Population'!$L350*10^6</f>
        <v>2238.8005282170657</v>
      </c>
      <c r="L350" s="131">
        <f t="shared" si="5"/>
        <v>0</v>
      </c>
    </row>
    <row r="351" spans="1:12" x14ac:dyDescent="0.2">
      <c r="A351" s="132" t="s">
        <v>358</v>
      </c>
      <c r="B351" s="129">
        <v>2015</v>
      </c>
      <c r="C351" s="143">
        <f>(INDEX(Production_Consumption!$AA$83:$AJ$99,MATCH('County Scaled Consumption '!$B351,Production_Consumption!$AA$83:$AA$99,0),MATCH('County Scaled Consumption '!C$2,Production_Consumption!$AA$83:$AJ$83,0)))*'CA Population'!$L351*10^6</f>
        <v>5664.297654665801</v>
      </c>
      <c r="D351" s="143">
        <f>(INDEX(Production_Consumption!$AA$83:$AJ$99,MATCH('County Scaled Consumption '!$B351,Production_Consumption!$AA$83:$AA$99,0),MATCH('County Scaled Consumption '!D$2,Production_Consumption!$AA$83:$AJ$83,0)))*'CA Population'!$L351*10^6</f>
        <v>22128.572955960361</v>
      </c>
      <c r="E351" s="143">
        <f>(INDEX(Production_Consumption!$AA$83:$AJ$99,MATCH('County Scaled Consumption '!$B351,Production_Consumption!$AA$83:$AA$99,0),MATCH('County Scaled Consumption '!E$2,Production_Consumption!$AA$83:$AJ$83,0)))*'CA Population'!$L351*10^6</f>
        <v>12180.350790900116</v>
      </c>
      <c r="F351" s="143">
        <f>(INDEX(Production_Consumption!$AA$83:$AJ$99,MATCH('County Scaled Consumption '!$B351,Production_Consumption!$AA$83:$AA$99,0),MATCH('County Scaled Consumption '!F$2,Production_Consumption!$AA$83:$AJ$83,0)))*'CA Population'!$L351*10^6</f>
        <v>7063.193531689114</v>
      </c>
      <c r="G351" s="143">
        <f>(INDEX(Production_Consumption!$AA$83:$AJ$99,MATCH('County Scaled Consumption '!$B351,Production_Consumption!$AA$83:$AA$99,0),MATCH('County Scaled Consumption '!G$2,Production_Consumption!$AA$83:$AJ$83,0)))*'CA Population'!$L351*10^6</f>
        <v>14753.58657914443</v>
      </c>
      <c r="H351" s="143">
        <f>(INDEX(Production_Consumption!$AA$83:$AJ$99,MATCH('County Scaled Consumption '!$B351,Production_Consumption!$AA$83:$AA$99,0),MATCH('County Scaled Consumption '!H$2,Production_Consumption!$AA$83:$AJ$83,0)))*'CA Population'!$L351*10^6</f>
        <v>404.92439011581706</v>
      </c>
      <c r="I351" s="143">
        <f>(INDEX(Production_Consumption!$AA$83:$AJ$99,MATCH('County Scaled Consumption '!$B351,Production_Consumption!$AA$83:$AA$99,0),MATCH('County Scaled Consumption '!I$2,Production_Consumption!$AA$83:$AJ$83,0)))*'CA Population'!$L351*10^6</f>
        <v>8260.1460899626763</v>
      </c>
      <c r="J351" s="143">
        <f>(INDEX(Production_Consumption!$AA$83:$AJ$99,MATCH('County Scaled Consumption '!$B351,Production_Consumption!$AA$83:$AA$99,0),MATCH('County Scaled Consumption '!J$2,Production_Consumption!$AA$83:$AJ$83,0)))*'CA Population'!$L351*10^6</f>
        <v>5103.7092796619472</v>
      </c>
      <c r="K351" s="143">
        <f>(INDEX(Production_Consumption!$AA$83:$AJ$99,MATCH('County Scaled Consumption '!$B351,Production_Consumption!$AA$83:$AA$99,0),MATCH('County Scaled Consumption '!K$2,Production_Consumption!$AA$83:$AJ$83,0)))*'CA Population'!$L351*10^6</f>
        <v>75558.781272100285</v>
      </c>
      <c r="L351" s="131">
        <f t="shared" si="5"/>
        <v>0</v>
      </c>
    </row>
    <row r="352" spans="1:12" x14ac:dyDescent="0.2">
      <c r="A352" s="132" t="s">
        <v>359</v>
      </c>
      <c r="B352" s="129">
        <v>2015</v>
      </c>
      <c r="C352" s="143">
        <f>(INDEX(Production_Consumption!$AA$83:$AJ$99,MATCH('County Scaled Consumption '!$B352,Production_Consumption!$AA$83:$AA$99,0),MATCH('County Scaled Consumption '!C$2,Production_Consumption!$AA$83:$AJ$83,0)))*'CA Population'!$L352*10^6</f>
        <v>670.71719739561297</v>
      </c>
      <c r="D352" s="143">
        <f>(INDEX(Production_Consumption!$AA$83:$AJ$99,MATCH('County Scaled Consumption '!$B352,Production_Consumption!$AA$83:$AA$99,0),MATCH('County Scaled Consumption '!D$2,Production_Consumption!$AA$83:$AJ$83,0)))*'CA Population'!$L352*10^6</f>
        <v>2620.2744524134268</v>
      </c>
      <c r="E352" s="143">
        <f>(INDEX(Production_Consumption!$AA$83:$AJ$99,MATCH('County Scaled Consumption '!$B352,Production_Consumption!$AA$83:$AA$99,0),MATCH('County Scaled Consumption '!E$2,Production_Consumption!$AA$83:$AJ$83,0)))*'CA Population'!$L352*10^6</f>
        <v>1442.2919210537104</v>
      </c>
      <c r="F352" s="143">
        <f>(INDEX(Production_Consumption!$AA$83:$AJ$99,MATCH('County Scaled Consumption '!$B352,Production_Consumption!$AA$83:$AA$99,0),MATCH('County Scaled Consumption '!F$2,Production_Consumption!$AA$83:$AJ$83,0)))*'CA Population'!$L352*10^6</f>
        <v>836.36236283152323</v>
      </c>
      <c r="G352" s="143">
        <f>(INDEX(Production_Consumption!$AA$83:$AJ$99,MATCH('County Scaled Consumption '!$B352,Production_Consumption!$AA$83:$AA$99,0),MATCH('County Scaled Consumption '!G$2,Production_Consumption!$AA$83:$AJ$83,0)))*'CA Population'!$L352*10^6</f>
        <v>1746.9922742753752</v>
      </c>
      <c r="H352" s="143">
        <f>(INDEX(Production_Consumption!$AA$83:$AJ$99,MATCH('County Scaled Consumption '!$B352,Production_Consumption!$AA$83:$AA$99,0),MATCH('County Scaled Consumption '!H$2,Production_Consumption!$AA$83:$AJ$83,0)))*'CA Population'!$L352*10^6</f>
        <v>47.947648349993493</v>
      </c>
      <c r="I352" s="143">
        <f>(INDEX(Production_Consumption!$AA$83:$AJ$99,MATCH('County Scaled Consumption '!$B352,Production_Consumption!$AA$83:$AA$99,0),MATCH('County Scaled Consumption '!I$2,Production_Consumption!$AA$83:$AJ$83,0)))*'CA Population'!$L352*10^6</f>
        <v>978.09514494255063</v>
      </c>
      <c r="J352" s="143">
        <f>(INDEX(Production_Consumption!$AA$83:$AJ$99,MATCH('County Scaled Consumption '!$B352,Production_Consumption!$AA$83:$AA$99,0),MATCH('County Scaled Consumption '!J$2,Production_Consumption!$AA$83:$AJ$83,0)))*'CA Population'!$L352*10^6</f>
        <v>604.33716465396674</v>
      </c>
      <c r="K352" s="143">
        <f>(INDEX(Production_Consumption!$AA$83:$AJ$99,MATCH('County Scaled Consumption '!$B352,Production_Consumption!$AA$83:$AA$99,0),MATCH('County Scaled Consumption '!K$2,Production_Consumption!$AA$83:$AJ$83,0)))*'CA Population'!$L352*10^6</f>
        <v>8947.0181659161608</v>
      </c>
      <c r="L352" s="131">
        <f t="shared" si="5"/>
        <v>0</v>
      </c>
    </row>
    <row r="353" spans="1:12" x14ac:dyDescent="0.2">
      <c r="A353" s="132" t="s">
        <v>360</v>
      </c>
      <c r="B353" s="129">
        <v>2015</v>
      </c>
      <c r="C353" s="143">
        <f>(INDEX(Production_Consumption!$AA$83:$AJ$99,MATCH('County Scaled Consumption '!$B353,Production_Consumption!$AA$83:$AA$99,0),MATCH('County Scaled Consumption '!C$2,Production_Consumption!$AA$83:$AJ$83,0)))*'CA Population'!$L353*10^6</f>
        <v>10410.816336487584</v>
      </c>
      <c r="D353" s="143">
        <f>(INDEX(Production_Consumption!$AA$83:$AJ$99,MATCH('County Scaled Consumption '!$B353,Production_Consumption!$AA$83:$AA$99,0),MATCH('County Scaled Consumption '!D$2,Production_Consumption!$AA$83:$AJ$83,0)))*'CA Population'!$L353*10^6</f>
        <v>40671.681270722685</v>
      </c>
      <c r="E353" s="143">
        <f>(INDEX(Production_Consumption!$AA$83:$AJ$99,MATCH('County Scaled Consumption '!$B353,Production_Consumption!$AA$83:$AA$99,0),MATCH('County Scaled Consumption '!E$2,Production_Consumption!$AA$83:$AJ$83,0)))*'CA Population'!$L353*10^6</f>
        <v>22387.134774529102</v>
      </c>
      <c r="F353" s="143">
        <f>(INDEX(Production_Consumption!$AA$83:$AJ$99,MATCH('County Scaled Consumption '!$B353,Production_Consumption!$AA$83:$AA$99,0),MATCH('County Scaled Consumption '!F$2,Production_Consumption!$AA$83:$AJ$83,0)))*'CA Population'!$L353*10^6</f>
        <v>12981.946763851876</v>
      </c>
      <c r="G353" s="143">
        <f>(INDEX(Production_Consumption!$AA$83:$AJ$99,MATCH('County Scaled Consumption '!$B353,Production_Consumption!$AA$83:$AA$99,0),MATCH('County Scaled Consumption '!G$2,Production_Consumption!$AA$83:$AJ$83,0)))*'CA Population'!$L353*10^6</f>
        <v>27116.668216300364</v>
      </c>
      <c r="H353" s="143">
        <f>(INDEX(Production_Consumption!$AA$83:$AJ$99,MATCH('County Scaled Consumption '!$B353,Production_Consumption!$AA$83:$AA$99,0),MATCH('County Scaled Consumption '!H$2,Production_Consumption!$AA$83:$AJ$83,0)))*'CA Population'!$L353*10^6</f>
        <v>744.2393943029366</v>
      </c>
      <c r="I353" s="143">
        <f>(INDEX(Production_Consumption!$AA$83:$AJ$99,MATCH('County Scaled Consumption '!$B353,Production_Consumption!$AA$83:$AA$99,0),MATCH('County Scaled Consumption '!I$2,Production_Consumption!$AA$83:$AJ$83,0)))*'CA Population'!$L353*10^6</f>
        <v>15181.911173810171</v>
      </c>
      <c r="J353" s="143">
        <f>(INDEX(Production_Consumption!$AA$83:$AJ$99,MATCH('County Scaled Consumption '!$B353,Production_Consumption!$AA$83:$AA$99,0),MATCH('County Scaled Consumption '!J$2,Production_Consumption!$AA$83:$AJ$83,0)))*'CA Population'!$L353*10^6</f>
        <v>9380.471010668105</v>
      </c>
      <c r="K353" s="143">
        <f>(INDEX(Production_Consumption!$AA$83:$AJ$99,MATCH('County Scaled Consumption '!$B353,Production_Consumption!$AA$83:$AA$99,0),MATCH('County Scaled Consumption '!K$2,Production_Consumption!$AA$83:$AJ$83,0)))*'CA Population'!$L353*10^6</f>
        <v>138874.86894067287</v>
      </c>
      <c r="L353" s="131">
        <f t="shared" si="5"/>
        <v>0</v>
      </c>
    </row>
    <row r="354" spans="1:12" x14ac:dyDescent="0.2">
      <c r="A354" s="132" t="s">
        <v>361</v>
      </c>
      <c r="B354" s="129">
        <v>2015</v>
      </c>
      <c r="C354" s="143">
        <f>(INDEX(Production_Consumption!$AA$83:$AJ$99,MATCH('County Scaled Consumption '!$B354,Production_Consumption!$AA$83:$AA$99,0),MATCH('County Scaled Consumption '!C$2,Production_Consumption!$AA$83:$AJ$83,0)))*'CA Population'!$L354*10^6</f>
        <v>2586.3876999201325</v>
      </c>
      <c r="D354" s="143">
        <f>(INDEX(Production_Consumption!$AA$83:$AJ$99,MATCH('County Scaled Consumption '!$B354,Production_Consumption!$AA$83:$AA$99,0),MATCH('County Scaled Consumption '!D$2,Production_Consumption!$AA$83:$AJ$83,0)))*'CA Population'!$L354*10^6</f>
        <v>10104.177499029749</v>
      </c>
      <c r="E354" s="143">
        <f>(INDEX(Production_Consumption!$AA$83:$AJ$99,MATCH('County Scaled Consumption '!$B354,Production_Consumption!$AA$83:$AA$99,0),MATCH('County Scaled Consumption '!E$2,Production_Consumption!$AA$83:$AJ$83,0)))*'CA Population'!$L354*10^6</f>
        <v>5561.6973872032913</v>
      </c>
      <c r="F354" s="143">
        <f>(INDEX(Production_Consumption!$AA$83:$AJ$99,MATCH('County Scaled Consumption '!$B354,Production_Consumption!$AA$83:$AA$99,0),MATCH('County Scaled Consumption '!F$2,Production_Consumption!$AA$83:$AJ$83,0)))*'CA Population'!$L354*10^6</f>
        <v>3225.1406946222714</v>
      </c>
      <c r="G354" s="143">
        <f>(INDEX(Production_Consumption!$AA$83:$AJ$99,MATCH('County Scaled Consumption '!$B354,Production_Consumption!$AA$83:$AA$99,0),MATCH('County Scaled Consumption '!G$2,Production_Consumption!$AA$83:$AJ$83,0)))*'CA Population'!$L354*10^6</f>
        <v>6736.6683716866364</v>
      </c>
      <c r="H354" s="143">
        <f>(INDEX(Production_Consumption!$AA$83:$AJ$99,MATCH('County Scaled Consumption '!$B354,Production_Consumption!$AA$83:$AA$99,0),MATCH('County Scaled Consumption '!H$2,Production_Consumption!$AA$83:$AJ$83,0)))*'CA Population'!$L354*10^6</f>
        <v>184.89343707609268</v>
      </c>
      <c r="I354" s="143">
        <f>(INDEX(Production_Consumption!$AA$83:$AJ$99,MATCH('County Scaled Consumption '!$B354,Production_Consumption!$AA$83:$AA$99,0),MATCH('County Scaled Consumption '!I$2,Production_Consumption!$AA$83:$AJ$83,0)))*'CA Population'!$L354*10^6</f>
        <v>3771.6838960651921</v>
      </c>
      <c r="J354" s="143">
        <f>(INDEX(Production_Consumption!$AA$83:$AJ$99,MATCH('County Scaled Consumption '!$B354,Production_Consumption!$AA$83:$AA$99,0),MATCH('County Scaled Consumption '!J$2,Production_Consumption!$AA$83:$AJ$83,0)))*'CA Population'!$L354*10^6</f>
        <v>2330.4161803736852</v>
      </c>
      <c r="K354" s="143">
        <f>(INDEX(Production_Consumption!$AA$83:$AJ$99,MATCH('County Scaled Consumption '!$B354,Production_Consumption!$AA$83:$AA$99,0),MATCH('County Scaled Consumption '!K$2,Production_Consumption!$AA$83:$AJ$83,0)))*'CA Population'!$L354*10^6</f>
        <v>34501.065165977059</v>
      </c>
      <c r="L354" s="131">
        <f t="shared" si="5"/>
        <v>0</v>
      </c>
    </row>
    <row r="355" spans="1:12" x14ac:dyDescent="0.2">
      <c r="A355" s="132" t="s">
        <v>362</v>
      </c>
      <c r="B355" s="129">
        <v>2015</v>
      </c>
      <c r="C355" s="143">
        <f>(INDEX(Production_Consumption!$AA$83:$AJ$99,MATCH('County Scaled Consumption '!$B355,Production_Consumption!$AA$83:$AA$99,0),MATCH('County Scaled Consumption '!C$2,Production_Consumption!$AA$83:$AJ$83,0)))*'CA Population'!$L355*10^6</f>
        <v>908.94438241328203</v>
      </c>
      <c r="D355" s="143">
        <f>(INDEX(Production_Consumption!$AA$83:$AJ$99,MATCH('County Scaled Consumption '!$B355,Production_Consumption!$AA$83:$AA$99,0),MATCH('County Scaled Consumption '!D$2,Production_Consumption!$AA$83:$AJ$83,0)))*'CA Population'!$L355*10^6</f>
        <v>3550.9507630790931</v>
      </c>
      <c r="E355" s="143">
        <f>(INDEX(Production_Consumption!$AA$83:$AJ$99,MATCH('County Scaled Consumption '!$B355,Production_Consumption!$AA$83:$AA$99,0),MATCH('County Scaled Consumption '!E$2,Production_Consumption!$AA$83:$AJ$83,0)))*'CA Population'!$L355*10^6</f>
        <v>1954.5691455836902</v>
      </c>
      <c r="F355" s="143">
        <f>(INDEX(Production_Consumption!$AA$83:$AJ$99,MATCH('County Scaled Consumption '!$B355,Production_Consumption!$AA$83:$AA$99,0),MATCH('County Scaled Consumption '!F$2,Production_Consumption!$AA$83:$AJ$83,0)))*'CA Population'!$L355*10^6</f>
        <v>1133.4238548071921</v>
      </c>
      <c r="G355" s="143">
        <f>(INDEX(Production_Consumption!$AA$83:$AJ$99,MATCH('County Scaled Consumption '!$B355,Production_Consumption!$AA$83:$AA$99,0),MATCH('County Scaled Consumption '!G$2,Production_Consumption!$AA$83:$AJ$83,0)))*'CA Population'!$L355*10^6</f>
        <v>2367.4938110844273</v>
      </c>
      <c r="H355" s="143">
        <f>(INDEX(Production_Consumption!$AA$83:$AJ$99,MATCH('County Scaled Consumption '!$B355,Production_Consumption!$AA$83:$AA$99,0),MATCH('County Scaled Consumption '!H$2,Production_Consumption!$AA$83:$AJ$83,0)))*'CA Population'!$L355*10^6</f>
        <v>64.977826402664874</v>
      </c>
      <c r="I355" s="143">
        <f>(INDEX(Production_Consumption!$AA$83:$AJ$99,MATCH('County Scaled Consumption '!$B355,Production_Consumption!$AA$83:$AA$99,0),MATCH('County Scaled Consumption '!I$2,Production_Consumption!$AA$83:$AJ$83,0)))*'CA Population'!$L355*10^6</f>
        <v>1325.4976775805735</v>
      </c>
      <c r="J355" s="143">
        <f>(INDEX(Production_Consumption!$AA$83:$AJ$99,MATCH('County Scaled Consumption '!$B355,Production_Consumption!$AA$83:$AA$99,0),MATCH('County Scaled Consumption '!J$2,Production_Consumption!$AA$83:$AJ$83,0)))*'CA Population'!$L355*10^6</f>
        <v>818.9873064665012</v>
      </c>
      <c r="K355" s="143">
        <f>(INDEX(Production_Consumption!$AA$83:$AJ$99,MATCH('County Scaled Consumption '!$B355,Production_Consumption!$AA$83:$AA$99,0),MATCH('County Scaled Consumption '!K$2,Production_Consumption!$AA$83:$AJ$83,0)))*'CA Population'!$L355*10^6</f>
        <v>12124.844767417426</v>
      </c>
      <c r="L355" s="131">
        <f t="shared" si="5"/>
        <v>0</v>
      </c>
    </row>
    <row r="356" spans="1:12" x14ac:dyDescent="0.2">
      <c r="A356" s="132" t="s">
        <v>363</v>
      </c>
      <c r="B356" s="129">
        <v>2015</v>
      </c>
      <c r="C356" s="143">
        <f>(INDEX(Production_Consumption!$AA$83:$AJ$99,MATCH('County Scaled Consumption '!$B356,Production_Consumption!$AA$83:$AA$99,0),MATCH('County Scaled Consumption '!C$2,Production_Consumption!$AA$83:$AJ$83,0)))*'CA Population'!$L356*10^6</f>
        <v>476890.35707309487</v>
      </c>
      <c r="D356" s="143">
        <f>(INDEX(Production_Consumption!$AA$83:$AJ$99,MATCH('County Scaled Consumption '!$B356,Production_Consumption!$AA$83:$AA$99,0),MATCH('County Scaled Consumption '!D$2,Production_Consumption!$AA$83:$AJ$83,0)))*'CA Population'!$L356*10^6</f>
        <v>1863055.8812165032</v>
      </c>
      <c r="E356" s="143">
        <f>(INDEX(Production_Consumption!$AA$83:$AJ$99,MATCH('County Scaled Consumption '!$B356,Production_Consumption!$AA$83:$AA$99,0),MATCH('County Scaled Consumption '!E$2,Production_Consumption!$AA$83:$AJ$83,0)))*'CA Population'!$L356*10^6</f>
        <v>1025491.9836642356</v>
      </c>
      <c r="F356" s="143">
        <f>(INDEX(Production_Consumption!$AA$83:$AJ$99,MATCH('County Scaled Consumption '!$B356,Production_Consumption!$AA$83:$AA$99,0),MATCH('County Scaled Consumption '!F$2,Production_Consumption!$AA$83:$AJ$83,0)))*'CA Population'!$L356*10^6</f>
        <v>594666.64549822861</v>
      </c>
      <c r="G356" s="143">
        <f>(INDEX(Production_Consumption!$AA$83:$AJ$99,MATCH('County Scaled Consumption '!$B356,Production_Consumption!$AA$83:$AA$99,0),MATCH('County Scaled Consumption '!G$2,Production_Consumption!$AA$83:$AJ$83,0)))*'CA Population'!$L356*10^6</f>
        <v>1242138.6729282199</v>
      </c>
      <c r="H356" s="143">
        <f>(INDEX(Production_Consumption!$AA$83:$AJ$99,MATCH('County Scaled Consumption '!$B356,Production_Consumption!$AA$83:$AA$99,0),MATCH('County Scaled Consumption '!H$2,Production_Consumption!$AA$83:$AJ$83,0)))*'CA Population'!$L356*10^6</f>
        <v>34091.523567952492</v>
      </c>
      <c r="I356" s="143">
        <f>(INDEX(Production_Consumption!$AA$83:$AJ$99,MATCH('County Scaled Consumption '!$B356,Production_Consumption!$AA$83:$AA$99,0),MATCH('County Scaled Consumption '!I$2,Production_Consumption!$AA$83:$AJ$83,0)))*'CA Population'!$L356*10^6</f>
        <v>695440.85753922898</v>
      </c>
      <c r="J356" s="143">
        <f>(INDEX(Production_Consumption!$AA$83:$AJ$99,MATCH('County Scaled Consumption '!$B356,Production_Consumption!$AA$83:$AA$99,0),MATCH('County Scaled Consumption '!J$2,Production_Consumption!$AA$83:$AJ$83,0)))*'CA Population'!$L356*10^6</f>
        <v>429693.12157711049</v>
      </c>
      <c r="K356" s="143">
        <f>(INDEX(Production_Consumption!$AA$83:$AJ$99,MATCH('County Scaled Consumption '!$B356,Production_Consumption!$AA$83:$AA$99,0),MATCH('County Scaled Consumption '!K$2,Production_Consumption!$AA$83:$AJ$83,0)))*'CA Population'!$L356*10^6</f>
        <v>6361469.0430645756</v>
      </c>
      <c r="L356" s="131">
        <f t="shared" si="5"/>
        <v>0</v>
      </c>
    </row>
    <row r="357" spans="1:12" x14ac:dyDescent="0.2">
      <c r="A357" s="132" t="s">
        <v>305</v>
      </c>
      <c r="B357" s="129">
        <v>2014</v>
      </c>
      <c r="C357" s="143">
        <f>(INDEX(Production_Consumption!$AA$83:$AJ$99,MATCH('County Scaled Consumption '!$B357,Production_Consumption!$AA$83:$AA$99,0),MATCH('County Scaled Consumption '!C$2,Production_Consumption!$AA$83:$AJ$83,0)))*'CA Population'!$L357*10^6</f>
        <v>18995.161067590634</v>
      </c>
      <c r="D357" s="143">
        <f>(INDEX(Production_Consumption!$AA$83:$AJ$99,MATCH('County Scaled Consumption '!$B357,Production_Consumption!$AA$83:$AA$99,0),MATCH('County Scaled Consumption '!D$2,Production_Consumption!$AA$83:$AJ$83,0)))*'CA Population'!$L357*10^6</f>
        <v>74089.165563097602</v>
      </c>
      <c r="E357" s="143">
        <f>(INDEX(Production_Consumption!$AA$83:$AJ$99,MATCH('County Scaled Consumption '!$B357,Production_Consumption!$AA$83:$AA$99,0),MATCH('County Scaled Consumption '!E$2,Production_Consumption!$AA$83:$AJ$83,0)))*'CA Population'!$L357*10^6</f>
        <v>40727.023621876404</v>
      </c>
      <c r="F357" s="143">
        <f>(INDEX(Production_Consumption!$AA$83:$AJ$99,MATCH('County Scaled Consumption '!$B357,Production_Consumption!$AA$83:$AA$99,0),MATCH('County Scaled Consumption '!F$2,Production_Consumption!$AA$83:$AJ$83,0)))*'CA Population'!$L357*10^6</f>
        <v>13051.553292758292</v>
      </c>
      <c r="G357" s="143">
        <f>(INDEX(Production_Consumption!$AA$83:$AJ$99,MATCH('County Scaled Consumption '!$B357,Production_Consumption!$AA$83:$AA$99,0),MATCH('County Scaled Consumption '!G$2,Production_Consumption!$AA$83:$AJ$83,0)))*'CA Population'!$L357*10^6</f>
        <v>49732.901057276758</v>
      </c>
      <c r="H357" s="143">
        <f>(INDEX(Production_Consumption!$AA$83:$AJ$99,MATCH('County Scaled Consumption '!$B357,Production_Consumption!$AA$83:$AA$99,0),MATCH('County Scaled Consumption '!H$2,Production_Consumption!$AA$83:$AJ$83,0)))*'CA Population'!$L357*10^6</f>
        <v>1386.9692115461883</v>
      </c>
      <c r="I357" s="143">
        <f>(INDEX(Production_Consumption!$AA$83:$AJ$99,MATCH('County Scaled Consumption '!$B357,Production_Consumption!$AA$83:$AA$99,0),MATCH('County Scaled Consumption '!I$2,Production_Consumption!$AA$83:$AJ$83,0)))*'CA Population'!$L357*10^6</f>
        <v>25143.290838146277</v>
      </c>
      <c r="J357" s="143">
        <f>(INDEX(Production_Consumption!$AA$83:$AJ$99,MATCH('County Scaled Consumption '!$B357,Production_Consumption!$AA$83:$AA$99,0),MATCH('County Scaled Consumption '!J$2,Production_Consumption!$AA$83:$AJ$83,0)))*'CA Population'!$L357*10^6</f>
        <v>17378.48209572419</v>
      </c>
      <c r="K357" s="143">
        <f>(INDEX(Production_Consumption!$AA$83:$AJ$99,MATCH('County Scaled Consumption '!$B357,Production_Consumption!$AA$83:$AA$99,0),MATCH('County Scaled Consumption '!K$2,Production_Consumption!$AA$83:$AJ$83,0)))*'CA Population'!$L357*10^6</f>
        <v>240504.54674801632</v>
      </c>
      <c r="L357" s="131">
        <f t="shared" si="5"/>
        <v>0</v>
      </c>
    </row>
    <row r="358" spans="1:12" x14ac:dyDescent="0.2">
      <c r="A358" s="132" t="s">
        <v>306</v>
      </c>
      <c r="B358" s="129">
        <v>2014</v>
      </c>
      <c r="C358" s="143">
        <f>(INDEX(Production_Consumption!$AA$83:$AJ$99,MATCH('County Scaled Consumption '!$B358,Production_Consumption!$AA$83:$AA$99,0),MATCH('County Scaled Consumption '!C$2,Production_Consumption!$AA$83:$AJ$83,0)))*'CA Population'!$L358*10^6</f>
        <v>13.887577533073143</v>
      </c>
      <c r="D358" s="143">
        <f>(INDEX(Production_Consumption!$AA$83:$AJ$99,MATCH('County Scaled Consumption '!$B358,Production_Consumption!$AA$83:$AA$99,0),MATCH('County Scaled Consumption '!D$2,Production_Consumption!$AA$83:$AJ$83,0)))*'CA Population'!$L358*10^6</f>
        <v>54.167428612845129</v>
      </c>
      <c r="E358" s="143">
        <f>(INDEX(Production_Consumption!$AA$83:$AJ$99,MATCH('County Scaled Consumption '!$B358,Production_Consumption!$AA$83:$AA$99,0),MATCH('County Scaled Consumption '!E$2,Production_Consumption!$AA$83:$AJ$83,0)))*'CA Population'!$L358*10^6</f>
        <v>29.775988538740577</v>
      </c>
      <c r="F358" s="143">
        <f>(INDEX(Production_Consumption!$AA$83:$AJ$99,MATCH('County Scaled Consumption '!$B358,Production_Consumption!$AA$83:$AA$99,0),MATCH('County Scaled Consumption '!F$2,Production_Consumption!$AA$83:$AJ$83,0)))*'CA Population'!$L358*10^6</f>
        <v>9.5421385286104012</v>
      </c>
      <c r="G358" s="143">
        <f>(INDEX(Production_Consumption!$AA$83:$AJ$99,MATCH('County Scaled Consumption '!$B358,Production_Consumption!$AA$83:$AA$99,0),MATCH('County Scaled Consumption '!G$2,Production_Consumption!$AA$83:$AJ$83,0)))*'CA Population'!$L358*10^6</f>
        <v>36.360287597455546</v>
      </c>
      <c r="H358" s="143">
        <f>(INDEX(Production_Consumption!$AA$83:$AJ$99,MATCH('County Scaled Consumption '!$B358,Production_Consumption!$AA$83:$AA$99,0),MATCH('County Scaled Consumption '!H$2,Production_Consumption!$AA$83:$AJ$83,0)))*'CA Population'!$L358*10^6</f>
        <v>1.0140289094045665</v>
      </c>
      <c r="I358" s="143">
        <f>(INDEX(Production_Consumption!$AA$83:$AJ$99,MATCH('County Scaled Consumption '!$B358,Production_Consumption!$AA$83:$AA$99,0),MATCH('County Scaled Consumption '!I$2,Production_Consumption!$AA$83:$AJ$83,0)))*'CA Population'!$L358*10^6</f>
        <v>18.382544886504313</v>
      </c>
      <c r="J358" s="143">
        <f>(INDEX(Production_Consumption!$AA$83:$AJ$99,MATCH('County Scaled Consumption '!$B358,Production_Consumption!$AA$83:$AA$99,0),MATCH('County Scaled Consumption '!J$2,Production_Consumption!$AA$83:$AJ$83,0)))*'CA Population'!$L358*10^6</f>
        <v>12.705605214544548</v>
      </c>
      <c r="K358" s="143">
        <f>(INDEX(Production_Consumption!$AA$83:$AJ$99,MATCH('County Scaled Consumption '!$B358,Production_Consumption!$AA$83:$AA$99,0),MATCH('County Scaled Consumption '!K$2,Production_Consumption!$AA$83:$AJ$83,0)))*'CA Population'!$L358*10^6</f>
        <v>175.83559982117822</v>
      </c>
      <c r="L358" s="131">
        <f t="shared" si="5"/>
        <v>0</v>
      </c>
    </row>
    <row r="359" spans="1:12" x14ac:dyDescent="0.2">
      <c r="A359" s="132" t="s">
        <v>307</v>
      </c>
      <c r="B359" s="129">
        <v>2014</v>
      </c>
      <c r="C359" s="143">
        <f>(INDEX(Production_Consumption!$AA$83:$AJ$99,MATCH('County Scaled Consumption '!$B359,Production_Consumption!$AA$83:$AA$99,0),MATCH('County Scaled Consumption '!C$2,Production_Consumption!$AA$83:$AJ$83,0)))*'CA Population'!$L359*10^6</f>
        <v>430.22831551082731</v>
      </c>
      <c r="D359" s="143">
        <f>(INDEX(Production_Consumption!$AA$83:$AJ$99,MATCH('County Scaled Consumption '!$B359,Production_Consumption!$AA$83:$AA$99,0),MATCH('County Scaled Consumption '!D$2,Production_Consumption!$AA$83:$AJ$83,0)))*'CA Population'!$L359*10^6</f>
        <v>1678.0724724782435</v>
      </c>
      <c r="E359" s="143">
        <f>(INDEX(Production_Consumption!$AA$83:$AJ$99,MATCH('County Scaled Consumption '!$B359,Production_Consumption!$AA$83:$AA$99,0),MATCH('County Scaled Consumption '!E$2,Production_Consumption!$AA$83:$AJ$83,0)))*'CA Population'!$L359*10^6</f>
        <v>922.44117890136215</v>
      </c>
      <c r="F359" s="143">
        <f>(INDEX(Production_Consumption!$AA$83:$AJ$99,MATCH('County Scaled Consumption '!$B359,Production_Consumption!$AA$83:$AA$99,0),MATCH('County Scaled Consumption '!F$2,Production_Consumption!$AA$83:$AJ$83,0)))*'CA Population'!$L359*10^6</f>
        <v>295.60938009226493</v>
      </c>
      <c r="G359" s="143">
        <f>(INDEX(Production_Consumption!$AA$83:$AJ$99,MATCH('County Scaled Consumption '!$B359,Production_Consumption!$AA$83:$AA$99,0),MATCH('County Scaled Consumption '!G$2,Production_Consumption!$AA$83:$AJ$83,0)))*'CA Population'!$L359*10^6</f>
        <v>1126.4185742465397</v>
      </c>
      <c r="H359" s="143">
        <f>(INDEX(Production_Consumption!$AA$83:$AJ$99,MATCH('County Scaled Consumption '!$B359,Production_Consumption!$AA$83:$AA$99,0),MATCH('County Scaled Consumption '!H$2,Production_Consumption!$AA$83:$AJ$83,0)))*'CA Population'!$L359*10^6</f>
        <v>31.413970401493657</v>
      </c>
      <c r="I359" s="143">
        <f>(INDEX(Production_Consumption!$AA$83:$AJ$99,MATCH('County Scaled Consumption '!$B359,Production_Consumption!$AA$83:$AA$99,0),MATCH('County Scaled Consumption '!I$2,Production_Consumption!$AA$83:$AJ$83,0)))*'CA Population'!$L359*10^6</f>
        <v>569.4795440377161</v>
      </c>
      <c r="J359" s="143">
        <f>(INDEX(Production_Consumption!$AA$83:$AJ$99,MATCH('County Scaled Consumption '!$B359,Production_Consumption!$AA$83:$AA$99,0),MATCH('County Scaled Consumption '!J$2,Production_Consumption!$AA$83:$AJ$83,0)))*'CA Population'!$L359*10^6</f>
        <v>393.6115651546221</v>
      </c>
      <c r="K359" s="143">
        <f>(INDEX(Production_Consumption!$AA$83:$AJ$99,MATCH('County Scaled Consumption '!$B359,Production_Consumption!$AA$83:$AA$99,0),MATCH('County Scaled Consumption '!K$2,Production_Consumption!$AA$83:$AJ$83,0)))*'CA Population'!$L359*10^6</f>
        <v>5447.2750008230687</v>
      </c>
      <c r="L359" s="131">
        <f t="shared" si="5"/>
        <v>0</v>
      </c>
    </row>
    <row r="360" spans="1:12" x14ac:dyDescent="0.2">
      <c r="A360" s="132" t="s">
        <v>308</v>
      </c>
      <c r="B360" s="129">
        <v>2014</v>
      </c>
      <c r="C360" s="143">
        <f>(INDEX(Production_Consumption!$AA$83:$AJ$99,MATCH('County Scaled Consumption '!$B360,Production_Consumption!$AA$83:$AA$99,0),MATCH('County Scaled Consumption '!C$2,Production_Consumption!$AA$83:$AJ$83,0)))*'CA Population'!$L360*10^6</f>
        <v>2662.7370068313958</v>
      </c>
      <c r="D360" s="143">
        <f>(INDEX(Production_Consumption!$AA$83:$AJ$99,MATCH('County Scaled Consumption '!$B360,Production_Consumption!$AA$83:$AA$99,0),MATCH('County Scaled Consumption '!D$2,Production_Consumption!$AA$83:$AJ$83,0)))*'CA Population'!$L360*10^6</f>
        <v>10385.801007326836</v>
      </c>
      <c r="E360" s="143">
        <f>(INDEX(Production_Consumption!$AA$83:$AJ$99,MATCH('County Scaled Consumption '!$B360,Production_Consumption!$AA$83:$AA$99,0),MATCH('County Scaled Consumption '!E$2,Production_Consumption!$AA$83:$AJ$83,0)))*'CA Population'!$L360*10^6</f>
        <v>5709.1041550100463</v>
      </c>
      <c r="F360" s="143">
        <f>(INDEX(Production_Consumption!$AA$83:$AJ$99,MATCH('County Scaled Consumption '!$B360,Production_Consumption!$AA$83:$AA$99,0),MATCH('County Scaled Consumption '!F$2,Production_Consumption!$AA$83:$AJ$83,0)))*'CA Population'!$L360*10^6</f>
        <v>1829.5635307117591</v>
      </c>
      <c r="G360" s="143">
        <f>(INDEX(Production_Consumption!$AA$83:$AJ$99,MATCH('County Scaled Consumption '!$B360,Production_Consumption!$AA$83:$AA$99,0),MATCH('County Scaled Consumption '!G$2,Production_Consumption!$AA$83:$AJ$83,0)))*'CA Population'!$L360*10^6</f>
        <v>6971.5458390209951</v>
      </c>
      <c r="H360" s="143">
        <f>(INDEX(Production_Consumption!$AA$83:$AJ$99,MATCH('County Scaled Consumption '!$B360,Production_Consumption!$AA$83:$AA$99,0),MATCH('County Scaled Consumption '!H$2,Production_Consumption!$AA$83:$AJ$83,0)))*'CA Population'!$L360*10^6</f>
        <v>194.4250029667287</v>
      </c>
      <c r="I360" s="143">
        <f>(INDEX(Production_Consumption!$AA$83:$AJ$99,MATCH('County Scaled Consumption '!$B360,Production_Consumption!$AA$83:$AA$99,0),MATCH('County Scaled Consumption '!I$2,Production_Consumption!$AA$83:$AJ$83,0)))*'CA Population'!$L360*10^6</f>
        <v>3524.580326011886</v>
      </c>
      <c r="J360" s="143">
        <f>(INDEX(Production_Consumption!$AA$83:$AJ$99,MATCH('County Scaled Consumption '!$B360,Production_Consumption!$AA$83:$AA$99,0),MATCH('County Scaled Consumption '!J$2,Production_Consumption!$AA$83:$AJ$83,0)))*'CA Population'!$L360*10^6</f>
        <v>2436.1113461572309</v>
      </c>
      <c r="K360" s="143">
        <f>(INDEX(Production_Consumption!$AA$83:$AJ$99,MATCH('County Scaled Consumption '!$B360,Production_Consumption!$AA$83:$AA$99,0),MATCH('County Scaled Consumption '!K$2,Production_Consumption!$AA$83:$AJ$83,0)))*'CA Population'!$L360*10^6</f>
        <v>33713.868214036869</v>
      </c>
      <c r="L360" s="131">
        <f t="shared" si="5"/>
        <v>0</v>
      </c>
    </row>
    <row r="361" spans="1:12" x14ac:dyDescent="0.2">
      <c r="A361" s="132" t="s">
        <v>309</v>
      </c>
      <c r="B361" s="129">
        <v>2014</v>
      </c>
      <c r="C361" s="143">
        <f>(INDEX(Production_Consumption!$AA$83:$AJ$99,MATCH('County Scaled Consumption '!$B361,Production_Consumption!$AA$83:$AA$99,0),MATCH('County Scaled Consumption '!C$2,Production_Consumption!$AA$83:$AJ$83,0)))*'CA Population'!$L361*10^6</f>
        <v>541.62746495712076</v>
      </c>
      <c r="D361" s="143">
        <f>(INDEX(Production_Consumption!$AA$83:$AJ$99,MATCH('County Scaled Consumption '!$B361,Production_Consumption!$AA$83:$AA$99,0),MATCH('County Scaled Consumption '!D$2,Production_Consumption!$AA$83:$AJ$83,0)))*'CA Population'!$L361*10^6</f>
        <v>2112.5762915059581</v>
      </c>
      <c r="E361" s="143">
        <f>(INDEX(Production_Consumption!$AA$83:$AJ$99,MATCH('County Scaled Consumption '!$B361,Production_Consumption!$AA$83:$AA$99,0),MATCH('County Scaled Consumption '!E$2,Production_Consumption!$AA$83:$AJ$83,0)))*'CA Population'!$L361*10^6</f>
        <v>1161.2891557525322</v>
      </c>
      <c r="F361" s="143">
        <f>(INDEX(Production_Consumption!$AA$83:$AJ$99,MATCH('County Scaled Consumption '!$B361,Production_Consumption!$AA$83:$AA$99,0),MATCH('County Scaled Consumption '!F$2,Production_Consumption!$AA$83:$AJ$83,0)))*'CA Population'!$L361*10^6</f>
        <v>372.15160737808299</v>
      </c>
      <c r="G361" s="143">
        <f>(INDEX(Production_Consumption!$AA$83:$AJ$99,MATCH('County Scaled Consumption '!$B361,Production_Consumption!$AA$83:$AA$99,0),MATCH('County Scaled Consumption '!G$2,Production_Consumption!$AA$83:$AJ$83,0)))*'CA Population'!$L361*10^6</f>
        <v>1418.0824805205407</v>
      </c>
      <c r="H361" s="143">
        <f>(INDEX(Production_Consumption!$AA$83:$AJ$99,MATCH('County Scaled Consumption '!$B361,Production_Consumption!$AA$83:$AA$99,0),MATCH('County Scaled Consumption '!H$2,Production_Consumption!$AA$83:$AJ$83,0)))*'CA Population'!$L361*10^6</f>
        <v>39.547999374696751</v>
      </c>
      <c r="I361" s="143">
        <f>(INDEX(Production_Consumption!$AA$83:$AJ$99,MATCH('County Scaled Consumption '!$B361,Production_Consumption!$AA$83:$AA$99,0),MATCH('County Scaled Consumption '!I$2,Production_Consumption!$AA$83:$AJ$83,0)))*'CA Population'!$L361*10^6</f>
        <v>716.9350567171648</v>
      </c>
      <c r="J361" s="143">
        <f>(INDEX(Production_Consumption!$AA$83:$AJ$99,MATCH('County Scaled Consumption '!$B361,Production_Consumption!$AA$83:$AA$99,0),MATCH('County Scaled Consumption '!J$2,Production_Consumption!$AA$83:$AJ$83,0)))*'CA Population'!$L361*10^6</f>
        <v>495.52952822124809</v>
      </c>
      <c r="K361" s="143">
        <f>(INDEX(Production_Consumption!$AA$83:$AJ$99,MATCH('County Scaled Consumption '!$B361,Production_Consumption!$AA$83:$AA$99,0),MATCH('County Scaled Consumption '!K$2,Production_Consumption!$AA$83:$AJ$83,0)))*'CA Population'!$L361*10^6</f>
        <v>6857.7395844273442</v>
      </c>
      <c r="L361" s="131">
        <f t="shared" si="5"/>
        <v>0</v>
      </c>
    </row>
    <row r="362" spans="1:12" x14ac:dyDescent="0.2">
      <c r="A362" s="132" t="s">
        <v>310</v>
      </c>
      <c r="B362" s="129">
        <v>2014</v>
      </c>
      <c r="C362" s="143">
        <f>(INDEX(Production_Consumption!$AA$83:$AJ$99,MATCH('County Scaled Consumption '!$B362,Production_Consumption!$AA$83:$AA$99,0),MATCH('County Scaled Consumption '!C$2,Production_Consumption!$AA$83:$AJ$83,0)))*'CA Population'!$L362*10^6</f>
        <v>257.04556661817065</v>
      </c>
      <c r="D362" s="143">
        <f>(INDEX(Production_Consumption!$AA$83:$AJ$99,MATCH('County Scaled Consumption '!$B362,Production_Consumption!$AA$83:$AA$99,0),MATCH('County Scaled Consumption '!D$2,Production_Consumption!$AA$83:$AJ$83,0)))*'CA Population'!$L362*10^6</f>
        <v>1002.5864731901153</v>
      </c>
      <c r="E362" s="143">
        <f>(INDEX(Production_Consumption!$AA$83:$AJ$99,MATCH('County Scaled Consumption '!$B362,Production_Consumption!$AA$83:$AA$99,0),MATCH('County Scaled Consumption '!E$2,Production_Consumption!$AA$83:$AJ$83,0)))*'CA Population'!$L362*10^6</f>
        <v>551.1246167540238</v>
      </c>
      <c r="F362" s="143">
        <f>(INDEX(Production_Consumption!$AA$83:$AJ$99,MATCH('County Scaled Consumption '!$B362,Production_Consumption!$AA$83:$AA$99,0),MATCH('County Scaled Consumption '!F$2,Production_Consumption!$AA$83:$AJ$83,0)))*'CA Population'!$L362*10^6</f>
        <v>176.61571278320505</v>
      </c>
      <c r="G362" s="143">
        <f>(INDEX(Production_Consumption!$AA$83:$AJ$99,MATCH('County Scaled Consumption '!$B362,Production_Consumption!$AA$83:$AA$99,0),MATCH('County Scaled Consumption '!G$2,Production_Consumption!$AA$83:$AJ$83,0)))*'CA Population'!$L362*10^6</f>
        <v>672.99359486055732</v>
      </c>
      <c r="H362" s="143">
        <f>(INDEX(Production_Consumption!$AA$83:$AJ$99,MATCH('County Scaled Consumption '!$B362,Production_Consumption!$AA$83:$AA$99,0),MATCH('County Scaled Consumption '!H$2,Production_Consumption!$AA$83:$AJ$83,0)))*'CA Population'!$L362*10^6</f>
        <v>18.768689857130436</v>
      </c>
      <c r="I362" s="143">
        <f>(INDEX(Production_Consumption!$AA$83:$AJ$99,MATCH('County Scaled Consumption '!$B362,Production_Consumption!$AA$83:$AA$99,0),MATCH('County Scaled Consumption '!I$2,Production_Consumption!$AA$83:$AJ$83,0)))*'CA Population'!$L362*10^6</f>
        <v>340.24304490704367</v>
      </c>
      <c r="J362" s="143">
        <f>(INDEX(Production_Consumption!$AA$83:$AJ$99,MATCH('County Scaled Consumption '!$B362,Production_Consumption!$AA$83:$AA$99,0),MATCH('County Scaled Consumption '!J$2,Production_Consumption!$AA$83:$AJ$83,0)))*'CA Population'!$L362*10^6</f>
        <v>235.16840743618735</v>
      </c>
      <c r="K362" s="143">
        <f>(INDEX(Production_Consumption!$AA$83:$AJ$99,MATCH('County Scaled Consumption '!$B362,Production_Consumption!$AA$83:$AA$99,0),MATCH('County Scaled Consumption '!K$2,Production_Consumption!$AA$83:$AJ$83,0)))*'CA Population'!$L362*10^6</f>
        <v>3254.5461064064334</v>
      </c>
      <c r="L362" s="131">
        <f t="shared" si="5"/>
        <v>0</v>
      </c>
    </row>
    <row r="363" spans="1:12" x14ac:dyDescent="0.2">
      <c r="A363" s="132" t="s">
        <v>311</v>
      </c>
      <c r="B363" s="129">
        <v>2014</v>
      </c>
      <c r="C363" s="143">
        <f>(INDEX(Production_Consumption!$AA$83:$AJ$99,MATCH('County Scaled Consumption '!$B363,Production_Consumption!$AA$83:$AA$99,0),MATCH('County Scaled Consumption '!C$2,Production_Consumption!$AA$83:$AJ$83,0)))*'CA Population'!$L363*10^6</f>
        <v>13122.853240041726</v>
      </c>
      <c r="D363" s="143">
        <f>(INDEX(Production_Consumption!$AA$83:$AJ$99,MATCH('County Scaled Consumption '!$B363,Production_Consumption!$AA$83:$AA$99,0),MATCH('County Scaled Consumption '!D$2,Production_Consumption!$AA$83:$AJ$83,0)))*'CA Population'!$L363*10^6</f>
        <v>51184.680293158795</v>
      </c>
      <c r="E363" s="143">
        <f>(INDEX(Production_Consumption!$AA$83:$AJ$99,MATCH('County Scaled Consumption '!$B363,Production_Consumption!$AA$83:$AA$99,0),MATCH('County Scaled Consumption '!E$2,Production_Consumption!$AA$83:$AJ$83,0)))*'CA Population'!$L363*10^6</f>
        <v>28136.363360744461</v>
      </c>
      <c r="F363" s="143">
        <f>(INDEX(Production_Consumption!$AA$83:$AJ$99,MATCH('County Scaled Consumption '!$B363,Production_Consumption!$AA$83:$AA$99,0),MATCH('County Scaled Consumption '!F$2,Production_Consumption!$AA$83:$AJ$83,0)))*'CA Population'!$L363*10^6</f>
        <v>9016.6973476037474</v>
      </c>
      <c r="G363" s="143">
        <f>(INDEX(Production_Consumption!$AA$83:$AJ$99,MATCH('County Scaled Consumption '!$B363,Production_Consumption!$AA$83:$AA$99,0),MATCH('County Scaled Consumption '!G$2,Production_Consumption!$AA$83:$AJ$83,0)))*'CA Population'!$L363*10^6</f>
        <v>34358.095698892648</v>
      </c>
      <c r="H363" s="143">
        <f>(INDEX(Production_Consumption!$AA$83:$AJ$99,MATCH('County Scaled Consumption '!$B363,Production_Consumption!$AA$83:$AA$99,0),MATCH('County Scaled Consumption '!H$2,Production_Consumption!$AA$83:$AJ$83,0)))*'CA Population'!$L363*10^6</f>
        <v>958.19105438549707</v>
      </c>
      <c r="I363" s="143">
        <f>(INDEX(Production_Consumption!$AA$83:$AJ$99,MATCH('County Scaled Consumption '!$B363,Production_Consumption!$AA$83:$AA$99,0),MATCH('County Scaled Consumption '!I$2,Production_Consumption!$AA$83:$AJ$83,0)))*'CA Population'!$L363*10^6</f>
        <v>17370.303650840837</v>
      </c>
      <c r="J363" s="143">
        <f>(INDEX(Production_Consumption!$AA$83:$AJ$99,MATCH('County Scaled Consumption '!$B363,Production_Consumption!$AA$83:$AA$99,0),MATCH('County Scaled Consumption '!J$2,Production_Consumption!$AA$83:$AJ$83,0)))*'CA Population'!$L363*10^6</f>
        <v>12005.966638839778</v>
      </c>
      <c r="K363" s="143">
        <f>(INDEX(Production_Consumption!$AA$83:$AJ$99,MATCH('County Scaled Consumption '!$B363,Production_Consumption!$AA$83:$AA$99,0),MATCH('County Scaled Consumption '!K$2,Production_Consumption!$AA$83:$AJ$83,0)))*'CA Population'!$L363*10^6</f>
        <v>166153.15128450748</v>
      </c>
      <c r="L363" s="131">
        <f t="shared" si="5"/>
        <v>0</v>
      </c>
    </row>
    <row r="364" spans="1:12" x14ac:dyDescent="0.2">
      <c r="A364" s="132" t="s">
        <v>312</v>
      </c>
      <c r="B364" s="129">
        <v>2014</v>
      </c>
      <c r="C364" s="143">
        <f>(INDEX(Production_Consumption!$AA$83:$AJ$99,MATCH('County Scaled Consumption '!$B364,Production_Consumption!$AA$83:$AA$99,0),MATCH('County Scaled Consumption '!C$2,Production_Consumption!$AA$83:$AJ$83,0)))*'CA Population'!$L364*10^6</f>
        <v>324.32210300796777</v>
      </c>
      <c r="D364" s="143">
        <f>(INDEX(Production_Consumption!$AA$83:$AJ$99,MATCH('County Scaled Consumption '!$B364,Production_Consumption!$AA$83:$AA$99,0),MATCH('County Scaled Consumption '!D$2,Production_Consumption!$AA$83:$AJ$83,0)))*'CA Population'!$L364*10^6</f>
        <v>1264.9934317496763</v>
      </c>
      <c r="E364" s="143">
        <f>(INDEX(Production_Consumption!$AA$83:$AJ$99,MATCH('County Scaled Consumption '!$B364,Production_Consumption!$AA$83:$AA$99,0),MATCH('County Scaled Consumption '!E$2,Production_Consumption!$AA$83:$AJ$83,0)))*'CA Population'!$L364*10^6</f>
        <v>695.37046320910929</v>
      </c>
      <c r="F364" s="143">
        <f>(INDEX(Production_Consumption!$AA$83:$AJ$99,MATCH('County Scaled Consumption '!$B364,Production_Consumption!$AA$83:$AA$99,0),MATCH('County Scaled Consumption '!F$2,Production_Consumption!$AA$83:$AJ$83,0)))*'CA Population'!$L364*10^6</f>
        <v>222.84134345404857</v>
      </c>
      <c r="G364" s="143">
        <f>(INDEX(Production_Consumption!$AA$83:$AJ$99,MATCH('County Scaled Consumption '!$B364,Production_Consumption!$AA$83:$AA$99,0),MATCH('County Scaled Consumption '!G$2,Production_Consumption!$AA$83:$AJ$83,0)))*'CA Population'!$L364*10^6</f>
        <v>849.13620906869528</v>
      </c>
      <c r="H364" s="143">
        <f>(INDEX(Production_Consumption!$AA$83:$AJ$99,MATCH('County Scaled Consumption '!$B364,Production_Consumption!$AA$83:$AA$99,0),MATCH('County Scaled Consumption '!H$2,Production_Consumption!$AA$83:$AJ$83,0)))*'CA Population'!$L364*10^6</f>
        <v>23.681019070875344</v>
      </c>
      <c r="I364" s="143">
        <f>(INDEX(Production_Consumption!$AA$83:$AJ$99,MATCH('County Scaled Consumption '!$B364,Production_Consumption!$AA$83:$AA$99,0),MATCH('County Scaled Consumption '!I$2,Production_Consumption!$AA$83:$AJ$83,0)))*'CA Population'!$L364*10^6</f>
        <v>429.29485736668715</v>
      </c>
      <c r="J364" s="143">
        <f>(INDEX(Production_Consumption!$AA$83:$AJ$99,MATCH('County Scaled Consumption '!$B364,Production_Consumption!$AA$83:$AA$99,0),MATCH('County Scaled Consumption '!J$2,Production_Consumption!$AA$83:$AJ$83,0)))*'CA Population'!$L364*10^6</f>
        <v>296.71903493295775</v>
      </c>
      <c r="K364" s="143">
        <f>(INDEX(Production_Consumption!$AA$83:$AJ$99,MATCH('County Scaled Consumption '!$B364,Production_Consumption!$AA$83:$AA$99,0),MATCH('County Scaled Consumption '!K$2,Production_Consumption!$AA$83:$AJ$83,0)))*'CA Population'!$L364*10^6</f>
        <v>4106.3584618600171</v>
      </c>
      <c r="L364" s="131">
        <f t="shared" si="5"/>
        <v>0</v>
      </c>
    </row>
    <row r="365" spans="1:12" x14ac:dyDescent="0.2">
      <c r="A365" s="132" t="s">
        <v>313</v>
      </c>
      <c r="B365" s="129">
        <v>2014</v>
      </c>
      <c r="C365" s="143">
        <f>(INDEX(Production_Consumption!$AA$83:$AJ$99,MATCH('County Scaled Consumption '!$B365,Production_Consumption!$AA$83:$AA$99,0),MATCH('County Scaled Consumption '!C$2,Production_Consumption!$AA$83:$AJ$83,0)))*'CA Population'!$L365*10^6</f>
        <v>2166.2232718140431</v>
      </c>
      <c r="D365" s="143">
        <f>(INDEX(Production_Consumption!$AA$83:$AJ$99,MATCH('County Scaled Consumption '!$B365,Production_Consumption!$AA$83:$AA$99,0),MATCH('County Scaled Consumption '!D$2,Production_Consumption!$AA$83:$AJ$83,0)))*'CA Population'!$L365*10^6</f>
        <v>8449.1873515038769</v>
      </c>
      <c r="E365" s="143">
        <f>(INDEX(Production_Consumption!$AA$83:$AJ$99,MATCH('County Scaled Consumption '!$B365,Production_Consumption!$AA$83:$AA$99,0),MATCH('County Scaled Consumption '!E$2,Production_Consumption!$AA$83:$AJ$83,0)))*'CA Population'!$L365*10^6</f>
        <v>4644.5421572105333</v>
      </c>
      <c r="F365" s="143">
        <f>(INDEX(Production_Consumption!$AA$83:$AJ$99,MATCH('County Scaled Consumption '!$B365,Production_Consumption!$AA$83:$AA$99,0),MATCH('County Scaled Consumption '!F$2,Production_Consumption!$AA$83:$AJ$83,0)))*'CA Population'!$L365*10^6</f>
        <v>1488.4095152176744</v>
      </c>
      <c r="G365" s="143">
        <f>(INDEX(Production_Consumption!$AA$83:$AJ$99,MATCH('County Scaled Consumption '!$B365,Production_Consumption!$AA$83:$AA$99,0),MATCH('County Scaled Consumption '!G$2,Production_Consumption!$AA$83:$AJ$83,0)))*'CA Population'!$L365*10^6</f>
        <v>5671.57958080758</v>
      </c>
      <c r="H365" s="143">
        <f>(INDEX(Production_Consumption!$AA$83:$AJ$99,MATCH('County Scaled Consumption '!$B365,Production_Consumption!$AA$83:$AA$99,0),MATCH('County Scaled Consumption '!H$2,Production_Consumption!$AA$83:$AJ$83,0)))*'CA Population'!$L365*10^6</f>
        <v>158.17107170873913</v>
      </c>
      <c r="I365" s="143">
        <f>(INDEX(Production_Consumption!$AA$83:$AJ$99,MATCH('County Scaled Consumption '!$B365,Production_Consumption!$AA$83:$AA$99,0),MATCH('County Scaled Consumption '!I$2,Production_Consumption!$AA$83:$AJ$83,0)))*'CA Population'!$L365*10^6</f>
        <v>2867.3608794247416</v>
      </c>
      <c r="J365" s="143">
        <f>(INDEX(Production_Consumption!$AA$83:$AJ$99,MATCH('County Scaled Consumption '!$B365,Production_Consumption!$AA$83:$AA$99,0),MATCH('County Scaled Consumption '!J$2,Production_Consumption!$AA$83:$AJ$83,0)))*'CA Population'!$L365*10^6</f>
        <v>1981.8559163887337</v>
      </c>
      <c r="K365" s="143">
        <f>(INDEX(Production_Consumption!$AA$83:$AJ$99,MATCH('County Scaled Consumption '!$B365,Production_Consumption!$AA$83:$AA$99,0),MATCH('County Scaled Consumption '!K$2,Production_Consumption!$AA$83:$AJ$83,0)))*'CA Population'!$L365*10^6</f>
        <v>27427.32974407592</v>
      </c>
      <c r="L365" s="131">
        <f t="shared" si="5"/>
        <v>0</v>
      </c>
    </row>
    <row r="366" spans="1:12" x14ac:dyDescent="0.2">
      <c r="A366" s="132" t="s">
        <v>314</v>
      </c>
      <c r="B366" s="129">
        <v>2014</v>
      </c>
      <c r="C366" s="143">
        <f>(INDEX(Production_Consumption!$AA$83:$AJ$99,MATCH('County Scaled Consumption '!$B366,Production_Consumption!$AA$83:$AA$99,0),MATCH('County Scaled Consumption '!C$2,Production_Consumption!$AA$83:$AJ$83,0)))*'CA Population'!$L366*10^6</f>
        <v>11522.378591066839</v>
      </c>
      <c r="D366" s="143">
        <f>(INDEX(Production_Consumption!$AA$83:$AJ$99,MATCH('County Scaled Consumption '!$B366,Production_Consumption!$AA$83:$AA$99,0),MATCH('County Scaled Consumption '!D$2,Production_Consumption!$AA$83:$AJ$83,0)))*'CA Population'!$L366*10^6</f>
        <v>44942.151955257134</v>
      </c>
      <c r="E366" s="143">
        <f>(INDEX(Production_Consumption!$AA$83:$AJ$99,MATCH('County Scaled Consumption '!$B366,Production_Consumption!$AA$83:$AA$99,0),MATCH('County Scaled Consumption '!E$2,Production_Consumption!$AA$83:$AJ$83,0)))*'CA Population'!$L366*10^6</f>
        <v>24704.827897419091</v>
      </c>
      <c r="F366" s="143">
        <f>(INDEX(Production_Consumption!$AA$83:$AJ$99,MATCH('County Scaled Consumption '!$B366,Production_Consumption!$AA$83:$AA$99,0),MATCH('County Scaled Consumption '!F$2,Production_Consumption!$AA$83:$AJ$83,0)))*'CA Population'!$L366*10^6</f>
        <v>7917.0130595644923</v>
      </c>
      <c r="G366" s="143">
        <f>(INDEX(Production_Consumption!$AA$83:$AJ$99,MATCH('County Scaled Consumption '!$B366,Production_Consumption!$AA$83:$AA$99,0),MATCH('County Scaled Consumption '!G$2,Production_Consumption!$AA$83:$AJ$83,0)))*'CA Population'!$L366*10^6</f>
        <v>30167.752322549601</v>
      </c>
      <c r="H366" s="143">
        <f>(INDEX(Production_Consumption!$AA$83:$AJ$99,MATCH('County Scaled Consumption '!$B366,Production_Consumption!$AA$83:$AA$99,0),MATCH('County Scaled Consumption '!H$2,Production_Consumption!$AA$83:$AJ$83,0)))*'CA Population'!$L366*10^6</f>
        <v>841.32923604715302</v>
      </c>
      <c r="I366" s="143">
        <f>(INDEX(Production_Consumption!$AA$83:$AJ$99,MATCH('County Scaled Consumption '!$B366,Production_Consumption!$AA$83:$AA$99,0),MATCH('County Scaled Consumption '!I$2,Production_Consumption!$AA$83:$AJ$83,0)))*'CA Population'!$L366*10^6</f>
        <v>15251.806237996319</v>
      </c>
      <c r="J366" s="143">
        <f>(INDEX(Production_Consumption!$AA$83:$AJ$99,MATCH('County Scaled Consumption '!$B366,Production_Consumption!$AA$83:$AA$99,0),MATCH('County Scaled Consumption '!J$2,Production_Consumption!$AA$83:$AJ$83,0)))*'CA Population'!$L366*10^6</f>
        <v>10541.70845577408</v>
      </c>
      <c r="K366" s="143">
        <f>(INDEX(Production_Consumption!$AA$83:$AJ$99,MATCH('County Scaled Consumption '!$B366,Production_Consumption!$AA$83:$AA$99,0),MATCH('County Scaled Consumption '!K$2,Production_Consumption!$AA$83:$AJ$83,0)))*'CA Population'!$L366*10^6</f>
        <v>145888.9677556747</v>
      </c>
      <c r="L366" s="131">
        <f t="shared" si="5"/>
        <v>0</v>
      </c>
    </row>
    <row r="367" spans="1:12" x14ac:dyDescent="0.2">
      <c r="A367" s="132" t="s">
        <v>315</v>
      </c>
      <c r="B367" s="129">
        <v>2014</v>
      </c>
      <c r="C367" s="143">
        <f>(INDEX(Production_Consumption!$AA$83:$AJ$99,MATCH('County Scaled Consumption '!$B367,Production_Consumption!$AA$83:$AA$99,0),MATCH('County Scaled Consumption '!C$2,Production_Consumption!$AA$83:$AJ$83,0)))*'CA Population'!$L367*10^6</f>
        <v>337.30215182864748</v>
      </c>
      <c r="D367" s="143">
        <f>(INDEX(Production_Consumption!$AA$83:$AJ$99,MATCH('County Scaled Consumption '!$B367,Production_Consumption!$AA$83:$AA$99,0),MATCH('County Scaled Consumption '!D$2,Production_Consumption!$AA$83:$AJ$83,0)))*'CA Population'!$L367*10^6</f>
        <v>1315.6211143826622</v>
      </c>
      <c r="E367" s="143">
        <f>(INDEX(Production_Consumption!$AA$83:$AJ$99,MATCH('County Scaled Consumption '!$B367,Production_Consumption!$AA$83:$AA$99,0),MATCH('County Scaled Consumption '!E$2,Production_Consumption!$AA$83:$AJ$83,0)))*'CA Population'!$L367*10^6</f>
        <v>723.20064338246345</v>
      </c>
      <c r="F367" s="143">
        <f>(INDEX(Production_Consumption!$AA$83:$AJ$99,MATCH('County Scaled Consumption '!$B367,Production_Consumption!$AA$83:$AA$99,0),MATCH('County Scaled Consumption '!F$2,Production_Consumption!$AA$83:$AJ$83,0)))*'CA Population'!$L367*10^6</f>
        <v>231.75992004957692</v>
      </c>
      <c r="G367" s="143">
        <f>(INDEX(Production_Consumption!$AA$83:$AJ$99,MATCH('County Scaled Consumption '!$B367,Production_Consumption!$AA$83:$AA$99,0),MATCH('County Scaled Consumption '!G$2,Production_Consumption!$AA$83:$AJ$83,0)))*'CA Population'!$L367*10^6</f>
        <v>883.12041596330766</v>
      </c>
      <c r="H367" s="143">
        <f>(INDEX(Production_Consumption!$AA$83:$AJ$99,MATCH('County Scaled Consumption '!$B367,Production_Consumption!$AA$83:$AA$99,0),MATCH('County Scaled Consumption '!H$2,Production_Consumption!$AA$83:$AJ$83,0)))*'CA Population'!$L367*10^6</f>
        <v>24.628782978461555</v>
      </c>
      <c r="I367" s="143">
        <f>(INDEX(Production_Consumption!$AA$83:$AJ$99,MATCH('County Scaled Consumption '!$B367,Production_Consumption!$AA$83:$AA$99,0),MATCH('County Scaled Consumption '!I$2,Production_Consumption!$AA$83:$AJ$83,0)))*'CA Population'!$L367*10^6</f>
        <v>446.47613534745255</v>
      </c>
      <c r="J367" s="143">
        <f>(INDEX(Production_Consumption!$AA$83:$AJ$99,MATCH('County Scaled Consumption '!$B367,Production_Consumption!$AA$83:$AA$99,0),MATCH('County Scaled Consumption '!J$2,Production_Consumption!$AA$83:$AJ$83,0)))*'CA Population'!$L367*10^6</f>
        <v>308.59435124268254</v>
      </c>
      <c r="K367" s="143">
        <f>(INDEX(Production_Consumption!$AA$83:$AJ$99,MATCH('County Scaled Consumption '!$B367,Production_Consumption!$AA$83:$AA$99,0),MATCH('County Scaled Consumption '!K$2,Production_Consumption!$AA$83:$AJ$83,0)))*'CA Population'!$L367*10^6</f>
        <v>4270.7035151752534</v>
      </c>
      <c r="L367" s="131">
        <f t="shared" si="5"/>
        <v>0</v>
      </c>
    </row>
    <row r="368" spans="1:12" x14ac:dyDescent="0.2">
      <c r="A368" s="132" t="s">
        <v>316</v>
      </c>
      <c r="B368" s="129">
        <v>2014</v>
      </c>
      <c r="C368" s="143">
        <f>(INDEX(Production_Consumption!$AA$83:$AJ$99,MATCH('County Scaled Consumption '!$B368,Production_Consumption!$AA$83:$AA$99,0),MATCH('County Scaled Consumption '!C$2,Production_Consumption!$AA$83:$AJ$83,0)))*'CA Population'!$L368*10^6</f>
        <v>1605.6332332348072</v>
      </c>
      <c r="D368" s="143">
        <f>(INDEX(Production_Consumption!$AA$83:$AJ$99,MATCH('County Scaled Consumption '!$B368,Production_Consumption!$AA$83:$AA$99,0),MATCH('County Scaled Consumption '!D$2,Production_Consumption!$AA$83:$AJ$83,0)))*'CA Population'!$L368*10^6</f>
        <v>6262.6489992608613</v>
      </c>
      <c r="E368" s="143">
        <f>(INDEX(Production_Consumption!$AA$83:$AJ$99,MATCH('County Scaled Consumption '!$B368,Production_Consumption!$AA$83:$AA$99,0),MATCH('County Scaled Consumption '!E$2,Production_Consumption!$AA$83:$AJ$83,0)))*'CA Population'!$L368*10^6</f>
        <v>3442.595847718087</v>
      </c>
      <c r="F368" s="143">
        <f>(INDEX(Production_Consumption!$AA$83:$AJ$99,MATCH('County Scaled Consumption '!$B368,Production_Consumption!$AA$83:$AA$99,0),MATCH('County Scaled Consumption '!F$2,Production_Consumption!$AA$83:$AJ$83,0)))*'CA Population'!$L368*10^6</f>
        <v>1103.2287453430883</v>
      </c>
      <c r="G368" s="143">
        <f>(INDEX(Production_Consumption!$AA$83:$AJ$99,MATCH('County Scaled Consumption '!$B368,Production_Consumption!$AA$83:$AA$99,0),MATCH('County Scaled Consumption '!G$2,Production_Consumption!$AA$83:$AJ$83,0)))*'CA Population'!$L368*10^6</f>
        <v>4203.8495192855271</v>
      </c>
      <c r="H368" s="143">
        <f>(INDEX(Production_Consumption!$AA$83:$AJ$99,MATCH('County Scaled Consumption '!$B368,Production_Consumption!$AA$83:$AA$99,0),MATCH('County Scaled Consumption '!H$2,Production_Consumption!$AA$83:$AJ$83,0)))*'CA Population'!$L368*10^6</f>
        <v>117.2384825592062</v>
      </c>
      <c r="I368" s="143">
        <f>(INDEX(Production_Consumption!$AA$83:$AJ$99,MATCH('County Scaled Consumption '!$B368,Production_Consumption!$AA$83:$AA$99,0),MATCH('County Scaled Consumption '!I$2,Production_Consumption!$AA$83:$AJ$83,0)))*'CA Population'!$L368*10^6</f>
        <v>2125.3256668350323</v>
      </c>
      <c r="J368" s="143">
        <f>(INDEX(Production_Consumption!$AA$83:$AJ$99,MATCH('County Scaled Consumption '!$B368,Production_Consumption!$AA$83:$AA$99,0),MATCH('County Scaled Consumption '!J$2,Production_Consumption!$AA$83:$AJ$83,0)))*'CA Population'!$L368*10^6</f>
        <v>1468.9777199983566</v>
      </c>
      <c r="K368" s="143">
        <f>(INDEX(Production_Consumption!$AA$83:$AJ$99,MATCH('County Scaled Consumption '!$B368,Production_Consumption!$AA$83:$AA$99,0),MATCH('County Scaled Consumption '!K$2,Production_Consumption!$AA$83:$AJ$83,0)))*'CA Population'!$L368*10^6</f>
        <v>20329.498214234965</v>
      </c>
      <c r="L368" s="131">
        <f t="shared" si="5"/>
        <v>0</v>
      </c>
    </row>
    <row r="369" spans="1:12" x14ac:dyDescent="0.2">
      <c r="A369" s="132" t="s">
        <v>317</v>
      </c>
      <c r="B369" s="129">
        <v>2014</v>
      </c>
      <c r="C369" s="143">
        <f>(INDEX(Production_Consumption!$AA$83:$AJ$99,MATCH('County Scaled Consumption '!$B369,Production_Consumption!$AA$83:$AA$99,0),MATCH('County Scaled Consumption '!C$2,Production_Consumption!$AA$83:$AJ$83,0)))*'CA Population'!$L369*10^6</f>
        <v>2169.698151489129</v>
      </c>
      <c r="D369" s="143">
        <f>(INDEX(Production_Consumption!$AA$83:$AJ$99,MATCH('County Scaled Consumption '!$B369,Production_Consumption!$AA$83:$AA$99,0),MATCH('County Scaled Consumption '!D$2,Production_Consumption!$AA$83:$AJ$83,0)))*'CA Population'!$L369*10^6</f>
        <v>8462.7408525583378</v>
      </c>
      <c r="E369" s="143">
        <f>(INDEX(Production_Consumption!$AA$83:$AJ$99,MATCH('County Scaled Consumption '!$B369,Production_Consumption!$AA$83:$AA$99,0),MATCH('County Scaled Consumption '!E$2,Production_Consumption!$AA$83:$AJ$83,0)))*'CA Population'!$L369*10^6</f>
        <v>4651.9925550306307</v>
      </c>
      <c r="F369" s="143">
        <f>(INDEX(Production_Consumption!$AA$83:$AJ$99,MATCH('County Scaled Consumption '!$B369,Production_Consumption!$AA$83:$AA$99,0),MATCH('County Scaled Consumption '!F$2,Production_Consumption!$AA$83:$AJ$83,0)))*'CA Population'!$L369*10^6</f>
        <v>1490.7971010403965</v>
      </c>
      <c r="G369" s="143">
        <f>(INDEX(Production_Consumption!$AA$83:$AJ$99,MATCH('County Scaled Consumption '!$B369,Production_Consumption!$AA$83:$AA$99,0),MATCH('County Scaled Consumption '!G$2,Production_Consumption!$AA$83:$AJ$83,0)))*'CA Population'!$L369*10^6</f>
        <v>5680.6774687618872</v>
      </c>
      <c r="H369" s="143">
        <f>(INDEX(Production_Consumption!$AA$83:$AJ$99,MATCH('County Scaled Consumption '!$B369,Production_Consumption!$AA$83:$AA$99,0),MATCH('County Scaled Consumption '!H$2,Production_Consumption!$AA$83:$AJ$83,0)))*'CA Population'!$L369*10^6</f>
        <v>158.42479691306994</v>
      </c>
      <c r="I369" s="143">
        <f>(INDEX(Production_Consumption!$AA$83:$AJ$99,MATCH('County Scaled Consumption '!$B369,Production_Consumption!$AA$83:$AA$99,0),MATCH('County Scaled Consumption '!I$2,Production_Consumption!$AA$83:$AJ$83,0)))*'CA Population'!$L369*10^6</f>
        <v>2871.9604671822412</v>
      </c>
      <c r="J369" s="143">
        <f>(INDEX(Production_Consumption!$AA$83:$AJ$99,MATCH('County Scaled Consumption '!$B369,Production_Consumption!$AA$83:$AA$99,0),MATCH('County Scaled Consumption '!J$2,Production_Consumption!$AA$83:$AJ$83,0)))*'CA Population'!$L369*10^6</f>
        <v>1985.0350489058724</v>
      </c>
      <c r="K369" s="143">
        <f>(INDEX(Production_Consumption!$AA$83:$AJ$99,MATCH('County Scaled Consumption '!$B369,Production_Consumption!$AA$83:$AA$99,0),MATCH('County Scaled Consumption '!K$2,Production_Consumption!$AA$83:$AJ$83,0)))*'CA Population'!$L369*10^6</f>
        <v>27471.326441881563</v>
      </c>
      <c r="L369" s="131">
        <f t="shared" si="5"/>
        <v>0</v>
      </c>
    </row>
    <row r="370" spans="1:12" x14ac:dyDescent="0.2">
      <c r="A370" s="132" t="s">
        <v>318</v>
      </c>
      <c r="B370" s="129">
        <v>2014</v>
      </c>
      <c r="C370" s="143">
        <f>(INDEX(Production_Consumption!$AA$83:$AJ$99,MATCH('County Scaled Consumption '!$B370,Production_Consumption!$AA$83:$AA$99,0),MATCH('County Scaled Consumption '!C$2,Production_Consumption!$AA$83:$AJ$83,0)))*'CA Population'!$L370*10^6</f>
        <v>222.26094636551193</v>
      </c>
      <c r="D370" s="143">
        <f>(INDEX(Production_Consumption!$AA$83:$AJ$99,MATCH('County Scaled Consumption '!$B370,Production_Consumption!$AA$83:$AA$99,0),MATCH('County Scaled Consumption '!D$2,Production_Consumption!$AA$83:$AJ$83,0)))*'CA Population'!$L370*10^6</f>
        <v>866.91173583051273</v>
      </c>
      <c r="E370" s="143">
        <f>(INDEX(Production_Consumption!$AA$83:$AJ$99,MATCH('County Scaled Consumption '!$B370,Production_Consumption!$AA$83:$AA$99,0),MATCH('County Scaled Consumption '!E$2,Production_Consumption!$AA$83:$AJ$83,0)))*'CA Population'!$L370*10^6</f>
        <v>476.5438303280983</v>
      </c>
      <c r="F370" s="143">
        <f>(INDEX(Production_Consumption!$AA$83:$AJ$99,MATCH('County Scaled Consumption '!$B370,Production_Consumption!$AA$83:$AA$99,0),MATCH('County Scaled Consumption '!F$2,Production_Consumption!$AA$83:$AJ$83,0)))*'CA Population'!$L370*10^6</f>
        <v>152.71524026915338</v>
      </c>
      <c r="G370" s="143">
        <f>(INDEX(Production_Consumption!$AA$83:$AJ$99,MATCH('County Scaled Consumption '!$B370,Production_Consumption!$AA$83:$AA$99,0),MATCH('County Scaled Consumption '!G$2,Production_Consumption!$AA$83:$AJ$83,0)))*'CA Population'!$L370*10^6</f>
        <v>581.92092265816007</v>
      </c>
      <c r="H370" s="143">
        <f>(INDEX(Production_Consumption!$AA$83:$AJ$99,MATCH('County Scaled Consumption '!$B370,Production_Consumption!$AA$83:$AA$99,0),MATCH('County Scaled Consumption '!H$2,Production_Consumption!$AA$83:$AJ$83,0)))*'CA Population'!$L370*10^6</f>
        <v>16.228822090066377</v>
      </c>
      <c r="I370" s="143">
        <f>(INDEX(Production_Consumption!$AA$83:$AJ$99,MATCH('County Scaled Consumption '!$B370,Production_Consumption!$AA$83:$AA$99,0),MATCH('County Scaled Consumption '!I$2,Production_Consumption!$AA$83:$AJ$83,0)))*'CA Population'!$L370*10^6</f>
        <v>294.1997489015518</v>
      </c>
      <c r="J370" s="143">
        <f>(INDEX(Production_Consumption!$AA$83:$AJ$99,MATCH('County Scaled Consumption '!$B370,Production_Consumption!$AA$83:$AA$99,0),MATCH('County Scaled Consumption '!J$2,Production_Consumption!$AA$83:$AJ$83,0)))*'CA Population'!$L370*10^6</f>
        <v>203.34430770276668</v>
      </c>
      <c r="K370" s="143">
        <f>(INDEX(Production_Consumption!$AA$83:$AJ$99,MATCH('County Scaled Consumption '!$B370,Production_Consumption!$AA$83:$AA$99,0),MATCH('County Scaled Consumption '!K$2,Production_Consumption!$AA$83:$AJ$83,0)))*'CA Population'!$L370*10^6</f>
        <v>2814.1255541458208</v>
      </c>
      <c r="L370" s="131">
        <f t="shared" si="5"/>
        <v>0</v>
      </c>
    </row>
    <row r="371" spans="1:12" x14ac:dyDescent="0.2">
      <c r="A371" s="132" t="s">
        <v>319</v>
      </c>
      <c r="B371" s="129">
        <v>2014</v>
      </c>
      <c r="C371" s="143">
        <f>(INDEX(Production_Consumption!$AA$83:$AJ$99,MATCH('County Scaled Consumption '!$B371,Production_Consumption!$AA$83:$AA$99,0),MATCH('County Scaled Consumption '!C$2,Production_Consumption!$AA$83:$AJ$83,0)))*'CA Population'!$L371*10^6</f>
        <v>10396.481752837375</v>
      </c>
      <c r="D371" s="143">
        <f>(INDEX(Production_Consumption!$AA$83:$AJ$99,MATCH('County Scaled Consumption '!$B371,Production_Consumption!$AA$83:$AA$99,0),MATCH('County Scaled Consumption '!D$2,Production_Consumption!$AA$83:$AJ$83,0)))*'CA Population'!$L371*10^6</f>
        <v>40550.677886796824</v>
      </c>
      <c r="E371" s="143">
        <f>(INDEX(Production_Consumption!$AA$83:$AJ$99,MATCH('County Scaled Consumption '!$B371,Production_Consumption!$AA$83:$AA$99,0),MATCH('County Scaled Consumption '!E$2,Production_Consumption!$AA$83:$AJ$83,0)))*'CA Population'!$L371*10^6</f>
        <v>22290.82219548252</v>
      </c>
      <c r="F371" s="143">
        <f>(INDEX(Production_Consumption!$AA$83:$AJ$99,MATCH('County Scaled Consumption '!$B371,Production_Consumption!$AA$83:$AA$99,0),MATCH('County Scaled Consumption '!F$2,Production_Consumption!$AA$83:$AJ$83,0)))*'CA Population'!$L371*10^6</f>
        <v>7143.410638715749</v>
      </c>
      <c r="G371" s="143">
        <f>(INDEX(Production_Consumption!$AA$83:$AJ$99,MATCH('County Scaled Consumption '!$B371,Production_Consumption!$AA$83:$AA$99,0),MATCH('County Scaled Consumption '!G$2,Production_Consumption!$AA$83:$AJ$83,0)))*'CA Population'!$L371*10^6</f>
        <v>27219.942832694665</v>
      </c>
      <c r="H371" s="143">
        <f>(INDEX(Production_Consumption!$AA$83:$AJ$99,MATCH('County Scaled Consumption '!$B371,Production_Consumption!$AA$83:$AA$99,0),MATCH('County Scaled Consumption '!H$2,Production_Consumption!$AA$83:$AJ$83,0)))*'CA Population'!$L371*10^6</f>
        <v>759.1196541202155</v>
      </c>
      <c r="I371" s="143">
        <f>(INDEX(Production_Consumption!$AA$83:$AJ$99,MATCH('County Scaled Consumption '!$B371,Production_Consumption!$AA$83:$AA$99,0),MATCH('County Scaled Consumption '!I$2,Production_Consumption!$AA$83:$AJ$83,0)))*'CA Population'!$L371*10^6</f>
        <v>13761.492386135758</v>
      </c>
      <c r="J371" s="143">
        <f>(INDEX(Production_Consumption!$AA$83:$AJ$99,MATCH('County Scaled Consumption '!$B371,Production_Consumption!$AA$83:$AA$99,0),MATCH('County Scaled Consumption '!J$2,Production_Consumption!$AA$83:$AJ$83,0)))*'CA Population'!$L371*10^6</f>
        <v>9511.6367456590669</v>
      </c>
      <c r="K371" s="143">
        <f>(INDEX(Production_Consumption!$AA$83:$AJ$99,MATCH('County Scaled Consumption '!$B371,Production_Consumption!$AA$83:$AA$99,0),MATCH('County Scaled Consumption '!K$2,Production_Consumption!$AA$83:$AJ$83,0)))*'CA Population'!$L371*10^6</f>
        <v>131633.58409244215</v>
      </c>
      <c r="L371" s="131">
        <f t="shared" si="5"/>
        <v>0</v>
      </c>
    </row>
    <row r="372" spans="1:12" x14ac:dyDescent="0.2">
      <c r="A372" s="132" t="s">
        <v>320</v>
      </c>
      <c r="B372" s="129">
        <v>2014</v>
      </c>
      <c r="C372" s="143">
        <f>(INDEX(Production_Consumption!$AA$83:$AJ$99,MATCH('County Scaled Consumption '!$B372,Production_Consumption!$AA$83:$AA$99,0),MATCH('County Scaled Consumption '!C$2,Production_Consumption!$AA$83:$AJ$83,0)))*'CA Population'!$L372*10^6</f>
        <v>1783.2461551840161</v>
      </c>
      <c r="D372" s="143">
        <f>(INDEX(Production_Consumption!$AA$83:$AJ$99,MATCH('County Scaled Consumption '!$B372,Production_Consumption!$AA$83:$AA$99,0),MATCH('County Scaled Consumption '!D$2,Production_Consumption!$AA$83:$AJ$83,0)))*'CA Population'!$L372*10^6</f>
        <v>6955.4145480033012</v>
      </c>
      <c r="E372" s="143">
        <f>(INDEX(Production_Consumption!$AA$83:$AJ$99,MATCH('County Scaled Consumption '!$B372,Production_Consumption!$AA$83:$AA$99,0),MATCH('County Scaled Consumption '!E$2,Production_Consumption!$AA$83:$AJ$83,0)))*'CA Population'!$L372*10^6</f>
        <v>3823.4110270175083</v>
      </c>
      <c r="F372" s="143">
        <f>(INDEX(Production_Consumption!$AA$83:$AJ$99,MATCH('County Scaled Consumption '!$B372,Production_Consumption!$AA$83:$AA$99,0),MATCH('County Scaled Consumption '!F$2,Production_Consumption!$AA$83:$AJ$83,0)))*'CA Population'!$L372*10^6</f>
        <v>1225.2663794570617</v>
      </c>
      <c r="G372" s="143">
        <f>(INDEX(Production_Consumption!$AA$83:$AJ$99,MATCH('County Scaled Consumption '!$B372,Production_Consumption!$AA$83:$AA$99,0),MATCH('County Scaled Consumption '!G$2,Production_Consumption!$AA$83:$AJ$83,0)))*'CA Population'!$L372*10^6</f>
        <v>4668.8735242077564</v>
      </c>
      <c r="H372" s="143">
        <f>(INDEX(Production_Consumption!$AA$83:$AJ$99,MATCH('County Scaled Consumption '!$B372,Production_Consumption!$AA$83:$AA$99,0),MATCH('County Scaled Consumption '!H$2,Production_Consumption!$AA$83:$AJ$83,0)))*'CA Population'!$L372*10^6</f>
        <v>130.20724094139325</v>
      </c>
      <c r="I372" s="143">
        <f>(INDEX(Production_Consumption!$AA$83:$AJ$99,MATCH('County Scaled Consumption '!$B372,Production_Consumption!$AA$83:$AA$99,0),MATCH('County Scaled Consumption '!I$2,Production_Consumption!$AA$83:$AJ$83,0)))*'CA Population'!$L372*10^6</f>
        <v>2360.4262452029302</v>
      </c>
      <c r="J372" s="143">
        <f>(INDEX(Production_Consumption!$AA$83:$AJ$99,MATCH('County Scaled Consumption '!$B372,Production_Consumption!$AA$83:$AA$99,0),MATCH('County Scaled Consumption '!J$2,Production_Consumption!$AA$83:$AJ$83,0)))*'CA Population'!$L372*10^6</f>
        <v>1631.4739985547931</v>
      </c>
      <c r="K372" s="143">
        <f>(INDEX(Production_Consumption!$AA$83:$AJ$99,MATCH('County Scaled Consumption '!$B372,Production_Consumption!$AA$83:$AA$99,0),MATCH('County Scaled Consumption '!K$2,Production_Consumption!$AA$83:$AJ$83,0)))*'CA Population'!$L372*10^6</f>
        <v>22578.319118568757</v>
      </c>
      <c r="L372" s="131">
        <f t="shared" si="5"/>
        <v>0</v>
      </c>
    </row>
    <row r="373" spans="1:12" x14ac:dyDescent="0.2">
      <c r="A373" s="132" t="s">
        <v>321</v>
      </c>
      <c r="B373" s="129">
        <v>2014</v>
      </c>
      <c r="C373" s="143">
        <f>(INDEX(Production_Consumption!$AA$83:$AJ$99,MATCH('County Scaled Consumption '!$B373,Production_Consumption!$AA$83:$AA$99,0),MATCH('County Scaled Consumption '!C$2,Production_Consumption!$AA$83:$AJ$83,0)))*'CA Population'!$L373*10^6</f>
        <v>774.87428520950061</v>
      </c>
      <c r="D373" s="143">
        <f>(INDEX(Production_Consumption!$AA$83:$AJ$99,MATCH('County Scaled Consumption '!$B373,Production_Consumption!$AA$83:$AA$99,0),MATCH('County Scaled Consumption '!D$2,Production_Consumption!$AA$83:$AJ$83,0)))*'CA Population'!$L373*10^6</f>
        <v>3022.3375839347659</v>
      </c>
      <c r="E373" s="143">
        <f>(INDEX(Production_Consumption!$AA$83:$AJ$99,MATCH('County Scaled Consumption '!$B373,Production_Consumption!$AA$83:$AA$99,0),MATCH('County Scaled Consumption '!E$2,Production_Consumption!$AA$83:$AJ$83,0)))*'CA Population'!$L373*10^6</f>
        <v>1661.3875083984649</v>
      </c>
      <c r="F373" s="143">
        <f>(INDEX(Production_Consumption!$AA$83:$AJ$99,MATCH('County Scaled Consumption '!$B373,Production_Consumption!$AA$83:$AA$99,0),MATCH('County Scaled Consumption '!F$2,Production_Consumption!$AA$83:$AJ$83,0)))*'CA Population'!$L373*10^6</f>
        <v>532.41522894243985</v>
      </c>
      <c r="G373" s="143">
        <f>(INDEX(Production_Consumption!$AA$83:$AJ$99,MATCH('County Scaled Consumption '!$B373,Production_Consumption!$AA$83:$AA$99,0),MATCH('County Scaled Consumption '!G$2,Production_Consumption!$AA$83:$AJ$83,0)))*'CA Population'!$L373*10^6</f>
        <v>2028.766485371013</v>
      </c>
      <c r="H373" s="143">
        <f>(INDEX(Production_Consumption!$AA$83:$AJ$99,MATCH('County Scaled Consumption '!$B373,Production_Consumption!$AA$83:$AA$99,0),MATCH('County Scaled Consumption '!H$2,Production_Consumption!$AA$83:$AJ$83,0)))*'CA Population'!$L373*10^6</f>
        <v>56.578976749932693</v>
      </c>
      <c r="I373" s="143">
        <f>(INDEX(Production_Consumption!$AA$83:$AJ$99,MATCH('County Scaled Consumption '!$B373,Production_Consumption!$AA$83:$AA$99,0),MATCH('County Scaled Consumption '!I$2,Production_Consumption!$AA$83:$AJ$83,0)))*'CA Population'!$L373*10^6</f>
        <v>1025.6764576355556</v>
      </c>
      <c r="J373" s="143">
        <f>(INDEX(Production_Consumption!$AA$83:$AJ$99,MATCH('County Scaled Consumption '!$B373,Production_Consumption!$AA$83:$AA$99,0),MATCH('County Scaled Consumption '!J$2,Production_Consumption!$AA$83:$AJ$83,0)))*'CA Population'!$L373*10^6</f>
        <v>708.92470161393828</v>
      </c>
      <c r="K373" s="143">
        <f>(INDEX(Production_Consumption!$AA$83:$AJ$99,MATCH('County Scaled Consumption '!$B373,Production_Consumption!$AA$83:$AA$99,0),MATCH('County Scaled Consumption '!K$2,Production_Consumption!$AA$83:$AJ$83,0)))*'CA Population'!$L373*10^6</f>
        <v>9810.9612278556087</v>
      </c>
      <c r="L373" s="131">
        <f t="shared" si="5"/>
        <v>0</v>
      </c>
    </row>
    <row r="374" spans="1:12" x14ac:dyDescent="0.2">
      <c r="A374" s="132" t="s">
        <v>322</v>
      </c>
      <c r="B374" s="129">
        <v>2014</v>
      </c>
      <c r="C374" s="143">
        <f>(INDEX(Production_Consumption!$AA$83:$AJ$99,MATCH('County Scaled Consumption '!$B374,Production_Consumption!$AA$83:$AA$99,0),MATCH('County Scaled Consumption '!C$2,Production_Consumption!$AA$83:$AJ$83,0)))*'CA Population'!$L374*10^6</f>
        <v>375.08400506565818</v>
      </c>
      <c r="D374" s="143">
        <f>(INDEX(Production_Consumption!$AA$83:$AJ$99,MATCH('County Scaled Consumption '!$B374,Production_Consumption!$AA$83:$AA$99,0),MATCH('County Scaled Consumption '!D$2,Production_Consumption!$AA$83:$AJ$83,0)))*'CA Population'!$L374*10^6</f>
        <v>1462.9863285968001</v>
      </c>
      <c r="E374" s="143">
        <f>(INDEX(Production_Consumption!$AA$83:$AJ$99,MATCH('County Scaled Consumption '!$B374,Production_Consumption!$AA$83:$AA$99,0),MATCH('County Scaled Consumption '!E$2,Production_Consumption!$AA$83:$AJ$83,0)))*'CA Population'!$L374*10^6</f>
        <v>804.20771796249369</v>
      </c>
      <c r="F374" s="143">
        <f>(INDEX(Production_Consumption!$AA$83:$AJ$99,MATCH('County Scaled Consumption '!$B374,Production_Consumption!$AA$83:$AA$99,0),MATCH('County Scaled Consumption '!F$2,Production_Consumption!$AA$83:$AJ$83,0)))*'CA Population'!$L374*10^6</f>
        <v>257.7197878952548</v>
      </c>
      <c r="G374" s="143">
        <f>(INDEX(Production_Consumption!$AA$83:$AJ$99,MATCH('County Scaled Consumption '!$B374,Production_Consumption!$AA$83:$AA$99,0),MATCH('County Scaled Consumption '!G$2,Production_Consumption!$AA$83:$AJ$83,0)))*'CA Population'!$L374*10^6</f>
        <v>982.04040732904218</v>
      </c>
      <c r="H374" s="143">
        <f>(INDEX(Production_Consumption!$AA$83:$AJ$99,MATCH('County Scaled Consumption '!$B374,Production_Consumption!$AA$83:$AA$99,0),MATCH('County Scaled Consumption '!H$2,Production_Consumption!$AA$83:$AJ$83,0)))*'CA Population'!$L374*10^6</f>
        <v>27.387499633109922</v>
      </c>
      <c r="I374" s="143">
        <f>(INDEX(Production_Consumption!$AA$83:$AJ$99,MATCH('County Scaled Consumption '!$B374,Production_Consumption!$AA$83:$AA$99,0),MATCH('County Scaled Consumption '!I$2,Production_Consumption!$AA$83:$AJ$83,0)))*'CA Population'!$L374*10^6</f>
        <v>496.48677337058206</v>
      </c>
      <c r="J374" s="143">
        <f>(INDEX(Production_Consumption!$AA$83:$AJ$99,MATCH('County Scaled Consumption '!$B374,Production_Consumption!$AA$83:$AA$99,0),MATCH('County Scaled Consumption '!J$2,Production_Consumption!$AA$83:$AJ$83,0)))*'CA Population'!$L374*10^6</f>
        <v>343.16058933281067</v>
      </c>
      <c r="K374" s="143">
        <f>(INDEX(Production_Consumption!$AA$83:$AJ$99,MATCH('County Scaled Consumption '!$B374,Production_Consumption!$AA$83:$AA$99,0),MATCH('County Scaled Consumption '!K$2,Production_Consumption!$AA$83:$AJ$83,0)))*'CA Population'!$L374*10^6</f>
        <v>4749.0731091857515</v>
      </c>
      <c r="L374" s="131">
        <f t="shared" si="5"/>
        <v>0</v>
      </c>
    </row>
    <row r="375" spans="1:12" x14ac:dyDescent="0.2">
      <c r="A375" s="132" t="s">
        <v>323</v>
      </c>
      <c r="B375" s="129">
        <v>2014</v>
      </c>
      <c r="C375" s="143">
        <f>(INDEX(Production_Consumption!$AA$83:$AJ$99,MATCH('County Scaled Consumption '!$B375,Production_Consumption!$AA$83:$AA$99,0),MATCH('County Scaled Consumption '!C$2,Production_Consumption!$AA$83:$AJ$83,0)))*'CA Population'!$L375*10^6</f>
        <v>120354.33230984287</v>
      </c>
      <c r="D375" s="143">
        <f>(INDEX(Production_Consumption!$AA$83:$AJ$99,MATCH('County Scaled Consumption '!$B375,Production_Consumption!$AA$83:$AA$99,0),MATCH('County Scaled Consumption '!D$2,Production_Consumption!$AA$83:$AJ$83,0)))*'CA Population'!$L375*10^6</f>
        <v>469432.82139123516</v>
      </c>
      <c r="E375" s="143">
        <f>(INDEX(Production_Consumption!$AA$83:$AJ$99,MATCH('County Scaled Consumption '!$B375,Production_Consumption!$AA$83:$AA$99,0),MATCH('County Scaled Consumption '!E$2,Production_Consumption!$AA$83:$AJ$83,0)))*'CA Population'!$L375*10^6</f>
        <v>258048.54812951933</v>
      </c>
      <c r="F375" s="143">
        <f>(INDEX(Production_Consumption!$AA$83:$AJ$99,MATCH('County Scaled Consumption '!$B375,Production_Consumption!$AA$83:$AA$99,0),MATCH('County Scaled Consumption '!F$2,Production_Consumption!$AA$83:$AJ$83,0)))*'CA Population'!$L375*10^6</f>
        <v>82695.323117652239</v>
      </c>
      <c r="G375" s="143">
        <f>(INDEX(Production_Consumption!$AA$83:$AJ$99,MATCH('County Scaled Consumption '!$B375,Production_Consumption!$AA$83:$AA$99,0),MATCH('County Scaled Consumption '!G$2,Production_Consumption!$AA$83:$AJ$83,0)))*'CA Population'!$L375*10^6</f>
        <v>315110.25777994306</v>
      </c>
      <c r="H375" s="143">
        <f>(INDEX(Production_Consumption!$AA$83:$AJ$99,MATCH('County Scaled Consumption '!$B375,Production_Consumption!$AA$83:$AA$99,0),MATCH('County Scaled Consumption '!H$2,Production_Consumption!$AA$83:$AJ$83,0)))*'CA Population'!$L375*10^6</f>
        <v>8787.9093415407388</v>
      </c>
      <c r="I375" s="143">
        <f>(INDEX(Production_Consumption!$AA$83:$AJ$99,MATCH('County Scaled Consumption '!$B375,Production_Consumption!$AA$83:$AA$99,0),MATCH('County Scaled Consumption '!I$2,Production_Consumption!$AA$83:$AJ$83,0)))*'CA Population'!$L375*10^6</f>
        <v>159309.20354554904</v>
      </c>
      <c r="J375" s="143">
        <f>(INDEX(Production_Consumption!$AA$83:$AJ$99,MATCH('County Scaled Consumption '!$B375,Production_Consumption!$AA$83:$AA$99,0),MATCH('County Scaled Consumption '!J$2,Production_Consumption!$AA$83:$AJ$83,0)))*'CA Population'!$L375*10^6</f>
        <v>110110.96993318318</v>
      </c>
      <c r="K375" s="143">
        <f>(INDEX(Production_Consumption!$AA$83:$AJ$99,MATCH('County Scaled Consumption '!$B375,Production_Consumption!$AA$83:$AA$99,0),MATCH('County Scaled Consumption '!K$2,Production_Consumption!$AA$83:$AJ$83,0)))*'CA Population'!$L375*10^6</f>
        <v>1523849.3655484654</v>
      </c>
      <c r="L375" s="131">
        <f t="shared" si="5"/>
        <v>0</v>
      </c>
    </row>
    <row r="376" spans="1:12" x14ac:dyDescent="0.2">
      <c r="A376" s="132" t="s">
        <v>324</v>
      </c>
      <c r="B376" s="129">
        <v>2014</v>
      </c>
      <c r="C376" s="143">
        <f>(INDEX(Production_Consumption!$AA$83:$AJ$99,MATCH('County Scaled Consumption '!$B376,Production_Consumption!$AA$83:$AA$99,0),MATCH('County Scaled Consumption '!C$2,Production_Consumption!$AA$83:$AJ$83,0)))*'CA Population'!$L376*10^6</f>
        <v>1827.9658266039289</v>
      </c>
      <c r="D376" s="143">
        <f>(INDEX(Production_Consumption!$AA$83:$AJ$99,MATCH('County Scaled Consumption '!$B376,Production_Consumption!$AA$83:$AA$99,0),MATCH('County Scaled Consumption '!D$2,Production_Consumption!$AA$83:$AJ$83,0)))*'CA Population'!$L376*10^6</f>
        <v>7129.8401887213622</v>
      </c>
      <c r="E376" s="143">
        <f>(INDEX(Production_Consumption!$AA$83:$AJ$99,MATCH('County Scaled Consumption '!$B376,Production_Consumption!$AA$83:$AA$99,0),MATCH('County Scaled Consumption '!E$2,Production_Consumption!$AA$83:$AJ$83,0)))*'CA Population'!$L376*10^6</f>
        <v>3919.2932944960835</v>
      </c>
      <c r="F376" s="143">
        <f>(INDEX(Production_Consumption!$AA$83:$AJ$99,MATCH('County Scaled Consumption '!$B376,Production_Consumption!$AA$83:$AA$99,0),MATCH('County Scaled Consumption '!F$2,Production_Consumption!$AA$83:$AJ$83,0)))*'CA Population'!$L376*10^6</f>
        <v>1255.993214185906</v>
      </c>
      <c r="G376" s="143">
        <f>(INDEX(Production_Consumption!$AA$83:$AJ$99,MATCH('County Scaled Consumption '!$B376,Production_Consumption!$AA$83:$AA$99,0),MATCH('County Scaled Consumption '!G$2,Production_Consumption!$AA$83:$AJ$83,0)))*'CA Population'!$L376*10^6</f>
        <v>4785.9580272623316</v>
      </c>
      <c r="H376" s="143">
        <f>(INDEX(Production_Consumption!$AA$83:$AJ$99,MATCH('County Scaled Consumption '!$B376,Production_Consumption!$AA$83:$AA$99,0),MATCH('County Scaled Consumption '!H$2,Production_Consumption!$AA$83:$AJ$83,0)))*'CA Population'!$L376*10^6</f>
        <v>133.47253609678455</v>
      </c>
      <c r="I376" s="143">
        <f>(INDEX(Production_Consumption!$AA$83:$AJ$99,MATCH('County Scaled Consumption '!$B376,Production_Consumption!$AA$83:$AA$99,0),MATCH('County Scaled Consumption '!I$2,Production_Consumption!$AA$83:$AJ$83,0)))*'CA Population'!$L376*10^6</f>
        <v>2419.6202525975636</v>
      </c>
      <c r="J376" s="143">
        <f>(INDEX(Production_Consumption!$AA$83:$AJ$99,MATCH('County Scaled Consumption '!$B376,Production_Consumption!$AA$83:$AA$99,0),MATCH('County Scaled Consumption '!J$2,Production_Consumption!$AA$83:$AJ$83,0)))*'CA Population'!$L376*10^6</f>
        <v>1672.387576825188</v>
      </c>
      <c r="K376" s="143">
        <f>(INDEX(Production_Consumption!$AA$83:$AJ$99,MATCH('County Scaled Consumption '!$B376,Production_Consumption!$AA$83:$AA$99,0),MATCH('County Scaled Consumption '!K$2,Production_Consumption!$AA$83:$AJ$83,0)))*'CA Population'!$L376*10^6</f>
        <v>23144.530916789146</v>
      </c>
      <c r="L376" s="131">
        <f t="shared" si="5"/>
        <v>0</v>
      </c>
    </row>
    <row r="377" spans="1:12" x14ac:dyDescent="0.2">
      <c r="A377" s="132" t="s">
        <v>325</v>
      </c>
      <c r="B377" s="129">
        <v>2014</v>
      </c>
      <c r="C377" s="143">
        <f>(INDEX(Production_Consumption!$AA$83:$AJ$99,MATCH('County Scaled Consumption '!$B377,Production_Consumption!$AA$83:$AA$99,0),MATCH('County Scaled Consumption '!C$2,Production_Consumption!$AA$83:$AJ$83,0)))*'CA Population'!$L377*10^6</f>
        <v>3116.6565982025991</v>
      </c>
      <c r="D377" s="143">
        <f>(INDEX(Production_Consumption!$AA$83:$AJ$99,MATCH('County Scaled Consumption '!$B377,Production_Consumption!$AA$83:$AA$99,0),MATCH('County Scaled Consumption '!D$2,Production_Consumption!$AA$83:$AJ$83,0)))*'CA Population'!$L377*10^6</f>
        <v>12156.279480121402</v>
      </c>
      <c r="E377" s="143">
        <f>(INDEX(Production_Consumption!$AA$83:$AJ$99,MATCH('County Scaled Consumption '!$B377,Production_Consumption!$AA$83:$AA$99,0),MATCH('County Scaled Consumption '!E$2,Production_Consumption!$AA$83:$AJ$83,0)))*'CA Population'!$L377*10^6</f>
        <v>6682.341173344651</v>
      </c>
      <c r="F377" s="143">
        <f>(INDEX(Production_Consumption!$AA$83:$AJ$99,MATCH('County Scaled Consumption '!$B377,Production_Consumption!$AA$83:$AA$99,0),MATCH('County Scaled Consumption '!F$2,Production_Consumption!$AA$83:$AJ$83,0)))*'CA Population'!$L377*10^6</f>
        <v>2141.4511591623755</v>
      </c>
      <c r="G377" s="143">
        <f>(INDEX(Production_Consumption!$AA$83:$AJ$99,MATCH('County Scaled Consumption '!$B377,Production_Consumption!$AA$83:$AA$99,0),MATCH('County Scaled Consumption '!G$2,Production_Consumption!$AA$83:$AJ$83,0)))*'CA Population'!$L377*10^6</f>
        <v>8159.992625299652</v>
      </c>
      <c r="H377" s="143">
        <f>(INDEX(Production_Consumption!$AA$83:$AJ$99,MATCH('County Scaled Consumption '!$B377,Production_Consumption!$AA$83:$AA$99,0),MATCH('County Scaled Consumption '!H$2,Production_Consumption!$AA$83:$AJ$83,0)))*'CA Population'!$L377*10^6</f>
        <v>227.56883867884886</v>
      </c>
      <c r="I377" s="143">
        <f>(INDEX(Production_Consumption!$AA$83:$AJ$99,MATCH('County Scaled Consumption '!$B377,Production_Consumption!$AA$83:$AA$99,0),MATCH('County Scaled Consumption '!I$2,Production_Consumption!$AA$83:$AJ$83,0)))*'CA Population'!$L377*10^6</f>
        <v>4125.419258746786</v>
      </c>
      <c r="J377" s="143">
        <f>(INDEX(Production_Consumption!$AA$83:$AJ$99,MATCH('County Scaled Consumption '!$B377,Production_Consumption!$AA$83:$AA$99,0),MATCH('County Scaled Consumption '!J$2,Production_Consumption!$AA$83:$AJ$83,0)))*'CA Population'!$L377*10^6</f>
        <v>2851.3978216692531</v>
      </c>
      <c r="K377" s="143">
        <f>(INDEX(Production_Consumption!$AA$83:$AJ$99,MATCH('County Scaled Consumption '!$B377,Production_Consumption!$AA$83:$AA$99,0),MATCH('County Scaled Consumption '!K$2,Production_Consumption!$AA$83:$AJ$83,0)))*'CA Population'!$L377*10^6</f>
        <v>39461.106955225558</v>
      </c>
      <c r="L377" s="131">
        <f t="shared" si="5"/>
        <v>0</v>
      </c>
    </row>
    <row r="378" spans="1:12" x14ac:dyDescent="0.2">
      <c r="A378" s="132" t="s">
        <v>326</v>
      </c>
      <c r="B378" s="129">
        <v>2014</v>
      </c>
      <c r="C378" s="143">
        <f>(INDEX(Production_Consumption!$AA$83:$AJ$99,MATCH('County Scaled Consumption '!$B378,Production_Consumption!$AA$83:$AA$99,0),MATCH('County Scaled Consumption '!C$2,Production_Consumption!$AA$83:$AJ$83,0)))*'CA Population'!$L378*10^6</f>
        <v>217.54418529451976</v>
      </c>
      <c r="D378" s="143">
        <f>(INDEX(Production_Consumption!$AA$83:$AJ$99,MATCH('County Scaled Consumption '!$B378,Production_Consumption!$AA$83:$AA$99,0),MATCH('County Scaled Consumption '!D$2,Production_Consumption!$AA$83:$AJ$83,0)))*'CA Population'!$L378*10^6</f>
        <v>848.51437185624457</v>
      </c>
      <c r="E378" s="143">
        <f>(INDEX(Production_Consumption!$AA$83:$AJ$99,MATCH('County Scaled Consumption '!$B378,Production_Consumption!$AA$83:$AA$99,0),MATCH('County Scaled Consumption '!E$2,Production_Consumption!$AA$83:$AJ$83,0)))*'CA Population'!$L378*10^6</f>
        <v>466.43074737641945</v>
      </c>
      <c r="F378" s="143">
        <f>(INDEX(Production_Consumption!$AA$83:$AJ$99,MATCH('County Scaled Consumption '!$B378,Production_Consumption!$AA$83:$AA$99,0),MATCH('County Scaled Consumption '!F$2,Production_Consumption!$AA$83:$AJ$83,0)))*'CA Population'!$L378*10^6</f>
        <v>149.47435916958233</v>
      </c>
      <c r="G378" s="143">
        <f>(INDEX(Production_Consumption!$AA$83:$AJ$99,MATCH('County Scaled Consumption '!$B378,Production_Consumption!$AA$83:$AA$99,0),MATCH('County Scaled Consumption '!G$2,Production_Consumption!$AA$83:$AJ$83,0)))*'CA Population'!$L378*10^6</f>
        <v>569.57155584733027</v>
      </c>
      <c r="H378" s="143">
        <f>(INDEX(Production_Consumption!$AA$83:$AJ$99,MATCH('County Scaled Consumption '!$B378,Production_Consumption!$AA$83:$AA$99,0),MATCH('County Scaled Consumption '!H$2,Production_Consumption!$AA$83:$AJ$83,0)))*'CA Population'!$L378*10^6</f>
        <v>15.88441846219466</v>
      </c>
      <c r="I378" s="143">
        <f>(INDEX(Production_Consumption!$AA$83:$AJ$99,MATCH('County Scaled Consumption '!$B378,Production_Consumption!$AA$83:$AA$99,0),MATCH('County Scaled Consumption '!I$2,Production_Consumption!$AA$83:$AJ$83,0)))*'CA Population'!$L378*10^6</f>
        <v>287.95632222040888</v>
      </c>
      <c r="J378" s="143">
        <f>(INDEX(Production_Consumption!$AA$83:$AJ$99,MATCH('County Scaled Consumption '!$B378,Production_Consumption!$AA$83:$AA$99,0),MATCH('County Scaled Consumption '!J$2,Production_Consumption!$AA$83:$AJ$83,0)))*'CA Population'!$L378*10^6</f>
        <v>199.02899036850604</v>
      </c>
      <c r="K378" s="143">
        <f>(INDEX(Production_Consumption!$AA$83:$AJ$99,MATCH('County Scaled Consumption '!$B378,Production_Consumption!$AA$83:$AA$99,0),MATCH('County Scaled Consumption '!K$2,Production_Consumption!$AA$83:$AJ$83,0)))*'CA Population'!$L378*10^6</f>
        <v>2754.4049505952057</v>
      </c>
      <c r="L378" s="131">
        <f t="shared" si="5"/>
        <v>0</v>
      </c>
    </row>
    <row r="379" spans="1:12" x14ac:dyDescent="0.2">
      <c r="A379" s="132" t="s">
        <v>327</v>
      </c>
      <c r="B379" s="129">
        <v>2014</v>
      </c>
      <c r="C379" s="143">
        <f>(INDEX(Production_Consumption!$AA$83:$AJ$99,MATCH('County Scaled Consumption '!$B379,Production_Consumption!$AA$83:$AA$99,0),MATCH('County Scaled Consumption '!C$2,Production_Consumption!$AA$83:$AJ$83,0)))*'CA Population'!$L379*10^6</f>
        <v>1051.4914249804717</v>
      </c>
      <c r="D379" s="143">
        <f>(INDEX(Production_Consumption!$AA$83:$AJ$99,MATCH('County Scaled Consumption '!$B379,Production_Consumption!$AA$83:$AA$99,0),MATCH('County Scaled Consumption '!D$2,Production_Consumption!$AA$83:$AJ$83,0)))*'CA Population'!$L379*10^6</f>
        <v>4101.2614737168442</v>
      </c>
      <c r="E379" s="143">
        <f>(INDEX(Production_Consumption!$AA$83:$AJ$99,MATCH('County Scaled Consumption '!$B379,Production_Consumption!$AA$83:$AA$99,0),MATCH('County Scaled Consumption '!E$2,Production_Consumption!$AA$83:$AJ$83,0)))*'CA Population'!$L379*10^6</f>
        <v>2254.4750187165437</v>
      </c>
      <c r="F379" s="143">
        <f>(INDEX(Production_Consumption!$AA$83:$AJ$99,MATCH('County Scaled Consumption '!$B379,Production_Consumption!$AA$83:$AA$99,0),MATCH('County Scaled Consumption '!F$2,Production_Consumption!$AA$83:$AJ$83,0)))*'CA Population'!$L379*10^6</f>
        <v>722.47854709829528</v>
      </c>
      <c r="G379" s="143">
        <f>(INDEX(Production_Consumption!$AA$83:$AJ$99,MATCH('County Scaled Consumption '!$B379,Production_Consumption!$AA$83:$AA$99,0),MATCH('County Scaled Consumption '!G$2,Production_Consumption!$AA$83:$AJ$83,0)))*'CA Population'!$L379*10^6</f>
        <v>2753.0021364415697</v>
      </c>
      <c r="H379" s="143">
        <f>(INDEX(Production_Consumption!$AA$83:$AJ$99,MATCH('County Scaled Consumption '!$B379,Production_Consumption!$AA$83:$AA$99,0),MATCH('County Scaled Consumption '!H$2,Production_Consumption!$AA$83:$AJ$83,0)))*'CA Population'!$L379*10^6</f>
        <v>76.77672368575108</v>
      </c>
      <c r="I379" s="143">
        <f>(INDEX(Production_Consumption!$AA$83:$AJ$99,MATCH('County Scaled Consumption '!$B379,Production_Consumption!$AA$83:$AA$99,0),MATCH('County Scaled Consumption '!I$2,Production_Consumption!$AA$83:$AJ$83,0)))*'CA Population'!$L379*10^6</f>
        <v>1391.8257717334684</v>
      </c>
      <c r="J379" s="143">
        <f>(INDEX(Production_Consumption!$AA$83:$AJ$99,MATCH('County Scaled Consumption '!$B379,Production_Consumption!$AA$83:$AA$99,0),MATCH('County Scaled Consumption '!J$2,Production_Consumption!$AA$83:$AJ$83,0)))*'CA Population'!$L379*10^6</f>
        <v>961.99894477380451</v>
      </c>
      <c r="K379" s="143">
        <f>(INDEX(Production_Consumption!$AA$83:$AJ$99,MATCH('County Scaled Consumption '!$B379,Production_Consumption!$AA$83:$AA$99,0),MATCH('County Scaled Consumption '!K$2,Production_Consumption!$AA$83:$AJ$83,0)))*'CA Population'!$L379*10^6</f>
        <v>13313.310041146748</v>
      </c>
      <c r="L379" s="131">
        <f t="shared" si="5"/>
        <v>0</v>
      </c>
    </row>
    <row r="380" spans="1:12" x14ac:dyDescent="0.2">
      <c r="A380" s="132" t="s">
        <v>328</v>
      </c>
      <c r="B380" s="129">
        <v>2014</v>
      </c>
      <c r="C380" s="143">
        <f>(INDEX(Production_Consumption!$AA$83:$AJ$99,MATCH('County Scaled Consumption '!$B380,Production_Consumption!$AA$83:$AA$99,0),MATCH('County Scaled Consumption '!C$2,Production_Consumption!$AA$83:$AJ$83,0)))*'CA Population'!$L380*10^6</f>
        <v>3174.5354359522171</v>
      </c>
      <c r="D380" s="143">
        <f>(INDEX(Production_Consumption!$AA$83:$AJ$99,MATCH('County Scaled Consumption '!$B380,Production_Consumption!$AA$83:$AA$99,0),MATCH('County Scaled Consumption '!D$2,Production_Consumption!$AA$83:$AJ$83,0)))*'CA Population'!$L380*10^6</f>
        <v>12382.031437547423</v>
      </c>
      <c r="E380" s="143">
        <f>(INDEX(Production_Consumption!$AA$83:$AJ$99,MATCH('County Scaled Consumption '!$B380,Production_Consumption!$AA$83:$AA$99,0),MATCH('County Scaled Consumption '!E$2,Production_Consumption!$AA$83:$AJ$83,0)))*'CA Population'!$L380*10^6</f>
        <v>6806.4376621213278</v>
      </c>
      <c r="F380" s="143">
        <f>(INDEX(Production_Consumption!$AA$83:$AJ$99,MATCH('County Scaled Consumption '!$B380,Production_Consumption!$AA$83:$AA$99,0),MATCH('County Scaled Consumption '!F$2,Production_Consumption!$AA$83:$AJ$83,0)))*'CA Population'!$L380*10^6</f>
        <v>2181.2196419209095</v>
      </c>
      <c r="G380" s="143">
        <f>(INDEX(Production_Consumption!$AA$83:$AJ$99,MATCH('County Scaled Consumption '!$B380,Production_Consumption!$AA$83:$AA$99,0),MATCH('County Scaled Consumption '!G$2,Production_Consumption!$AA$83:$AJ$83,0)))*'CA Population'!$L380*10^6</f>
        <v>8311.5302985454528</v>
      </c>
      <c r="H380" s="143">
        <f>(INDEX(Production_Consumption!$AA$83:$AJ$99,MATCH('County Scaled Consumption '!$B380,Production_Consumption!$AA$83:$AA$99,0),MATCH('County Scaled Consumption '!H$2,Production_Consumption!$AA$83:$AJ$83,0)))*'CA Population'!$L380*10^6</f>
        <v>231.79497636060637</v>
      </c>
      <c r="I380" s="143">
        <f>(INDEX(Production_Consumption!$AA$83:$AJ$99,MATCH('County Scaled Consumption '!$B380,Production_Consumption!$AA$83:$AA$99,0),MATCH('County Scaled Consumption '!I$2,Production_Consumption!$AA$83:$AJ$83,0)))*'CA Population'!$L380*10^6</f>
        <v>4202.0316362746325</v>
      </c>
      <c r="J380" s="143">
        <f>(INDEX(Production_Consumption!$AA$83:$AJ$99,MATCH('County Scaled Consumption '!$B380,Production_Consumption!$AA$83:$AA$99,0),MATCH('County Scaled Consumption '!J$2,Production_Consumption!$AA$83:$AJ$83,0)))*'CA Population'!$L380*10^6</f>
        <v>2904.3505890595347</v>
      </c>
      <c r="K380" s="143">
        <f>(INDEX(Production_Consumption!$AA$83:$AJ$99,MATCH('County Scaled Consumption '!$B380,Production_Consumption!$AA$83:$AA$99,0),MATCH('County Scaled Consumption '!K$2,Production_Consumption!$AA$83:$AJ$83,0)))*'CA Population'!$L380*10^6</f>
        <v>40193.9316777821</v>
      </c>
      <c r="L380" s="131">
        <f t="shared" si="5"/>
        <v>0</v>
      </c>
    </row>
    <row r="381" spans="1:12" x14ac:dyDescent="0.2">
      <c r="A381" s="132" t="s">
        <v>329</v>
      </c>
      <c r="B381" s="129">
        <v>2014</v>
      </c>
      <c r="C381" s="143">
        <f>(INDEX(Production_Consumption!$AA$83:$AJ$99,MATCH('County Scaled Consumption '!$B381,Production_Consumption!$AA$83:$AA$99,0),MATCH('County Scaled Consumption '!C$2,Production_Consumption!$AA$83:$AJ$83,0)))*'CA Population'!$L381*10^6</f>
        <v>115.06508779767222</v>
      </c>
      <c r="D381" s="143">
        <f>(INDEX(Production_Consumption!$AA$83:$AJ$99,MATCH('County Scaled Consumption '!$B381,Production_Consumption!$AA$83:$AA$99,0),MATCH('County Scaled Consumption '!D$2,Production_Consumption!$AA$83:$AJ$83,0)))*'CA Population'!$L381*10^6</f>
        <v>448.80252976214587</v>
      </c>
      <c r="E381" s="143">
        <f>(INDEX(Production_Consumption!$AA$83:$AJ$99,MATCH('County Scaled Consumption '!$B381,Production_Consumption!$AA$83:$AA$99,0),MATCH('County Scaled Consumption '!E$2,Production_Consumption!$AA$83:$AJ$83,0)))*'CA Population'!$L381*10^6</f>
        <v>246.70801853766483</v>
      </c>
      <c r="F381" s="143">
        <f>(INDEX(Production_Consumption!$AA$83:$AJ$99,MATCH('County Scaled Consumption '!$B381,Production_Consumption!$AA$83:$AA$99,0),MATCH('County Scaled Consumption '!F$2,Production_Consumption!$AA$83:$AJ$83,0)))*'CA Population'!$L381*10^6</f>
        <v>79.061089304978353</v>
      </c>
      <c r="G381" s="143">
        <f>(INDEX(Production_Consumption!$AA$83:$AJ$99,MATCH('County Scaled Consumption '!$B381,Production_Consumption!$AA$83:$AA$99,0),MATCH('County Scaled Consumption '!G$2,Production_Consumption!$AA$83:$AJ$83,0)))*'CA Population'!$L381*10^6</f>
        <v>301.26202174469614</v>
      </c>
      <c r="H381" s="143">
        <f>(INDEX(Production_Consumption!$AA$83:$AJ$99,MATCH('County Scaled Consumption '!$B381,Production_Consumption!$AA$83:$AA$99,0),MATCH('County Scaled Consumption '!H$2,Production_Consumption!$AA$83:$AJ$83,0)))*'CA Population'!$L381*10^6</f>
        <v>8.4017047042325057</v>
      </c>
      <c r="I381" s="143">
        <f>(INDEX(Production_Consumption!$AA$83:$AJ$99,MATCH('County Scaled Consumption '!$B381,Production_Consumption!$AA$83:$AA$99,0),MATCH('County Scaled Consumption '!I$2,Production_Consumption!$AA$83:$AJ$83,0)))*'CA Population'!$L381*10^6</f>
        <v>152.30799873289388</v>
      </c>
      <c r="J381" s="143">
        <f>(INDEX(Production_Consumption!$AA$83:$AJ$99,MATCH('County Scaled Consumption '!$B381,Production_Consumption!$AA$83:$AA$99,0),MATCH('County Scaled Consumption '!J$2,Production_Consumption!$AA$83:$AJ$83,0)))*'CA Population'!$L381*10^6</f>
        <v>105.27189324793746</v>
      </c>
      <c r="K381" s="143">
        <f>(INDEX(Production_Consumption!$AA$83:$AJ$99,MATCH('County Scaled Consumption '!$B381,Production_Consumption!$AA$83:$AA$99,0),MATCH('County Scaled Consumption '!K$2,Production_Consumption!$AA$83:$AJ$83,0)))*'CA Population'!$L381*10^6</f>
        <v>1456.8803438322211</v>
      </c>
      <c r="L381" s="131">
        <f t="shared" si="5"/>
        <v>0</v>
      </c>
    </row>
    <row r="382" spans="1:12" x14ac:dyDescent="0.2">
      <c r="A382" s="132" t="s">
        <v>330</v>
      </c>
      <c r="B382" s="129">
        <v>2014</v>
      </c>
      <c r="C382" s="143">
        <f>(INDEX(Production_Consumption!$AA$83:$AJ$99,MATCH('County Scaled Consumption '!$B382,Production_Consumption!$AA$83:$AA$99,0),MATCH('County Scaled Consumption '!C$2,Production_Consumption!$AA$83:$AJ$83,0)))*'CA Population'!$L382*10^6</f>
        <v>164.85975530662751</v>
      </c>
      <c r="D382" s="143">
        <f>(INDEX(Production_Consumption!$AA$83:$AJ$99,MATCH('County Scaled Consumption '!$B382,Production_Consumption!$AA$83:$AA$99,0),MATCH('County Scaled Consumption '!D$2,Production_Consumption!$AA$83:$AJ$83,0)))*'CA Population'!$L382*10^6</f>
        <v>643.02280260441944</v>
      </c>
      <c r="E382" s="143">
        <f>(INDEX(Production_Consumption!$AA$83:$AJ$99,MATCH('County Scaled Consumption '!$B382,Production_Consumption!$AA$83:$AA$99,0),MATCH('County Scaled Consumption '!E$2,Production_Consumption!$AA$83:$AJ$83,0)))*'CA Population'!$L382*10^6</f>
        <v>353.47145121741391</v>
      </c>
      <c r="F382" s="143">
        <f>(INDEX(Production_Consumption!$AA$83:$AJ$99,MATCH('County Scaled Consumption '!$B382,Production_Consumption!$AA$83:$AA$99,0),MATCH('County Scaled Consumption '!F$2,Production_Consumption!$AA$83:$AJ$83,0)))*'CA Population'!$L382*10^6</f>
        <v>113.27494800171556</v>
      </c>
      <c r="G382" s="143">
        <f>(INDEX(Production_Consumption!$AA$83:$AJ$99,MATCH('County Scaled Consumption '!$B382,Production_Consumption!$AA$83:$AA$99,0),MATCH('County Scaled Consumption '!G$2,Production_Consumption!$AA$83:$AJ$83,0)))*'CA Population'!$L382*10^6</f>
        <v>431.6338182033287</v>
      </c>
      <c r="H382" s="143">
        <f>(INDEX(Production_Consumption!$AA$83:$AJ$99,MATCH('County Scaled Consumption '!$B382,Production_Consumption!$AA$83:$AA$99,0),MATCH('County Scaled Consumption '!H$2,Production_Consumption!$AA$83:$AJ$83,0)))*'CA Population'!$L382*10^6</f>
        <v>12.037560725055412</v>
      </c>
      <c r="I382" s="143">
        <f>(INDEX(Production_Consumption!$AA$83:$AJ$99,MATCH('County Scaled Consumption '!$B382,Production_Consumption!$AA$83:$AA$99,0),MATCH('County Scaled Consumption '!I$2,Production_Consumption!$AA$83:$AJ$83,0)))*'CA Population'!$L382*10^6</f>
        <v>218.2196171135671</v>
      </c>
      <c r="J382" s="143">
        <f>(INDEX(Production_Consumption!$AA$83:$AJ$99,MATCH('County Scaled Consumption '!$B382,Production_Consumption!$AA$83:$AA$99,0),MATCH('County Scaled Consumption '!J$2,Production_Consumption!$AA$83:$AJ$83,0)))*'CA Population'!$L382*10^6</f>
        <v>150.82853447291663</v>
      </c>
      <c r="K382" s="143">
        <f>(INDEX(Production_Consumption!$AA$83:$AJ$99,MATCH('County Scaled Consumption '!$B382,Production_Consumption!$AA$83:$AA$99,0),MATCH('County Scaled Consumption '!K$2,Production_Consumption!$AA$83:$AJ$83,0)))*'CA Population'!$L382*10^6</f>
        <v>2087.3484876450443</v>
      </c>
      <c r="L382" s="131">
        <f t="shared" si="5"/>
        <v>0</v>
      </c>
    </row>
    <row r="383" spans="1:12" x14ac:dyDescent="0.2">
      <c r="A383" s="132" t="s">
        <v>331</v>
      </c>
      <c r="B383" s="129">
        <v>2014</v>
      </c>
      <c r="C383" s="143">
        <f>(INDEX(Production_Consumption!$AA$83:$AJ$99,MATCH('County Scaled Consumption '!$B383,Production_Consumption!$AA$83:$AA$99,0),MATCH('County Scaled Consumption '!C$2,Production_Consumption!$AA$83:$AJ$83,0)))*'CA Population'!$L383*10^6</f>
        <v>5107.6312991865643</v>
      </c>
      <c r="D383" s="143">
        <f>(INDEX(Production_Consumption!$AA$83:$AJ$99,MATCH('County Scaled Consumption '!$B383,Production_Consumption!$AA$83:$AA$99,0),MATCH('County Scaled Consumption '!D$2,Production_Consumption!$AA$83:$AJ$83,0)))*'CA Population'!$L383*10^6</f>
        <v>19921.92325267247</v>
      </c>
      <c r="E383" s="143">
        <f>(INDEX(Production_Consumption!$AA$83:$AJ$99,MATCH('County Scaled Consumption '!$B383,Production_Consumption!$AA$83:$AA$99,0),MATCH('County Scaled Consumption '!E$2,Production_Consumption!$AA$83:$AJ$83,0)))*'CA Population'!$L383*10^6</f>
        <v>10951.137494102428</v>
      </c>
      <c r="F383" s="143">
        <f>(INDEX(Production_Consumption!$AA$83:$AJ$99,MATCH('County Scaled Consumption '!$B383,Production_Consumption!$AA$83:$AA$99,0),MATCH('County Scaled Consumption '!F$2,Production_Consumption!$AA$83:$AJ$83,0)))*'CA Population'!$L383*10^6</f>
        <v>3509.4475831970012</v>
      </c>
      <c r="G383" s="143">
        <f>(INDEX(Production_Consumption!$AA$83:$AJ$99,MATCH('County Scaled Consumption '!$B383,Production_Consumption!$AA$83:$AA$99,0),MATCH('County Scaled Consumption '!G$2,Production_Consumption!$AA$83:$AJ$83,0)))*'CA Population'!$L383*10^6</f>
        <v>13372.738516700305</v>
      </c>
      <c r="H383" s="143">
        <f>(INDEX(Production_Consumption!$AA$83:$AJ$99,MATCH('County Scaled Consumption '!$B383,Production_Consumption!$AA$83:$AA$99,0),MATCH('County Scaled Consumption '!H$2,Production_Consumption!$AA$83:$AJ$83,0)))*'CA Population'!$L383*10^6</f>
        <v>372.94378977329615</v>
      </c>
      <c r="I383" s="143">
        <f>(INDEX(Production_Consumption!$AA$83:$AJ$99,MATCH('County Scaled Consumption '!$B383,Production_Consumption!$AA$83:$AA$99,0),MATCH('County Scaled Consumption '!I$2,Production_Consumption!$AA$83:$AJ$83,0)))*'CA Population'!$L383*10^6</f>
        <v>6760.8091762159493</v>
      </c>
      <c r="J383" s="143">
        <f>(INDEX(Production_Consumption!$AA$83:$AJ$99,MATCH('County Scaled Consumption '!$B383,Production_Consumption!$AA$83:$AA$99,0),MATCH('County Scaled Consumption '!J$2,Production_Consumption!$AA$83:$AJ$83,0)))*'CA Population'!$L383*10^6</f>
        <v>4672.9205805956854</v>
      </c>
      <c r="K383" s="143">
        <f>(INDEX(Production_Consumption!$AA$83:$AJ$99,MATCH('County Scaled Consumption '!$B383,Production_Consumption!$AA$83:$AA$99,0),MATCH('County Scaled Consumption '!K$2,Production_Consumption!$AA$83:$AJ$83,0)))*'CA Population'!$L383*10^6</f>
        <v>64669.551692443689</v>
      </c>
      <c r="L383" s="131">
        <f t="shared" si="5"/>
        <v>0</v>
      </c>
    </row>
    <row r="384" spans="1:12" x14ac:dyDescent="0.2">
      <c r="A384" s="132" t="s">
        <v>332</v>
      </c>
      <c r="B384" s="129">
        <v>2014</v>
      </c>
      <c r="C384" s="143">
        <f>(INDEX(Production_Consumption!$AA$83:$AJ$99,MATCH('County Scaled Consumption '!$B384,Production_Consumption!$AA$83:$AA$99,0),MATCH('County Scaled Consumption '!C$2,Production_Consumption!$AA$83:$AJ$83,0)))*'CA Population'!$L384*10^6</f>
        <v>1676.3249434633478</v>
      </c>
      <c r="D384" s="143">
        <f>(INDEX(Production_Consumption!$AA$83:$AJ$99,MATCH('County Scaled Consumption '!$B384,Production_Consumption!$AA$83:$AA$99,0),MATCH('County Scaled Consumption '!D$2,Production_Consumption!$AA$83:$AJ$83,0)))*'CA Population'!$L384*10^6</f>
        <v>6538.376580849892</v>
      </c>
      <c r="E384" s="143">
        <f>(INDEX(Production_Consumption!$AA$83:$AJ$99,MATCH('County Scaled Consumption '!$B384,Production_Consumption!$AA$83:$AA$99,0),MATCH('County Scaled Consumption '!E$2,Production_Consumption!$AA$83:$AJ$83,0)))*'CA Population'!$L384*10^6</f>
        <v>3594.1640782850209</v>
      </c>
      <c r="F384" s="143">
        <f>(INDEX(Production_Consumption!$AA$83:$AJ$99,MATCH('County Scaled Consumption '!$B384,Production_Consumption!$AA$83:$AA$99,0),MATCH('County Scaled Consumption '!F$2,Production_Consumption!$AA$83:$AJ$83,0)))*'CA Population'!$L384*10^6</f>
        <v>1151.8009380252668</v>
      </c>
      <c r="G384" s="143">
        <f>(INDEX(Production_Consumption!$AA$83:$AJ$99,MATCH('County Scaled Consumption '!$B384,Production_Consumption!$AA$83:$AA$99,0),MATCH('County Scaled Consumption '!G$2,Production_Consumption!$AA$83:$AJ$83,0)))*'CA Population'!$L384*10^6</f>
        <v>4388.9337003491009</v>
      </c>
      <c r="H384" s="143">
        <f>(INDEX(Production_Consumption!$AA$83:$AJ$99,MATCH('County Scaled Consumption '!$B384,Production_Consumption!$AA$83:$AA$99,0),MATCH('County Scaled Consumption '!H$2,Production_Consumption!$AA$83:$AJ$83,0)))*'CA Population'!$L384*10^6</f>
        <v>122.40017743768861</v>
      </c>
      <c r="I384" s="143">
        <f>(INDEX(Production_Consumption!$AA$83:$AJ$99,MATCH('County Scaled Consumption '!$B384,Production_Consumption!$AA$83:$AA$99,0),MATCH('County Scaled Consumption '!I$2,Production_Consumption!$AA$83:$AJ$83,0)))*'CA Population'!$L384*10^6</f>
        <v>2218.8980363346936</v>
      </c>
      <c r="J384" s="143">
        <f>(INDEX(Production_Consumption!$AA$83:$AJ$99,MATCH('County Scaled Consumption '!$B384,Production_Consumption!$AA$83:$AA$99,0),MATCH('County Scaled Consumption '!J$2,Production_Consumption!$AA$83:$AJ$83,0)))*'CA Population'!$L384*10^6</f>
        <v>1533.6528557422121</v>
      </c>
      <c r="K384" s="143">
        <f>(INDEX(Production_Consumption!$AA$83:$AJ$99,MATCH('County Scaled Consumption '!$B384,Production_Consumption!$AA$83:$AA$99,0),MATCH('County Scaled Consumption '!K$2,Production_Consumption!$AA$83:$AJ$83,0)))*'CA Population'!$L384*10^6</f>
        <v>21224.551310487219</v>
      </c>
      <c r="L384" s="131">
        <f t="shared" si="5"/>
        <v>0</v>
      </c>
    </row>
    <row r="385" spans="1:12" x14ac:dyDescent="0.2">
      <c r="A385" s="132" t="s">
        <v>333</v>
      </c>
      <c r="B385" s="129">
        <v>2014</v>
      </c>
      <c r="C385" s="143">
        <f>(INDEX(Production_Consumption!$AA$83:$AJ$99,MATCH('County Scaled Consumption '!$B385,Production_Consumption!$AA$83:$AA$99,0),MATCH('County Scaled Consumption '!C$2,Production_Consumption!$AA$83:$AJ$83,0)))*'CA Population'!$L385*10^6</f>
        <v>1167.416276821464</v>
      </c>
      <c r="D385" s="143">
        <f>(INDEX(Production_Consumption!$AA$83:$AJ$99,MATCH('County Scaled Consumption '!$B385,Production_Consumption!$AA$83:$AA$99,0),MATCH('County Scaled Consumption '!D$2,Production_Consumption!$AA$83:$AJ$83,0)))*'CA Population'!$L385*10^6</f>
        <v>4553.4174470388571</v>
      </c>
      <c r="E385" s="143">
        <f>(INDEX(Production_Consumption!$AA$83:$AJ$99,MATCH('County Scaled Consumption '!$B385,Production_Consumption!$AA$83:$AA$99,0),MATCH('County Scaled Consumption '!E$2,Production_Consumption!$AA$83:$AJ$83,0)))*'CA Population'!$L385*10^6</f>
        <v>2503.0264346529952</v>
      </c>
      <c r="F385" s="143">
        <f>(INDEX(Production_Consumption!$AA$83:$AJ$99,MATCH('County Scaled Consumption '!$B385,Production_Consumption!$AA$83:$AA$99,0),MATCH('County Scaled Consumption '!F$2,Production_Consumption!$AA$83:$AJ$83,0)))*'CA Population'!$L385*10^6</f>
        <v>802.13037928724611</v>
      </c>
      <c r="G385" s="143">
        <f>(INDEX(Production_Consumption!$AA$83:$AJ$99,MATCH('County Scaled Consumption '!$B385,Production_Consumption!$AA$83:$AA$99,0),MATCH('County Scaled Consumption '!G$2,Production_Consumption!$AA$83:$AJ$83,0)))*'CA Population'!$L385*10^6</f>
        <v>3056.5151820100123</v>
      </c>
      <c r="H385" s="143">
        <f>(INDEX(Production_Consumption!$AA$83:$AJ$99,MATCH('County Scaled Consumption '!$B385,Production_Consumption!$AA$83:$AA$99,0),MATCH('County Scaled Consumption '!H$2,Production_Consumption!$AA$83:$AJ$83,0)))*'CA Population'!$L385*10^6</f>
        <v>85.241205760127286</v>
      </c>
      <c r="I385" s="143">
        <f>(INDEX(Production_Consumption!$AA$83:$AJ$99,MATCH('County Scaled Consumption '!$B385,Production_Consumption!$AA$83:$AA$99,0),MATCH('County Scaled Consumption '!I$2,Production_Consumption!$AA$83:$AJ$83,0)))*'CA Population'!$L385*10^6</f>
        <v>1545.2718127981148</v>
      </c>
      <c r="J385" s="143">
        <f>(INDEX(Production_Consumption!$AA$83:$AJ$99,MATCH('County Scaled Consumption '!$B385,Production_Consumption!$AA$83:$AA$99,0),MATCH('County Scaled Consumption '!J$2,Production_Consumption!$AA$83:$AJ$83,0)))*'CA Population'!$L385*10^6</f>
        <v>1068.0574275105187</v>
      </c>
      <c r="K385" s="143">
        <f>(INDEX(Production_Consumption!$AA$83:$AJ$99,MATCH('County Scaled Consumption '!$B385,Production_Consumption!$AA$83:$AA$99,0),MATCH('County Scaled Consumption '!K$2,Production_Consumption!$AA$83:$AJ$83,0)))*'CA Population'!$L385*10^6</f>
        <v>14781.076165879333</v>
      </c>
      <c r="L385" s="131">
        <f t="shared" si="5"/>
        <v>0</v>
      </c>
    </row>
    <row r="386" spans="1:12" x14ac:dyDescent="0.2">
      <c r="A386" s="132" t="s">
        <v>334</v>
      </c>
      <c r="B386" s="129">
        <v>2014</v>
      </c>
      <c r="C386" s="143">
        <f>(INDEX(Production_Consumption!$AA$83:$AJ$99,MATCH('County Scaled Consumption '!$B386,Production_Consumption!$AA$83:$AA$99,0),MATCH('County Scaled Consumption '!C$2,Production_Consumption!$AA$83:$AJ$83,0)))*'CA Population'!$L386*10^6</f>
        <v>37291.811614652761</v>
      </c>
      <c r="D386" s="143">
        <f>(INDEX(Production_Consumption!$AA$83:$AJ$99,MATCH('County Scaled Consumption '!$B386,Production_Consumption!$AA$83:$AA$99,0),MATCH('County Scaled Consumption '!D$2,Production_Consumption!$AA$83:$AJ$83,0)))*'CA Population'!$L386*10^6</f>
        <v>145453.84453622359</v>
      </c>
      <c r="E386" s="143">
        <f>(INDEX(Production_Consumption!$AA$83:$AJ$99,MATCH('County Scaled Consumption '!$B386,Production_Consumption!$AA$83:$AA$99,0),MATCH('County Scaled Consumption '!E$2,Production_Consumption!$AA$83:$AJ$83,0)))*'CA Population'!$L386*10^6</f>
        <v>79956.389268204934</v>
      </c>
      <c r="F386" s="143">
        <f>(INDEX(Production_Consumption!$AA$83:$AJ$99,MATCH('County Scaled Consumption '!$B386,Production_Consumption!$AA$83:$AA$99,0),MATCH('County Scaled Consumption '!F$2,Production_Consumption!$AA$83:$AJ$83,0)))*'CA Population'!$L386*10^6</f>
        <v>25623.160811338083</v>
      </c>
      <c r="G386" s="143">
        <f>(INDEX(Production_Consumption!$AA$83:$AJ$99,MATCH('County Scaled Consumption '!$B386,Production_Consumption!$AA$83:$AA$99,0),MATCH('County Scaled Consumption '!G$2,Production_Consumption!$AA$83:$AJ$83,0)))*'CA Population'!$L386*10^6</f>
        <v>97636.970314638835</v>
      </c>
      <c r="H386" s="143">
        <f>(INDEX(Production_Consumption!$AA$83:$AJ$99,MATCH('County Scaled Consumption '!$B386,Production_Consumption!$AA$83:$AA$99,0),MATCH('County Scaled Consumption '!H$2,Production_Consumption!$AA$83:$AJ$83,0)))*'CA Population'!$L386*10^6</f>
        <v>2722.93529748229</v>
      </c>
      <c r="I386" s="143">
        <f>(INDEX(Production_Consumption!$AA$83:$AJ$99,MATCH('County Scaled Consumption '!$B386,Production_Consumption!$AA$83:$AA$99,0),MATCH('County Scaled Consumption '!I$2,Production_Consumption!$AA$83:$AJ$83,0)))*'CA Population'!$L386*10^6</f>
        <v>49361.98550631752</v>
      </c>
      <c r="J386" s="143">
        <f>(INDEX(Production_Consumption!$AA$83:$AJ$99,MATCH('County Scaled Consumption '!$B386,Production_Consumption!$AA$83:$AA$99,0),MATCH('County Scaled Consumption '!J$2,Production_Consumption!$AA$83:$AJ$83,0)))*'CA Population'!$L386*10^6</f>
        <v>34117.903931233413</v>
      </c>
      <c r="K386" s="143">
        <f>(INDEX(Production_Consumption!$AA$83:$AJ$99,MATCH('County Scaled Consumption '!$B386,Production_Consumption!$AA$83:$AA$99,0),MATCH('County Scaled Consumption '!K$2,Production_Consumption!$AA$83:$AJ$83,0)))*'CA Population'!$L386*10^6</f>
        <v>472165.00128009141</v>
      </c>
      <c r="L386" s="131">
        <f t="shared" si="5"/>
        <v>0</v>
      </c>
    </row>
    <row r="387" spans="1:12" x14ac:dyDescent="0.2">
      <c r="A387" s="132" t="s">
        <v>335</v>
      </c>
      <c r="B387" s="129">
        <v>2014</v>
      </c>
      <c r="C387" s="143">
        <f>(INDEX(Production_Consumption!$AA$83:$AJ$99,MATCH('County Scaled Consumption '!$B387,Production_Consumption!$AA$83:$AA$99,0),MATCH('County Scaled Consumption '!C$2,Production_Consumption!$AA$83:$AJ$83,0)))*'CA Population'!$L387*10^6</f>
        <v>4395.0540836159644</v>
      </c>
      <c r="D387" s="143">
        <f>(INDEX(Production_Consumption!$AA$83:$AJ$99,MATCH('County Scaled Consumption '!$B387,Production_Consumption!$AA$83:$AA$99,0),MATCH('County Scaled Consumption '!D$2,Production_Consumption!$AA$83:$AJ$83,0)))*'CA Population'!$L387*10^6</f>
        <v>17142.570600013038</v>
      </c>
      <c r="E387" s="143">
        <f>(INDEX(Production_Consumption!$AA$83:$AJ$99,MATCH('County Scaled Consumption '!$B387,Production_Consumption!$AA$83:$AA$99,0),MATCH('County Scaled Consumption '!E$2,Production_Consumption!$AA$83:$AJ$83,0)))*'CA Population'!$L387*10^6</f>
        <v>9423.319488891073</v>
      </c>
      <c r="F387" s="143">
        <f>(INDEX(Production_Consumption!$AA$83:$AJ$99,MATCH('County Scaled Consumption '!$B387,Production_Consumption!$AA$83:$AA$99,0),MATCH('County Scaled Consumption '!F$2,Production_Consumption!$AA$83:$AJ$83,0)))*'CA Population'!$L387*10^6</f>
        <v>3019.8365990557309</v>
      </c>
      <c r="G387" s="143">
        <f>(INDEX(Production_Consumption!$AA$83:$AJ$99,MATCH('County Scaled Consumption '!$B387,Production_Consumption!$AA$83:$AA$99,0),MATCH('County Scaled Consumption '!G$2,Production_Consumption!$AA$83:$AJ$83,0)))*'CA Population'!$L387*10^6</f>
        <v>11507.077465891565</v>
      </c>
      <c r="H387" s="143">
        <f>(INDEX(Production_Consumption!$AA$83:$AJ$99,MATCH('County Scaled Consumption '!$B387,Production_Consumption!$AA$83:$AA$99,0),MATCH('County Scaled Consumption '!H$2,Production_Consumption!$AA$83:$AJ$83,0)))*'CA Population'!$L387*10^6</f>
        <v>320.91355663502611</v>
      </c>
      <c r="I387" s="143">
        <f>(INDEX(Production_Consumption!$AA$83:$AJ$99,MATCH('County Scaled Consumption '!$B387,Production_Consumption!$AA$83:$AA$99,0),MATCH('County Scaled Consumption '!I$2,Production_Consumption!$AA$83:$AJ$83,0)))*'CA Population'!$L387*10^6</f>
        <v>5817.5933692019698</v>
      </c>
      <c r="J387" s="143">
        <f>(INDEX(Production_Consumption!$AA$83:$AJ$99,MATCH('County Scaled Consumption '!$B387,Production_Consumption!$AA$83:$AA$99,0),MATCH('County Scaled Consumption '!J$2,Production_Consumption!$AA$83:$AJ$83,0)))*'CA Population'!$L387*10^6</f>
        <v>4020.9908423560205</v>
      </c>
      <c r="K387" s="143">
        <f>(INDEX(Production_Consumption!$AA$83:$AJ$99,MATCH('County Scaled Consumption '!$B387,Production_Consumption!$AA$83:$AA$99,0),MATCH('County Scaled Consumption '!K$2,Production_Consumption!$AA$83:$AJ$83,0)))*'CA Population'!$L387*10^6</f>
        <v>55647.356005660382</v>
      </c>
      <c r="L387" s="131">
        <f t="shared" si="5"/>
        <v>0</v>
      </c>
    </row>
    <row r="388" spans="1:12" x14ac:dyDescent="0.2">
      <c r="A388" s="132" t="s">
        <v>336</v>
      </c>
      <c r="B388" s="129">
        <v>2014</v>
      </c>
      <c r="C388" s="143">
        <f>(INDEX(Production_Consumption!$AA$83:$AJ$99,MATCH('County Scaled Consumption '!$B388,Production_Consumption!$AA$83:$AA$99,0),MATCH('County Scaled Consumption '!C$2,Production_Consumption!$AA$83:$AJ$83,0)))*'CA Population'!$L388*10^6</f>
        <v>221.30565298404517</v>
      </c>
      <c r="D388" s="143">
        <f>(INDEX(Production_Consumption!$AA$83:$AJ$99,MATCH('County Scaled Consumption '!$B388,Production_Consumption!$AA$83:$AA$99,0),MATCH('County Scaled Consumption '!D$2,Production_Consumption!$AA$83:$AJ$83,0)))*'CA Population'!$L388*10^6</f>
        <v>863.18568743066089</v>
      </c>
      <c r="E388" s="143">
        <f>(INDEX(Production_Consumption!$AA$83:$AJ$99,MATCH('County Scaled Consumption '!$B388,Production_Consumption!$AA$83:$AA$99,0),MATCH('County Scaled Consumption '!E$2,Production_Consumption!$AA$83:$AJ$83,0)))*'CA Population'!$L388*10^6</f>
        <v>474.49561099611265</v>
      </c>
      <c r="F388" s="143">
        <f>(INDEX(Production_Consumption!$AA$83:$AJ$99,MATCH('County Scaled Consumption '!$B388,Production_Consumption!$AA$83:$AA$99,0),MATCH('County Scaled Consumption '!F$2,Production_Consumption!$AA$83:$AJ$83,0)))*'CA Population'!$L388*10^6</f>
        <v>152.05885928696176</v>
      </c>
      <c r="G388" s="143">
        <f>(INDEX(Production_Consumption!$AA$83:$AJ$99,MATCH('County Scaled Consumption '!$B388,Production_Consumption!$AA$83:$AA$99,0),MATCH('County Scaled Consumption '!G$2,Production_Consumption!$AA$83:$AJ$83,0)))*'CA Population'!$L388*10^6</f>
        <v>579.4197850762198</v>
      </c>
      <c r="H388" s="143">
        <f>(INDEX(Production_Consumption!$AA$83:$AJ$99,MATCH('County Scaled Consumption '!$B388,Production_Consumption!$AA$83:$AA$99,0),MATCH('County Scaled Consumption '!H$2,Production_Consumption!$AA$83:$AJ$83,0)))*'CA Population'!$L388*10^6</f>
        <v>16.15906945657337</v>
      </c>
      <c r="I388" s="143">
        <f>(INDEX(Production_Consumption!$AA$83:$AJ$99,MATCH('County Scaled Consumption '!$B388,Production_Consumption!$AA$83:$AA$99,0),MATCH('County Scaled Consumption '!I$2,Production_Consumption!$AA$83:$AJ$83,0)))*'CA Population'!$L388*10^6</f>
        <v>292.93525742182669</v>
      </c>
      <c r="J388" s="143">
        <f>(INDEX(Production_Consumption!$AA$83:$AJ$99,MATCH('County Scaled Consumption '!$B388,Production_Consumption!$AA$83:$AA$99,0),MATCH('County Scaled Consumption '!J$2,Production_Consumption!$AA$83:$AJ$83,0)))*'CA Population'!$L388*10^6</f>
        <v>202.47031938190378</v>
      </c>
      <c r="K388" s="143">
        <f>(INDEX(Production_Consumption!$AA$83:$AJ$99,MATCH('County Scaled Consumption '!$B388,Production_Consumption!$AA$83:$AA$99,0),MATCH('County Scaled Consumption '!K$2,Production_Consumption!$AA$83:$AJ$83,0)))*'CA Population'!$L388*10^6</f>
        <v>2802.0302420343037</v>
      </c>
      <c r="L388" s="131">
        <f t="shared" ref="L388:L451" si="6">K388-SUM(C388:J388)</f>
        <v>0</v>
      </c>
    </row>
    <row r="389" spans="1:12" x14ac:dyDescent="0.2">
      <c r="A389" s="132" t="s">
        <v>337</v>
      </c>
      <c r="B389" s="129">
        <v>2014</v>
      </c>
      <c r="C389" s="143">
        <f>(INDEX(Production_Consumption!$AA$83:$AJ$99,MATCH('County Scaled Consumption '!$B389,Production_Consumption!$AA$83:$AA$99,0),MATCH('County Scaled Consumption '!C$2,Production_Consumption!$AA$83:$AJ$83,0)))*'CA Population'!$L389*10^6</f>
        <v>27356.10368319862</v>
      </c>
      <c r="D389" s="143">
        <f>(INDEX(Production_Consumption!$AA$83:$AJ$99,MATCH('County Scaled Consumption '!$B389,Production_Consumption!$AA$83:$AA$99,0),MATCH('County Scaled Consumption '!D$2,Production_Consumption!$AA$83:$AJ$83,0)))*'CA Population'!$L389*10^6</f>
        <v>106700.37951949028</v>
      </c>
      <c r="E389" s="143">
        <f>(INDEX(Production_Consumption!$AA$83:$AJ$99,MATCH('County Scaled Consumption '!$B389,Production_Consumption!$AA$83:$AA$99,0),MATCH('County Scaled Consumption '!E$2,Production_Consumption!$AA$83:$AJ$83,0)))*'CA Population'!$L389*10^6</f>
        <v>58653.500064764026</v>
      </c>
      <c r="F389" s="143">
        <f>(INDEX(Production_Consumption!$AA$83:$AJ$99,MATCH('County Scaled Consumption '!$B389,Production_Consumption!$AA$83:$AA$99,0),MATCH('County Scaled Consumption '!F$2,Production_Consumption!$AA$83:$AJ$83,0)))*'CA Population'!$L389*10^6</f>
        <v>18796.347334620179</v>
      </c>
      <c r="G389" s="143">
        <f>(INDEX(Production_Consumption!$AA$83:$AJ$99,MATCH('County Scaled Consumption '!$B389,Production_Consumption!$AA$83:$AA$99,0),MATCH('County Scaled Consumption '!G$2,Production_Consumption!$AA$83:$AJ$83,0)))*'CA Population'!$L389*10^6</f>
        <v>71623.41993037326</v>
      </c>
      <c r="H389" s="143">
        <f>(INDEX(Production_Consumption!$AA$83:$AJ$99,MATCH('County Scaled Consumption '!$B389,Production_Consumption!$AA$83:$AA$99,0),MATCH('County Scaled Consumption '!H$2,Production_Consumption!$AA$83:$AJ$83,0)))*'CA Population'!$L389*10^6</f>
        <v>1997.4599542195076</v>
      </c>
      <c r="I389" s="143">
        <f>(INDEX(Production_Consumption!$AA$83:$AJ$99,MATCH('County Scaled Consumption '!$B389,Production_Consumption!$AA$83:$AA$99,0),MATCH('County Scaled Consumption '!I$2,Production_Consumption!$AA$83:$AJ$83,0)))*'CA Population'!$L389*10^6</f>
        <v>36210.404779283694</v>
      </c>
      <c r="J389" s="143">
        <f>(INDEX(Production_Consumption!$AA$83:$AJ$99,MATCH('County Scaled Consumption '!$B389,Production_Consumption!$AA$83:$AA$99,0),MATCH('County Scaled Consumption '!J$2,Production_Consumption!$AA$83:$AJ$83,0)))*'CA Population'!$L389*10^6</f>
        <v>25027.824527288572</v>
      </c>
      <c r="K389" s="143">
        <f>(INDEX(Production_Consumption!$AA$83:$AJ$99,MATCH('County Scaled Consumption '!$B389,Production_Consumption!$AA$83:$AA$99,0),MATCH('County Scaled Consumption '!K$2,Production_Consumption!$AA$83:$AJ$83,0)))*'CA Population'!$L389*10^6</f>
        <v>346365.43979323807</v>
      </c>
      <c r="L389" s="131">
        <f t="shared" si="6"/>
        <v>0</v>
      </c>
    </row>
    <row r="390" spans="1:12" x14ac:dyDescent="0.2">
      <c r="A390" s="132" t="s">
        <v>338</v>
      </c>
      <c r="B390" s="129">
        <v>2014</v>
      </c>
      <c r="C390" s="143">
        <f>(INDEX(Production_Consumption!$AA$83:$AJ$99,MATCH('County Scaled Consumption '!$B390,Production_Consumption!$AA$83:$AA$99,0),MATCH('County Scaled Consumption '!C$2,Production_Consumption!$AA$83:$AJ$83,0)))*'CA Population'!$L390*10^6</f>
        <v>17507.852860817751</v>
      </c>
      <c r="D390" s="143">
        <f>(INDEX(Production_Consumption!$AA$83:$AJ$99,MATCH('County Scaled Consumption '!$B390,Production_Consumption!$AA$83:$AA$99,0),MATCH('County Scaled Consumption '!D$2,Production_Consumption!$AA$83:$AJ$83,0)))*'CA Population'!$L390*10^6</f>
        <v>68288.034233763377</v>
      </c>
      <c r="E390" s="143">
        <f>(INDEX(Production_Consumption!$AA$83:$AJ$99,MATCH('County Scaled Consumption '!$B390,Production_Consumption!$AA$83:$AA$99,0),MATCH('County Scaled Consumption '!E$2,Production_Consumption!$AA$83:$AJ$83,0)))*'CA Population'!$L390*10^6</f>
        <v>37538.125341166378</v>
      </c>
      <c r="F390" s="143">
        <f>(INDEX(Production_Consumption!$AA$83:$AJ$99,MATCH('County Scaled Consumption '!$B390,Production_Consumption!$AA$83:$AA$99,0),MATCH('County Scaled Consumption '!F$2,Production_Consumption!$AA$83:$AJ$83,0)))*'CA Population'!$L390*10^6</f>
        <v>12029.62553682191</v>
      </c>
      <c r="G390" s="143">
        <f>(INDEX(Production_Consumption!$AA$83:$AJ$99,MATCH('County Scaled Consumption '!$B390,Production_Consumption!$AA$83:$AA$99,0),MATCH('County Scaled Consumption '!G$2,Production_Consumption!$AA$83:$AJ$83,0)))*'CA Population'!$L390*10^6</f>
        <v>45838.848691734289</v>
      </c>
      <c r="H390" s="143">
        <f>(INDEX(Production_Consumption!$AA$83:$AJ$99,MATCH('County Scaled Consumption '!$B390,Production_Consumption!$AA$83:$AA$99,0),MATCH('County Scaled Consumption '!H$2,Production_Consumption!$AA$83:$AJ$83,0)))*'CA Population'!$L390*10^6</f>
        <v>1278.3704645530092</v>
      </c>
      <c r="I390" s="143">
        <f>(INDEX(Production_Consumption!$AA$83:$AJ$99,MATCH('County Scaled Consumption '!$B390,Production_Consumption!$AA$83:$AA$99,0),MATCH('County Scaled Consumption '!I$2,Production_Consumption!$AA$83:$AJ$83,0)))*'CA Population'!$L390*10^6</f>
        <v>23174.5882472187</v>
      </c>
      <c r="J390" s="143">
        <f>(INDEX(Production_Consumption!$AA$83:$AJ$99,MATCH('County Scaled Consumption '!$B390,Production_Consumption!$AA$83:$AA$99,0),MATCH('County Scaled Consumption '!J$2,Production_Consumption!$AA$83:$AJ$83,0)))*'CA Population'!$L390*10^6</f>
        <v>16017.758754118715</v>
      </c>
      <c r="K390" s="143">
        <f>(INDEX(Production_Consumption!$AA$83:$AJ$99,MATCH('County Scaled Consumption '!$B390,Production_Consumption!$AA$83:$AA$99,0),MATCH('County Scaled Consumption '!K$2,Production_Consumption!$AA$83:$AJ$83,0)))*'CA Population'!$L390*10^6</f>
        <v>221673.20413019412</v>
      </c>
      <c r="L390" s="131">
        <f t="shared" si="6"/>
        <v>0</v>
      </c>
    </row>
    <row r="391" spans="1:12" x14ac:dyDescent="0.2">
      <c r="A391" s="132" t="s">
        <v>339</v>
      </c>
      <c r="B391" s="129">
        <v>2014</v>
      </c>
      <c r="C391" s="143">
        <f>(INDEX(Production_Consumption!$AA$83:$AJ$99,MATCH('County Scaled Consumption '!$B391,Production_Consumption!$AA$83:$AA$99,0),MATCH('County Scaled Consumption '!C$2,Production_Consumption!$AA$83:$AJ$83,0)))*'CA Population'!$L391*10^6</f>
        <v>688.47994002309974</v>
      </c>
      <c r="D391" s="143">
        <f>(INDEX(Production_Consumption!$AA$83:$AJ$99,MATCH('County Scaled Consumption '!$B391,Production_Consumption!$AA$83:$AA$99,0),MATCH('County Scaled Consumption '!D$2,Production_Consumption!$AA$83:$AJ$83,0)))*'CA Population'!$L391*10^6</f>
        <v>2685.3630817731714</v>
      </c>
      <c r="E391" s="143">
        <f>(INDEX(Production_Consumption!$AA$83:$AJ$99,MATCH('County Scaled Consumption '!$B391,Production_Consumption!$AA$83:$AA$99,0),MATCH('County Scaled Consumption '!E$2,Production_Consumption!$AA$83:$AJ$83,0)))*'CA Population'!$L391*10^6</f>
        <v>1476.1516725620177</v>
      </c>
      <c r="F391" s="143">
        <f>(INDEX(Production_Consumption!$AA$83:$AJ$99,MATCH('County Scaled Consumption '!$B391,Production_Consumption!$AA$83:$AA$99,0),MATCH('County Scaled Consumption '!F$2,Production_Consumption!$AA$83:$AJ$83,0)))*'CA Population'!$L391*10^6</f>
        <v>473.05377386548685</v>
      </c>
      <c r="G391" s="143">
        <f>(INDEX(Production_Consumption!$AA$83:$AJ$99,MATCH('County Scaled Consumption '!$B391,Production_Consumption!$AA$83:$AA$99,0),MATCH('County Scaled Consumption '!G$2,Production_Consumption!$AA$83:$AJ$83,0)))*'CA Population'!$L391*10^6</f>
        <v>1802.5698553042964</v>
      </c>
      <c r="H391" s="143">
        <f>(INDEX(Production_Consumption!$AA$83:$AJ$99,MATCH('County Scaled Consumption '!$B391,Production_Consumption!$AA$83:$AA$99,0),MATCH('County Scaled Consumption '!H$2,Production_Consumption!$AA$83:$AJ$83,0)))*'CA Population'!$L391*10^6</f>
        <v>50.27072295840901</v>
      </c>
      <c r="I391" s="143">
        <f>(INDEX(Production_Consumption!$AA$83:$AJ$99,MATCH('County Scaled Consumption '!$B391,Production_Consumption!$AA$83:$AA$99,0),MATCH('County Scaled Consumption '!I$2,Production_Consumption!$AA$83:$AJ$83,0)))*'CA Population'!$L391*10^6</f>
        <v>911.31900943791277</v>
      </c>
      <c r="J391" s="143">
        <f>(INDEX(Production_Consumption!$AA$83:$AJ$99,MATCH('County Scaled Consumption '!$B391,Production_Consumption!$AA$83:$AA$99,0),MATCH('County Scaled Consumption '!J$2,Production_Consumption!$AA$83:$AJ$83,0)))*'CA Population'!$L391*10^6</f>
        <v>629.88338284589884</v>
      </c>
      <c r="K391" s="143">
        <f>(INDEX(Production_Consumption!$AA$83:$AJ$99,MATCH('County Scaled Consumption '!$B391,Production_Consumption!$AA$83:$AA$99,0),MATCH('County Scaled Consumption '!K$2,Production_Consumption!$AA$83:$AJ$83,0)))*'CA Population'!$L391*10^6</f>
        <v>8717.0914387702924</v>
      </c>
      <c r="L391" s="131">
        <f t="shared" si="6"/>
        <v>0</v>
      </c>
    </row>
    <row r="392" spans="1:12" x14ac:dyDescent="0.2">
      <c r="A392" s="132" t="s">
        <v>340</v>
      </c>
      <c r="B392" s="129">
        <v>2014</v>
      </c>
      <c r="C392" s="143">
        <f>(INDEX(Production_Consumption!$AA$83:$AJ$99,MATCH('County Scaled Consumption '!$B392,Production_Consumption!$AA$83:$AA$99,0),MATCH('County Scaled Consumption '!C$2,Production_Consumption!$AA$83:$AJ$83,0)))*'CA Population'!$L392*10^6</f>
        <v>25016.160309964838</v>
      </c>
      <c r="D392" s="143">
        <f>(INDEX(Production_Consumption!$AA$83:$AJ$99,MATCH('County Scaled Consumption '!$B392,Production_Consumption!$AA$83:$AA$99,0),MATCH('County Scaled Consumption '!D$2,Production_Consumption!$AA$83:$AJ$83,0)))*'CA Population'!$L392*10^6</f>
        <v>97573.610266473348</v>
      </c>
      <c r="E392" s="143">
        <f>(INDEX(Production_Consumption!$AA$83:$AJ$99,MATCH('County Scaled Consumption '!$B392,Production_Consumption!$AA$83:$AA$99,0),MATCH('County Scaled Consumption '!E$2,Production_Consumption!$AA$83:$AJ$83,0)))*'CA Population'!$L392*10^6</f>
        <v>53636.489222031902</v>
      </c>
      <c r="F392" s="143">
        <f>(INDEX(Production_Consumption!$AA$83:$AJ$99,MATCH('County Scaled Consumption '!$B392,Production_Consumption!$AA$83:$AA$99,0),MATCH('County Scaled Consumption '!F$2,Production_Consumption!$AA$83:$AJ$83,0)))*'CA Population'!$L392*10^6</f>
        <v>17188.574937790956</v>
      </c>
      <c r="G392" s="143">
        <f>(INDEX(Production_Consumption!$AA$83:$AJ$99,MATCH('County Scaled Consumption '!$B392,Production_Consumption!$AA$83:$AA$99,0),MATCH('County Scaled Consumption '!G$2,Production_Consumption!$AA$83:$AJ$83,0)))*'CA Population'!$L392*10^6</f>
        <v>65497.008480289842</v>
      </c>
      <c r="H392" s="143">
        <f>(INDEX(Production_Consumption!$AA$83:$AJ$99,MATCH('County Scaled Consumption '!$B392,Production_Consumption!$AA$83:$AA$99,0),MATCH('County Scaled Consumption '!H$2,Production_Consumption!$AA$83:$AJ$83,0)))*'CA Population'!$L392*10^6</f>
        <v>1826.604366110065</v>
      </c>
      <c r="I392" s="143">
        <f>(INDEX(Production_Consumption!$AA$83:$AJ$99,MATCH('County Scaled Consumption '!$B392,Production_Consumption!$AA$83:$AA$99,0),MATCH('County Scaled Consumption '!I$2,Production_Consumption!$AA$83:$AJ$83,0)))*'CA Population'!$L392*10^6</f>
        <v>33113.096124270931</v>
      </c>
      <c r="J392" s="143">
        <f>(INDEX(Production_Consumption!$AA$83:$AJ$99,MATCH('County Scaled Consumption '!$B392,Production_Consumption!$AA$83:$AA$99,0),MATCH('County Scaled Consumption '!J$2,Production_Consumption!$AA$83:$AJ$83,0)))*'CA Population'!$L392*10^6</f>
        <v>22887.033834750913</v>
      </c>
      <c r="K392" s="143">
        <f>(INDEX(Production_Consumption!$AA$83:$AJ$99,MATCH('County Scaled Consumption '!$B392,Production_Consumption!$AA$83:$AA$99,0),MATCH('County Scaled Consumption '!K$2,Production_Consumption!$AA$83:$AJ$83,0)))*'CA Population'!$L392*10^6</f>
        <v>316738.57754168275</v>
      </c>
      <c r="L392" s="131">
        <f t="shared" si="6"/>
        <v>0</v>
      </c>
    </row>
    <row r="393" spans="1:12" x14ac:dyDescent="0.2">
      <c r="A393" s="132" t="s">
        <v>341</v>
      </c>
      <c r="B393" s="129">
        <v>2014</v>
      </c>
      <c r="C393" s="143">
        <f>(INDEX(Production_Consumption!$AA$83:$AJ$99,MATCH('County Scaled Consumption '!$B393,Production_Consumption!$AA$83:$AA$99,0),MATCH('County Scaled Consumption '!C$2,Production_Consumption!$AA$83:$AJ$83,0)))*'CA Population'!$L393*10^6</f>
        <v>38602.951780715899</v>
      </c>
      <c r="D393" s="143">
        <f>(INDEX(Production_Consumption!$AA$83:$AJ$99,MATCH('County Scaled Consumption '!$B393,Production_Consumption!$AA$83:$AA$99,0),MATCH('County Scaled Consumption '!D$2,Production_Consumption!$AA$83:$AJ$83,0)))*'CA Population'!$L393*10^6</f>
        <v>150567.84596502015</v>
      </c>
      <c r="E393" s="143">
        <f>(INDEX(Production_Consumption!$AA$83:$AJ$99,MATCH('County Scaled Consumption '!$B393,Production_Consumption!$AA$83:$AA$99,0),MATCH('County Scaled Consumption '!E$2,Production_Consumption!$AA$83:$AJ$83,0)))*'CA Population'!$L393*10^6</f>
        <v>82767.570301355168</v>
      </c>
      <c r="F393" s="143">
        <f>(INDEX(Production_Consumption!$AA$83:$AJ$99,MATCH('County Scaled Consumption '!$B393,Production_Consumption!$AA$83:$AA$99,0),MATCH('County Scaled Consumption '!F$2,Production_Consumption!$AA$83:$AJ$83,0)))*'CA Population'!$L393*10^6</f>
        <v>26524.043709396057</v>
      </c>
      <c r="G393" s="143">
        <f>(INDEX(Production_Consumption!$AA$83:$AJ$99,MATCH('County Scaled Consumption '!$B393,Production_Consumption!$AA$83:$AA$99,0),MATCH('County Scaled Consumption '!G$2,Production_Consumption!$AA$83:$AJ$83,0)))*'CA Population'!$L393*10^6</f>
        <v>101069.78164585175</v>
      </c>
      <c r="H393" s="143">
        <f>(INDEX(Production_Consumption!$AA$83:$AJ$99,MATCH('County Scaled Consumption '!$B393,Production_Consumption!$AA$83:$AA$99,0),MATCH('County Scaled Consumption '!H$2,Production_Consumption!$AA$83:$AJ$83,0)))*'CA Population'!$L393*10^6</f>
        <v>2818.6707869514403</v>
      </c>
      <c r="I393" s="143">
        <f>(INDEX(Production_Consumption!$AA$83:$AJ$99,MATCH('County Scaled Consumption '!$B393,Production_Consumption!$AA$83:$AA$99,0),MATCH('County Scaled Consumption '!I$2,Production_Consumption!$AA$83:$AJ$83,0)))*'CA Population'!$L393*10^6</f>
        <v>51097.500062240288</v>
      </c>
      <c r="J393" s="143">
        <f>(INDEX(Production_Consumption!$AA$83:$AJ$99,MATCH('County Scaled Consumption '!$B393,Production_Consumption!$AA$83:$AA$99,0),MATCH('County Scaled Consumption '!J$2,Production_Consumption!$AA$83:$AJ$83,0)))*'CA Population'!$L393*10^6</f>
        <v>35317.452901617762</v>
      </c>
      <c r="K393" s="143">
        <f>(INDEX(Production_Consumption!$AA$83:$AJ$99,MATCH('County Scaled Consumption '!$B393,Production_Consumption!$AA$83:$AA$99,0),MATCH('County Scaled Consumption '!K$2,Production_Consumption!$AA$83:$AJ$83,0)))*'CA Population'!$L393*10^6</f>
        <v>488765.81715314841</v>
      </c>
      <c r="L393" s="131">
        <f t="shared" si="6"/>
        <v>0</v>
      </c>
    </row>
    <row r="394" spans="1:12" x14ac:dyDescent="0.2">
      <c r="A394" s="132" t="s">
        <v>342</v>
      </c>
      <c r="B394" s="129">
        <v>2014</v>
      </c>
      <c r="C394" s="143">
        <f>(INDEX(Production_Consumption!$AA$83:$AJ$99,MATCH('County Scaled Consumption '!$B394,Production_Consumption!$AA$83:$AA$99,0),MATCH('County Scaled Consumption '!C$2,Production_Consumption!$AA$83:$AJ$83,0)))*'CA Population'!$L394*10^6</f>
        <v>10185.194739191462</v>
      </c>
      <c r="D394" s="143">
        <f>(INDEX(Production_Consumption!$AA$83:$AJ$99,MATCH('County Scaled Consumption '!$B394,Production_Consumption!$AA$83:$AA$99,0),MATCH('County Scaled Consumption '!D$2,Production_Consumption!$AA$83:$AJ$83,0)))*'CA Population'!$L394*10^6</f>
        <v>39726.569131959615</v>
      </c>
      <c r="E394" s="143">
        <f>(INDEX(Production_Consumption!$AA$83:$AJ$99,MATCH('County Scaled Consumption '!$B394,Production_Consumption!$AA$83:$AA$99,0),MATCH('County Scaled Consumption '!E$2,Production_Consumption!$AA$83:$AJ$83,0)))*'CA Population'!$L394*10^6</f>
        <v>21837.807284730607</v>
      </c>
      <c r="F394" s="143">
        <f>(INDEX(Production_Consumption!$AA$83:$AJ$99,MATCH('County Scaled Consumption '!$B394,Production_Consumption!$AA$83:$AA$99,0),MATCH('County Scaled Consumption '!F$2,Production_Consumption!$AA$83:$AJ$83,0)))*'CA Population'!$L394*10^6</f>
        <v>6998.2355749795215</v>
      </c>
      <c r="G394" s="143">
        <f>(INDEX(Production_Consumption!$AA$83:$AJ$99,MATCH('County Scaled Consumption '!$B394,Production_Consumption!$AA$83:$AA$99,0),MATCH('County Scaled Consumption '!G$2,Production_Consumption!$AA$83:$AJ$83,0)))*'CA Population'!$L394*10^6</f>
        <v>26666.75372800904</v>
      </c>
      <c r="H394" s="143">
        <f>(INDEX(Production_Consumption!$AA$83:$AJ$99,MATCH('County Scaled Consumption '!$B394,Production_Consumption!$AA$83:$AA$99,0),MATCH('County Scaled Consumption '!H$2,Production_Consumption!$AA$83:$AJ$83,0)))*'CA Population'!$L394*10^6</f>
        <v>743.69211540740002</v>
      </c>
      <c r="I394" s="143">
        <f>(INDEX(Production_Consumption!$AA$83:$AJ$99,MATCH('County Scaled Consumption '!$B394,Production_Consumption!$AA$83:$AA$99,0),MATCH('County Scaled Consumption '!I$2,Production_Consumption!$AA$83:$AJ$83,0)))*'CA Population'!$L394*10^6</f>
        <v>13481.81848310755</v>
      </c>
      <c r="J394" s="143">
        <f>(INDEX(Production_Consumption!$AA$83:$AJ$99,MATCH('County Scaled Consumption '!$B394,Production_Consumption!$AA$83:$AA$99,0),MATCH('County Scaled Consumption '!J$2,Production_Consumption!$AA$83:$AJ$83,0)))*'CA Population'!$L394*10^6</f>
        <v>9318.3323787922109</v>
      </c>
      <c r="K394" s="143">
        <f>(INDEX(Production_Consumption!$AA$83:$AJ$99,MATCH('County Scaled Consumption '!$B394,Production_Consumption!$AA$83:$AA$99,0),MATCH('County Scaled Consumption '!K$2,Production_Consumption!$AA$83:$AJ$83,0)))*'CA Population'!$L394*10^6</f>
        <v>128958.4034361774</v>
      </c>
      <c r="L394" s="131">
        <f t="shared" si="6"/>
        <v>0</v>
      </c>
    </row>
    <row r="395" spans="1:12" x14ac:dyDescent="0.2">
      <c r="A395" s="132" t="s">
        <v>343</v>
      </c>
      <c r="B395" s="129">
        <v>2014</v>
      </c>
      <c r="C395" s="143">
        <f>(INDEX(Production_Consumption!$AA$83:$AJ$99,MATCH('County Scaled Consumption '!$B395,Production_Consumption!$AA$83:$AA$99,0),MATCH('County Scaled Consumption '!C$2,Production_Consumption!$AA$83:$AJ$83,0)))*'CA Population'!$L395*10^6</f>
        <v>8491.5909266908311</v>
      </c>
      <c r="D395" s="143">
        <f>(INDEX(Production_Consumption!$AA$83:$AJ$99,MATCH('County Scaled Consumption '!$B395,Production_Consumption!$AA$83:$AA$99,0),MATCH('County Scaled Consumption '!D$2,Production_Consumption!$AA$83:$AJ$83,0)))*'CA Population'!$L395*10^6</f>
        <v>33120.797650677392</v>
      </c>
      <c r="E395" s="143">
        <f>(INDEX(Production_Consumption!$AA$83:$AJ$99,MATCH('County Scaled Consumption '!$B395,Production_Consumption!$AA$83:$AA$99,0),MATCH('County Scaled Consumption '!E$2,Production_Consumption!$AA$83:$AJ$83,0)))*'CA Population'!$L395*10^6</f>
        <v>18206.596039278294</v>
      </c>
      <c r="F395" s="143">
        <f>(INDEX(Production_Consumption!$AA$83:$AJ$99,MATCH('County Scaled Consumption '!$B395,Production_Consumption!$AA$83:$AA$99,0),MATCH('County Scaled Consumption '!F$2,Production_Consumption!$AA$83:$AJ$83,0)))*'CA Population'!$L395*10^6</f>
        <v>5834.5623459388644</v>
      </c>
      <c r="G395" s="143">
        <f>(INDEX(Production_Consumption!$AA$83:$AJ$99,MATCH('County Scaled Consumption '!$B395,Production_Consumption!$AA$83:$AA$99,0),MATCH('County Scaled Consumption '!G$2,Production_Consumption!$AA$83:$AJ$83,0)))*'CA Population'!$L395*10^6</f>
        <v>22232.580701646595</v>
      </c>
      <c r="H395" s="143">
        <f>(INDEX(Production_Consumption!$AA$83:$AJ$99,MATCH('County Scaled Consumption '!$B395,Production_Consumption!$AA$83:$AA$99,0),MATCH('County Scaled Consumption '!H$2,Production_Consumption!$AA$83:$AJ$83,0)))*'CA Population'!$L395*10^6</f>
        <v>620.03028721140663</v>
      </c>
      <c r="I395" s="143">
        <f>(INDEX(Production_Consumption!$AA$83:$AJ$99,MATCH('County Scaled Consumption '!$B395,Production_Consumption!$AA$83:$AA$99,0),MATCH('County Scaled Consumption '!I$2,Production_Consumption!$AA$83:$AJ$83,0)))*'CA Population'!$L395*10^6</f>
        <v>11240.048957133327</v>
      </c>
      <c r="J395" s="143">
        <f>(INDEX(Production_Consumption!$AA$83:$AJ$99,MATCH('County Scaled Consumption '!$B395,Production_Consumption!$AA$83:$AA$99,0),MATCH('County Scaled Consumption '!J$2,Production_Consumption!$AA$83:$AJ$83,0)))*'CA Population'!$L395*10^6</f>
        <v>7768.8712592963911</v>
      </c>
      <c r="K395" s="143">
        <f>(INDEX(Production_Consumption!$AA$83:$AJ$99,MATCH('County Scaled Consumption '!$B395,Production_Consumption!$AA$83:$AA$99,0),MATCH('County Scaled Consumption '!K$2,Production_Consumption!$AA$83:$AJ$83,0)))*'CA Population'!$L395*10^6</f>
        <v>107515.0781678731</v>
      </c>
      <c r="L395" s="131">
        <f t="shared" si="6"/>
        <v>0</v>
      </c>
    </row>
    <row r="396" spans="1:12" x14ac:dyDescent="0.2">
      <c r="A396" s="132" t="s">
        <v>344</v>
      </c>
      <c r="B396" s="129">
        <v>2014</v>
      </c>
      <c r="C396" s="143">
        <f>(INDEX(Production_Consumption!$AA$83:$AJ$99,MATCH('County Scaled Consumption '!$B396,Production_Consumption!$AA$83:$AA$99,0),MATCH('County Scaled Consumption '!C$2,Production_Consumption!$AA$83:$AJ$83,0)))*'CA Population'!$L396*10^6</f>
        <v>3296.8488122817685</v>
      </c>
      <c r="D396" s="143">
        <f>(INDEX(Production_Consumption!$AA$83:$AJ$99,MATCH('County Scaled Consumption '!$B396,Production_Consumption!$AA$83:$AA$99,0),MATCH('County Scaled Consumption '!D$2,Production_Consumption!$AA$83:$AJ$83,0)))*'CA Population'!$L396*10^6</f>
        <v>12859.105359543442</v>
      </c>
      <c r="E396" s="143">
        <f>(INDEX(Production_Consumption!$AA$83:$AJ$99,MATCH('County Scaled Consumption '!$B396,Production_Consumption!$AA$83:$AA$99,0),MATCH('County Scaled Consumption '!E$2,Production_Consumption!$AA$83:$AJ$83,0)))*'CA Population'!$L396*10^6</f>
        <v>7068.6865448404333</v>
      </c>
      <c r="F396" s="143">
        <f>(INDEX(Production_Consumption!$AA$83:$AJ$99,MATCH('County Scaled Consumption '!$B396,Production_Consumption!$AA$83:$AA$99,0),MATCH('County Scaled Consumption '!F$2,Production_Consumption!$AA$83:$AJ$83,0)))*'CA Population'!$L396*10^6</f>
        <v>2265.2610219282665</v>
      </c>
      <c r="G396" s="143">
        <f>(INDEX(Production_Consumption!$AA$83:$AJ$99,MATCH('County Scaled Consumption '!$B396,Production_Consumption!$AA$83:$AA$99,0),MATCH('County Scaled Consumption '!G$2,Production_Consumption!$AA$83:$AJ$83,0)))*'CA Population'!$L396*10^6</f>
        <v>8631.7697016931215</v>
      </c>
      <c r="H396" s="143">
        <f>(INDEX(Production_Consumption!$AA$83:$AJ$99,MATCH('County Scaled Consumption '!$B396,Production_Consumption!$AA$83:$AA$99,0),MATCH('County Scaled Consumption '!H$2,Production_Consumption!$AA$83:$AJ$83,0)))*'CA Population'!$L396*10^6</f>
        <v>240.72592917146704</v>
      </c>
      <c r="I396" s="143">
        <f>(INDEX(Production_Consumption!$AA$83:$AJ$99,MATCH('County Scaled Consumption '!$B396,Production_Consumption!$AA$83:$AA$99,0),MATCH('County Scaled Consumption '!I$2,Production_Consumption!$AA$83:$AJ$83,0)))*'CA Population'!$L396*10^6</f>
        <v>4363.9339641099414</v>
      </c>
      <c r="J396" s="143">
        <f>(INDEX(Production_Consumption!$AA$83:$AJ$99,MATCH('County Scaled Consumption '!$B396,Production_Consumption!$AA$83:$AA$99,0),MATCH('County Scaled Consumption '!J$2,Production_Consumption!$AA$83:$AJ$83,0)))*'CA Population'!$L396*10^6</f>
        <v>3016.2538686920193</v>
      </c>
      <c r="K396" s="143">
        <f>(INDEX(Production_Consumption!$AA$83:$AJ$99,MATCH('County Scaled Consumption '!$B396,Production_Consumption!$AA$83:$AA$99,0),MATCH('County Scaled Consumption '!K$2,Production_Consumption!$AA$83:$AJ$83,0)))*'CA Population'!$L396*10^6</f>
        <v>41742.585202260459</v>
      </c>
      <c r="L396" s="131">
        <f t="shared" si="6"/>
        <v>0</v>
      </c>
    </row>
    <row r="397" spans="1:12" x14ac:dyDescent="0.2">
      <c r="A397" s="132" t="s">
        <v>345</v>
      </c>
      <c r="B397" s="129">
        <v>2014</v>
      </c>
      <c r="C397" s="143">
        <f>(INDEX(Production_Consumption!$AA$83:$AJ$99,MATCH('County Scaled Consumption '!$B397,Production_Consumption!$AA$83:$AA$99,0),MATCH('County Scaled Consumption '!C$2,Production_Consumption!$AA$83:$AJ$83,0)))*'CA Population'!$L397*10^6</f>
        <v>9006.4343534650798</v>
      </c>
      <c r="D397" s="143">
        <f>(INDEX(Production_Consumption!$AA$83:$AJ$99,MATCH('County Scaled Consumption '!$B397,Production_Consumption!$AA$83:$AA$99,0),MATCH('County Scaled Consumption '!D$2,Production_Consumption!$AA$83:$AJ$83,0)))*'CA Population'!$L397*10^6</f>
        <v>35128.904860172515</v>
      </c>
      <c r="E397" s="143">
        <f>(INDEX(Production_Consumption!$AA$83:$AJ$99,MATCH('County Scaled Consumption '!$B397,Production_Consumption!$AA$83:$AA$99,0),MATCH('County Scaled Consumption '!E$2,Production_Consumption!$AA$83:$AJ$83,0)))*'CA Population'!$L397*10^6</f>
        <v>19310.458245510283</v>
      </c>
      <c r="F397" s="143">
        <f>(INDEX(Production_Consumption!$AA$83:$AJ$99,MATCH('County Scaled Consumption '!$B397,Production_Consumption!$AA$83:$AA$99,0),MATCH('County Scaled Consumption '!F$2,Production_Consumption!$AA$83:$AJ$83,0)))*'CA Population'!$L397*10^6</f>
        <v>6188.3106715287504</v>
      </c>
      <c r="G397" s="143">
        <f>(INDEX(Production_Consumption!$AA$83:$AJ$99,MATCH('County Scaled Consumption '!$B397,Production_Consumption!$AA$83:$AA$99,0),MATCH('County Scaled Consumption '!G$2,Production_Consumption!$AA$83:$AJ$83,0)))*'CA Population'!$L397*10^6</f>
        <v>23580.537537213488</v>
      </c>
      <c r="H397" s="143">
        <f>(INDEX(Production_Consumption!$AA$83:$AJ$99,MATCH('County Scaled Consumption '!$B397,Production_Consumption!$AA$83:$AA$99,0),MATCH('County Scaled Consumption '!H$2,Production_Consumption!$AA$83:$AJ$83,0)))*'CA Population'!$L397*10^6</f>
        <v>657.62259712454329</v>
      </c>
      <c r="I397" s="143">
        <f>(INDEX(Production_Consumption!$AA$83:$AJ$99,MATCH('County Scaled Consumption '!$B397,Production_Consumption!$AA$83:$AA$99,0),MATCH('County Scaled Consumption '!I$2,Production_Consumption!$AA$83:$AJ$83,0)))*'CA Population'!$L397*10^6</f>
        <v>11921.530833987697</v>
      </c>
      <c r="J397" s="143">
        <f>(INDEX(Production_Consumption!$AA$83:$AJ$99,MATCH('County Scaled Consumption '!$B397,Production_Consumption!$AA$83:$AA$99,0),MATCH('County Scaled Consumption '!J$2,Production_Consumption!$AA$83:$AJ$83,0)))*'CA Population'!$L397*10^6</f>
        <v>8239.8963399714467</v>
      </c>
      <c r="K397" s="143">
        <f>(INDEX(Production_Consumption!$AA$83:$AJ$99,MATCH('County Scaled Consumption '!$B397,Production_Consumption!$AA$83:$AA$99,0),MATCH('County Scaled Consumption '!K$2,Production_Consumption!$AA$83:$AJ$83,0)))*'CA Population'!$L397*10^6</f>
        <v>114033.69543897379</v>
      </c>
      <c r="L397" s="131">
        <f t="shared" si="6"/>
        <v>0</v>
      </c>
    </row>
    <row r="398" spans="1:12" x14ac:dyDescent="0.2">
      <c r="A398" s="132" t="s">
        <v>346</v>
      </c>
      <c r="B398" s="129">
        <v>2014</v>
      </c>
      <c r="C398" s="143">
        <f>(INDEX(Production_Consumption!$AA$83:$AJ$99,MATCH('County Scaled Consumption '!$B398,Production_Consumption!$AA$83:$AA$99,0),MATCH('County Scaled Consumption '!C$2,Production_Consumption!$AA$83:$AJ$83,0)))*'CA Population'!$L398*10^6</f>
        <v>5228.7386176220134</v>
      </c>
      <c r="D398" s="143">
        <f>(INDEX(Production_Consumption!$AA$83:$AJ$99,MATCH('County Scaled Consumption '!$B398,Production_Consumption!$AA$83:$AA$99,0),MATCH('County Scaled Consumption '!D$2,Production_Consumption!$AA$83:$AJ$83,0)))*'CA Population'!$L398*10^6</f>
        <v>20394.293038563679</v>
      </c>
      <c r="E398" s="143">
        <f>(INDEX(Production_Consumption!$AA$83:$AJ$99,MATCH('County Scaled Consumption '!$B398,Production_Consumption!$AA$83:$AA$99,0),MATCH('County Scaled Consumption '!E$2,Production_Consumption!$AA$83:$AJ$83,0)))*'CA Population'!$L398*10^6</f>
        <v>11210.800499914902</v>
      </c>
      <c r="F398" s="143">
        <f>(INDEX(Production_Consumption!$AA$83:$AJ$99,MATCH('County Scaled Consumption '!$B398,Production_Consumption!$AA$83:$AA$99,0),MATCH('County Scaled Consumption '!F$2,Production_Consumption!$AA$83:$AJ$83,0)))*'CA Population'!$L398*10^6</f>
        <v>3592.6602822143414</v>
      </c>
      <c r="G398" s="143">
        <f>(INDEX(Production_Consumption!$AA$83:$AJ$99,MATCH('County Scaled Consumption '!$B398,Production_Consumption!$AA$83:$AA$99,0),MATCH('County Scaled Consumption '!G$2,Production_Consumption!$AA$83:$AJ$83,0)))*'CA Population'!$L398*10^6</f>
        <v>13689.820233650773</v>
      </c>
      <c r="H398" s="143">
        <f>(INDEX(Production_Consumption!$AA$83:$AJ$99,MATCH('County Scaled Consumption '!$B398,Production_Consumption!$AA$83:$AA$99,0),MATCH('County Scaled Consumption '!H$2,Production_Consumption!$AA$83:$AJ$83,0)))*'CA Population'!$L398*10^6</f>
        <v>381.78667988437195</v>
      </c>
      <c r="I398" s="143">
        <f>(INDEX(Production_Consumption!$AA$83:$AJ$99,MATCH('County Scaled Consumption '!$B398,Production_Consumption!$AA$83:$AA$99,0),MATCH('County Scaled Consumption '!I$2,Production_Consumption!$AA$83:$AJ$83,0)))*'CA Population'!$L398*10^6</f>
        <v>6921.1150835581047</v>
      </c>
      <c r="J398" s="143">
        <f>(INDEX(Production_Consumption!$AA$83:$AJ$99,MATCH('County Scaled Consumption '!$B398,Production_Consumption!$AA$83:$AA$99,0),MATCH('County Scaled Consumption '!J$2,Production_Consumption!$AA$83:$AJ$83,0)))*'CA Population'!$L398*10^6</f>
        <v>4783.7204499730815</v>
      </c>
      <c r="K398" s="143">
        <f>(INDEX(Production_Consumption!$AA$83:$AJ$99,MATCH('County Scaled Consumption '!$B398,Production_Consumption!$AA$83:$AA$99,0),MATCH('County Scaled Consumption '!K$2,Production_Consumption!$AA$83:$AJ$83,0)))*'CA Population'!$L398*10^6</f>
        <v>66202.934885381255</v>
      </c>
      <c r="L398" s="131">
        <f t="shared" si="6"/>
        <v>0</v>
      </c>
    </row>
    <row r="399" spans="1:12" x14ac:dyDescent="0.2">
      <c r="A399" s="132" t="s">
        <v>347</v>
      </c>
      <c r="B399" s="129">
        <v>2014</v>
      </c>
      <c r="C399" s="143">
        <f>(INDEX(Production_Consumption!$AA$83:$AJ$99,MATCH('County Scaled Consumption '!$B399,Production_Consumption!$AA$83:$AA$99,0),MATCH('County Scaled Consumption '!C$2,Production_Consumption!$AA$83:$AJ$83,0)))*'CA Population'!$L399*10^6</f>
        <v>22533.925987561586</v>
      </c>
      <c r="D399" s="143">
        <f>(INDEX(Production_Consumption!$AA$83:$AJ$99,MATCH('County Scaled Consumption '!$B399,Production_Consumption!$AA$83:$AA$99,0),MATCH('County Scaled Consumption '!D$2,Production_Consumption!$AA$83:$AJ$83,0)))*'CA Population'!$L399*10^6</f>
        <v>87891.846104298515</v>
      </c>
      <c r="E399" s="143">
        <f>(INDEX(Production_Consumption!$AA$83:$AJ$99,MATCH('County Scaled Consumption '!$B399,Production_Consumption!$AA$83:$AA$99,0),MATCH('County Scaled Consumption '!E$2,Production_Consumption!$AA$83:$AJ$83,0)))*'CA Population'!$L399*10^6</f>
        <v>48314.396109800531</v>
      </c>
      <c r="F399" s="143">
        <f>(INDEX(Production_Consumption!$AA$83:$AJ$99,MATCH('County Scaled Consumption '!$B399,Production_Consumption!$AA$83:$AA$99,0),MATCH('County Scaled Consumption '!F$2,Production_Consumption!$AA$83:$AJ$83,0)))*'CA Population'!$L399*10^6</f>
        <v>15483.034593664303</v>
      </c>
      <c r="G399" s="143">
        <f>(INDEX(Production_Consumption!$AA$83:$AJ$99,MATCH('County Scaled Consumption '!$B399,Production_Consumption!$AA$83:$AA$99,0),MATCH('County Scaled Consumption '!G$2,Production_Consumption!$AA$83:$AJ$83,0)))*'CA Population'!$L399*10^6</f>
        <v>58998.052587376449</v>
      </c>
      <c r="H399" s="143">
        <f>(INDEX(Production_Consumption!$AA$83:$AJ$99,MATCH('County Scaled Consumption '!$B399,Production_Consumption!$AA$83:$AA$99,0),MATCH('County Scaled Consumption '!H$2,Production_Consumption!$AA$83:$AJ$83,0)))*'CA Population'!$L399*10^6</f>
        <v>1645.3591232418398</v>
      </c>
      <c r="I399" s="143">
        <f>(INDEX(Production_Consumption!$AA$83:$AJ$99,MATCH('County Scaled Consumption '!$B399,Production_Consumption!$AA$83:$AA$99,0),MATCH('County Scaled Consumption '!I$2,Production_Consumption!$AA$83:$AJ$83,0)))*'CA Population'!$L399*10^6</f>
        <v>29827.441463353112</v>
      </c>
      <c r="J399" s="143">
        <f>(INDEX(Production_Consumption!$AA$83:$AJ$99,MATCH('County Scaled Consumption '!$B399,Production_Consumption!$AA$83:$AA$99,0),MATCH('County Scaled Consumption '!J$2,Production_Consumption!$AA$83:$AJ$83,0)))*'CA Population'!$L399*10^6</f>
        <v>20616.062581820726</v>
      </c>
      <c r="K399" s="143">
        <f>(INDEX(Production_Consumption!$AA$83:$AJ$99,MATCH('County Scaled Consumption '!$B399,Production_Consumption!$AA$83:$AA$99,0),MATCH('County Scaled Consumption '!K$2,Production_Consumption!$AA$83:$AJ$83,0)))*'CA Population'!$L399*10^6</f>
        <v>285310.11855111702</v>
      </c>
      <c r="L399" s="131">
        <f t="shared" si="6"/>
        <v>0</v>
      </c>
    </row>
    <row r="400" spans="1:12" x14ac:dyDescent="0.2">
      <c r="A400" s="132" t="s">
        <v>348</v>
      </c>
      <c r="B400" s="129">
        <v>2014</v>
      </c>
      <c r="C400" s="143">
        <f>(INDEX(Production_Consumption!$AA$83:$AJ$99,MATCH('County Scaled Consumption '!$B400,Production_Consumption!$AA$83:$AA$99,0),MATCH('County Scaled Consumption '!C$2,Production_Consumption!$AA$83:$AJ$83,0)))*'CA Population'!$L400*10^6</f>
        <v>3238.6475630159057</v>
      </c>
      <c r="D400" s="143">
        <f>(INDEX(Production_Consumption!$AA$83:$AJ$99,MATCH('County Scaled Consumption '!$B400,Production_Consumption!$AA$83:$AA$99,0),MATCH('County Scaled Consumption '!D$2,Production_Consumption!$AA$83:$AJ$83,0)))*'CA Population'!$L400*10^6</f>
        <v>12632.095860782472</v>
      </c>
      <c r="E400" s="143">
        <f>(INDEX(Production_Consumption!$AA$83:$AJ$99,MATCH('County Scaled Consumption '!$B400,Production_Consumption!$AA$83:$AA$99,0),MATCH('County Scaled Consumption '!E$2,Production_Consumption!$AA$83:$AJ$83,0)))*'CA Population'!$L400*10^6</f>
        <v>6943.8987820392103</v>
      </c>
      <c r="F400" s="143">
        <f>(INDEX(Production_Consumption!$AA$83:$AJ$99,MATCH('County Scaled Consumption '!$B400,Production_Consumption!$AA$83:$AA$99,0),MATCH('County Scaled Consumption '!F$2,Production_Consumption!$AA$83:$AJ$83,0)))*'CA Population'!$L400*10^6</f>
        <v>2225.2710105882429</v>
      </c>
      <c r="G400" s="143">
        <f>(INDEX(Production_Consumption!$AA$83:$AJ$99,MATCH('County Scaled Consumption '!$B400,Production_Consumption!$AA$83:$AA$99,0),MATCH('County Scaled Consumption '!G$2,Production_Consumption!$AA$83:$AJ$83,0)))*'CA Population'!$L400*10^6</f>
        <v>8479.3878945134147</v>
      </c>
      <c r="H400" s="143">
        <f>(INDEX(Production_Consumption!$AA$83:$AJ$99,MATCH('County Scaled Consumption '!$B400,Production_Consumption!$AA$83:$AA$99,0),MATCH('County Scaled Consumption '!H$2,Production_Consumption!$AA$83:$AJ$83,0)))*'CA Population'!$L400*10^6</f>
        <v>236.47624997590569</v>
      </c>
      <c r="I400" s="143">
        <f>(INDEX(Production_Consumption!$AA$83:$AJ$99,MATCH('County Scaled Consumption '!$B400,Production_Consumption!$AA$83:$AA$99,0),MATCH('County Scaled Consumption '!I$2,Production_Consumption!$AA$83:$AJ$83,0)))*'CA Population'!$L400*10^6</f>
        <v>4286.8948207076874</v>
      </c>
      <c r="J400" s="143">
        <f>(INDEX(Production_Consumption!$AA$83:$AJ$99,MATCH('County Scaled Consumption '!$B400,Production_Consumption!$AA$83:$AA$99,0),MATCH('County Scaled Consumption '!J$2,Production_Consumption!$AA$83:$AJ$83,0)))*'CA Population'!$L400*10^6</f>
        <v>2963.0061302434465</v>
      </c>
      <c r="K400" s="143">
        <f>(INDEX(Production_Consumption!$AA$83:$AJ$99,MATCH('County Scaled Consumption '!$B400,Production_Consumption!$AA$83:$AA$99,0),MATCH('County Scaled Consumption '!K$2,Production_Consumption!$AA$83:$AJ$83,0)))*'CA Population'!$L400*10^6</f>
        <v>41005.678311866279</v>
      </c>
      <c r="L400" s="131">
        <f t="shared" si="6"/>
        <v>0</v>
      </c>
    </row>
    <row r="401" spans="1:12" x14ac:dyDescent="0.2">
      <c r="A401" s="132" t="s">
        <v>349</v>
      </c>
      <c r="B401" s="129">
        <v>2014</v>
      </c>
      <c r="C401" s="143">
        <f>(INDEX(Production_Consumption!$AA$83:$AJ$99,MATCH('County Scaled Consumption '!$B401,Production_Consumption!$AA$83:$AA$99,0),MATCH('County Scaled Consumption '!C$2,Production_Consumption!$AA$83:$AJ$83,0)))*'CA Population'!$L401*10^6</f>
        <v>2139.092939780387</v>
      </c>
      <c r="D401" s="143">
        <f>(INDEX(Production_Consumption!$AA$83:$AJ$99,MATCH('County Scaled Consumption '!$B401,Production_Consumption!$AA$83:$AA$99,0),MATCH('County Scaled Consumption '!D$2,Production_Consumption!$AA$83:$AJ$83,0)))*'CA Population'!$L401*10^6</f>
        <v>8343.3675769480869</v>
      </c>
      <c r="E401" s="143">
        <f>(INDEX(Production_Consumption!$AA$83:$AJ$99,MATCH('County Scaled Consumption '!$B401,Production_Consumption!$AA$83:$AA$99,0),MATCH('County Scaled Consumption '!E$2,Production_Consumption!$AA$83:$AJ$83,0)))*'CA Population'!$L401*10^6</f>
        <v>4586.372728182143</v>
      </c>
      <c r="F401" s="143">
        <f>(INDEX(Production_Consumption!$AA$83:$AJ$99,MATCH('County Scaled Consumption '!$B401,Production_Consumption!$AA$83:$AA$99,0),MATCH('County Scaled Consumption '!F$2,Production_Consumption!$AA$83:$AJ$83,0)))*'CA Population'!$L401*10^6</f>
        <v>1469.7682953234332</v>
      </c>
      <c r="G401" s="143">
        <f>(INDEX(Production_Consumption!$AA$83:$AJ$99,MATCH('County Scaled Consumption '!$B401,Production_Consumption!$AA$83:$AA$99,0),MATCH('County Scaled Consumption '!G$2,Production_Consumption!$AA$83:$AJ$83,0)))*'CA Population'!$L401*10^6</f>
        <v>5600.5472734804789</v>
      </c>
      <c r="H401" s="143">
        <f>(INDEX(Production_Consumption!$AA$83:$AJ$99,MATCH('County Scaled Consumption '!$B401,Production_Consumption!$AA$83:$AA$99,0),MATCH('County Scaled Consumption '!H$2,Production_Consumption!$AA$83:$AJ$83,0)))*'CA Population'!$L401*10^6</f>
        <v>156.19009691753777</v>
      </c>
      <c r="I401" s="143">
        <f>(INDEX(Production_Consumption!$AA$83:$AJ$99,MATCH('County Scaled Consumption '!$B401,Production_Consumption!$AA$83:$AA$99,0),MATCH('County Scaled Consumption '!I$2,Production_Consumption!$AA$83:$AJ$83,0)))*'CA Population'!$L401*10^6</f>
        <v>2831.4493214005474</v>
      </c>
      <c r="J401" s="143">
        <f>(INDEX(Production_Consumption!$AA$83:$AJ$99,MATCH('County Scaled Consumption '!$B401,Production_Consumption!$AA$83:$AA$99,0),MATCH('County Scaled Consumption '!J$2,Production_Consumption!$AA$83:$AJ$83,0)))*'CA Population'!$L401*10^6</f>
        <v>1957.0346480762271</v>
      </c>
      <c r="K401" s="143">
        <f>(INDEX(Production_Consumption!$AA$83:$AJ$99,MATCH('County Scaled Consumption '!$B401,Production_Consumption!$AA$83:$AA$99,0),MATCH('County Scaled Consumption '!K$2,Production_Consumption!$AA$83:$AJ$83,0)))*'CA Population'!$L401*10^6</f>
        <v>27083.822880108841</v>
      </c>
      <c r="L401" s="131">
        <f t="shared" si="6"/>
        <v>0</v>
      </c>
    </row>
    <row r="402" spans="1:12" x14ac:dyDescent="0.2">
      <c r="A402" s="132" t="s">
        <v>350</v>
      </c>
      <c r="B402" s="129">
        <v>2014</v>
      </c>
      <c r="C402" s="143">
        <f>(INDEX(Production_Consumption!$AA$83:$AJ$99,MATCH('County Scaled Consumption '!$B402,Production_Consumption!$AA$83:$AA$99,0),MATCH('County Scaled Consumption '!C$2,Production_Consumption!$AA$83:$AJ$83,0)))*'CA Population'!$L402*10^6</f>
        <v>38.259499927744059</v>
      </c>
      <c r="D402" s="143">
        <f>(INDEX(Production_Consumption!$AA$83:$AJ$99,MATCH('County Scaled Consumption '!$B402,Production_Consumption!$AA$83:$AA$99,0),MATCH('County Scaled Consumption '!D$2,Production_Consumption!$AA$83:$AJ$83,0)))*'CA Population'!$L402*10^6</f>
        <v>149.22823841406344</v>
      </c>
      <c r="E402" s="143">
        <f>(INDEX(Production_Consumption!$AA$83:$AJ$99,MATCH('County Scaled Consumption '!$B402,Production_Consumption!$AA$83:$AA$99,0),MATCH('County Scaled Consumption '!E$2,Production_Consumption!$AA$83:$AJ$83,0)))*'CA Population'!$L402*10^6</f>
        <v>82.031184246023045</v>
      </c>
      <c r="F402" s="143">
        <f>(INDEX(Production_Consumption!$AA$83:$AJ$99,MATCH('County Scaled Consumption '!$B402,Production_Consumption!$AA$83:$AA$99,0),MATCH('County Scaled Consumption '!F$2,Production_Consumption!$AA$83:$AJ$83,0)))*'CA Population'!$L402*10^6</f>
        <v>26.28805833677362</v>
      </c>
      <c r="G402" s="143">
        <f>(INDEX(Production_Consumption!$AA$83:$AJ$99,MATCH('County Scaled Consumption '!$B402,Production_Consumption!$AA$83:$AA$99,0),MATCH('County Scaled Consumption '!G$2,Production_Consumption!$AA$83:$AJ$83,0)))*'CA Population'!$L402*10^6</f>
        <v>100.1705601567047</v>
      </c>
      <c r="H402" s="143">
        <f>(INDEX(Production_Consumption!$AA$83:$AJ$99,MATCH('County Scaled Consumption '!$B402,Production_Consumption!$AA$83:$AA$99,0),MATCH('County Scaled Consumption '!H$2,Production_Consumption!$AA$83:$AJ$83,0)))*'CA Population'!$L402*10^6</f>
        <v>2.7935929713948675</v>
      </c>
      <c r="I402" s="143">
        <f>(INDEX(Production_Consumption!$AA$83:$AJ$99,MATCH('County Scaled Consumption '!$B402,Production_Consumption!$AA$83:$AA$99,0),MATCH('County Scaled Consumption '!I$2,Production_Consumption!$AA$83:$AJ$83,0)))*'CA Population'!$L402*10^6</f>
        <v>50.642883762992106</v>
      </c>
      <c r="J402" s="143">
        <f>(INDEX(Production_Consumption!$AA$83:$AJ$99,MATCH('County Scaled Consumption '!$B402,Production_Consumption!$AA$83:$AA$99,0),MATCH('County Scaled Consumption '!J$2,Production_Consumption!$AA$83:$AJ$83,0)))*'CA Population'!$L402*10^6</f>
        <v>35.003232250559527</v>
      </c>
      <c r="K402" s="143">
        <f>(INDEX(Production_Consumption!$AA$83:$AJ$99,MATCH('County Scaled Consumption '!$B402,Production_Consumption!$AA$83:$AA$99,0),MATCH('County Scaled Consumption '!K$2,Production_Consumption!$AA$83:$AJ$83,0)))*'CA Population'!$L402*10^6</f>
        <v>484.41725006625529</v>
      </c>
      <c r="L402" s="131">
        <f t="shared" si="6"/>
        <v>0</v>
      </c>
    </row>
    <row r="403" spans="1:12" x14ac:dyDescent="0.2">
      <c r="A403" s="132" t="s">
        <v>351</v>
      </c>
      <c r="B403" s="129">
        <v>2014</v>
      </c>
      <c r="C403" s="143">
        <f>(INDEX(Production_Consumption!$AA$83:$AJ$99,MATCH('County Scaled Consumption '!$B403,Production_Consumption!$AA$83:$AA$99,0),MATCH('County Scaled Consumption '!C$2,Production_Consumption!$AA$83:$AJ$83,0)))*'CA Population'!$L403*10^6</f>
        <v>535.07176412680519</v>
      </c>
      <c r="D403" s="143">
        <f>(INDEX(Production_Consumption!$AA$83:$AJ$99,MATCH('County Scaled Consumption '!$B403,Production_Consumption!$AA$83:$AA$99,0),MATCH('County Scaled Consumption '!D$2,Production_Consumption!$AA$83:$AJ$83,0)))*'CA Population'!$L403*10^6</f>
        <v>2087.0062843619758</v>
      </c>
      <c r="E403" s="143">
        <f>(INDEX(Production_Consumption!$AA$83:$AJ$99,MATCH('County Scaled Consumption '!$B403,Production_Consumption!$AA$83:$AA$99,0),MATCH('County Scaled Consumption '!E$2,Production_Consumption!$AA$83:$AJ$83,0)))*'CA Population'!$L403*10^6</f>
        <v>1147.233250586781</v>
      </c>
      <c r="F403" s="143">
        <f>(INDEX(Production_Consumption!$AA$83:$AJ$99,MATCH('County Scaled Consumption '!$B403,Production_Consumption!$AA$83:$AA$99,0),MATCH('County Scaled Consumption '!F$2,Production_Consumption!$AA$83:$AJ$83,0)))*'CA Population'!$L403*10^6</f>
        <v>367.64719288779315</v>
      </c>
      <c r="G403" s="143">
        <f>(INDEX(Production_Consumption!$AA$83:$AJ$99,MATCH('County Scaled Consumption '!$B403,Production_Consumption!$AA$83:$AA$99,0),MATCH('County Scaled Consumption '!G$2,Production_Consumption!$AA$83:$AJ$83,0)))*'CA Population'!$L403*10^6</f>
        <v>1400.9184238644759</v>
      </c>
      <c r="H403" s="143">
        <f>(INDEX(Production_Consumption!$AA$83:$AJ$99,MATCH('County Scaled Consumption '!$B403,Production_Consumption!$AA$83:$AA$99,0),MATCH('County Scaled Consumption '!H$2,Production_Consumption!$AA$83:$AJ$83,0)))*'CA Population'!$L403*10^6</f>
        <v>39.069321927351012</v>
      </c>
      <c r="I403" s="143">
        <f>(INDEX(Production_Consumption!$AA$83:$AJ$99,MATCH('County Scaled Consumption '!$B403,Production_Consumption!$AA$83:$AA$99,0),MATCH('County Scaled Consumption '!I$2,Production_Consumption!$AA$83:$AJ$83,0)))*'CA Population'!$L403*10^6</f>
        <v>708.257483937551</v>
      </c>
      <c r="J403" s="143">
        <f>(INDEX(Production_Consumption!$AA$83:$AJ$99,MATCH('County Scaled Consumption '!$B403,Production_Consumption!$AA$83:$AA$99,0),MATCH('County Scaled Consumption '!J$2,Production_Consumption!$AA$83:$AJ$83,0)))*'CA Population'!$L403*10^6</f>
        <v>489.53178336932643</v>
      </c>
      <c r="K403" s="143">
        <f>(INDEX(Production_Consumption!$AA$83:$AJ$99,MATCH('County Scaled Consumption '!$B403,Production_Consumption!$AA$83:$AA$99,0),MATCH('County Scaled Consumption '!K$2,Production_Consumption!$AA$83:$AJ$83,0)))*'CA Population'!$L403*10^6</f>
        <v>6774.735505062059</v>
      </c>
      <c r="L403" s="131">
        <f t="shared" si="6"/>
        <v>0</v>
      </c>
    </row>
    <row r="404" spans="1:12" x14ac:dyDescent="0.2">
      <c r="A404" s="132" t="s">
        <v>352</v>
      </c>
      <c r="B404" s="129">
        <v>2014</v>
      </c>
      <c r="C404" s="143">
        <f>(INDEX(Production_Consumption!$AA$83:$AJ$99,MATCH('County Scaled Consumption '!$B404,Production_Consumption!$AA$83:$AA$99,0),MATCH('County Scaled Consumption '!C$2,Production_Consumption!$AA$83:$AJ$83,0)))*'CA Population'!$L404*10^6</f>
        <v>5055.6872215693083</v>
      </c>
      <c r="D404" s="143">
        <f>(INDEX(Production_Consumption!$AA$83:$AJ$99,MATCH('County Scaled Consumption '!$B404,Production_Consumption!$AA$83:$AA$99,0),MATCH('County Scaled Consumption '!D$2,Production_Consumption!$AA$83:$AJ$83,0)))*'CA Population'!$L404*10^6</f>
        <v>19719.319370930531</v>
      </c>
      <c r="E404" s="143">
        <f>(INDEX(Production_Consumption!$AA$83:$AJ$99,MATCH('County Scaled Consumption '!$B404,Production_Consumption!$AA$83:$AA$99,0),MATCH('County Scaled Consumption '!E$2,Production_Consumption!$AA$83:$AJ$83,0)))*'CA Population'!$L404*10^6</f>
        <v>10839.765567925711</v>
      </c>
      <c r="F404" s="143">
        <f>(INDEX(Production_Consumption!$AA$83:$AJ$99,MATCH('County Scaled Consumption '!$B404,Production_Consumption!$AA$83:$AA$99,0),MATCH('County Scaled Consumption '!F$2,Production_Consumption!$AA$83:$AJ$83,0)))*'CA Population'!$L404*10^6</f>
        <v>3473.756867290333</v>
      </c>
      <c r="G404" s="143">
        <f>(INDEX(Production_Consumption!$AA$83:$AJ$99,MATCH('County Scaled Consumption '!$B404,Production_Consumption!$AA$83:$AA$99,0),MATCH('County Scaled Consumption '!G$2,Production_Consumption!$AA$83:$AJ$83,0)))*'CA Population'!$L404*10^6</f>
        <v>13236.739160682308</v>
      </c>
      <c r="H404" s="143">
        <f>(INDEX(Production_Consumption!$AA$83:$AJ$99,MATCH('County Scaled Consumption '!$B404,Production_Consumption!$AA$83:$AA$99,0),MATCH('County Scaled Consumption '!H$2,Production_Consumption!$AA$83:$AJ$83,0)))*'CA Population'!$L404*10^6</f>
        <v>369.15099032711402</v>
      </c>
      <c r="I404" s="143">
        <f>(INDEX(Production_Consumption!$AA$83:$AJ$99,MATCH('County Scaled Consumption '!$B404,Production_Consumption!$AA$83:$AA$99,0),MATCH('County Scaled Consumption '!I$2,Production_Consumption!$AA$83:$AJ$83,0)))*'CA Population'!$L404*10^6</f>
        <v>6692.0524520058952</v>
      </c>
      <c r="J404" s="143">
        <f>(INDEX(Production_Consumption!$AA$83:$AJ$99,MATCH('County Scaled Consumption '!$B404,Production_Consumption!$AA$83:$AA$99,0),MATCH('County Scaled Consumption '!J$2,Production_Consumption!$AA$83:$AJ$83,0)))*'CA Population'!$L404*10^6</f>
        <v>4625.3974656487653</v>
      </c>
      <c r="K404" s="143">
        <f>(INDEX(Production_Consumption!$AA$83:$AJ$99,MATCH('County Scaled Consumption '!$B404,Production_Consumption!$AA$83:$AA$99,0),MATCH('County Scaled Consumption '!K$2,Production_Consumption!$AA$83:$AJ$83,0)))*'CA Population'!$L404*10^6</f>
        <v>64011.86909637996</v>
      </c>
      <c r="L404" s="131">
        <f t="shared" si="6"/>
        <v>0</v>
      </c>
    </row>
    <row r="405" spans="1:12" x14ac:dyDescent="0.2">
      <c r="A405" s="132" t="s">
        <v>353</v>
      </c>
      <c r="B405" s="129">
        <v>2014</v>
      </c>
      <c r="C405" s="143">
        <f>(INDEX(Production_Consumption!$AA$83:$AJ$99,MATCH('County Scaled Consumption '!$B405,Production_Consumption!$AA$83:$AA$99,0),MATCH('County Scaled Consumption '!C$2,Production_Consumption!$AA$83:$AJ$83,0)))*'CA Population'!$L405*10^6</f>
        <v>5936.2050136017642</v>
      </c>
      <c r="D405" s="143">
        <f>(INDEX(Production_Consumption!$AA$83:$AJ$99,MATCH('County Scaled Consumption '!$B405,Production_Consumption!$AA$83:$AA$99,0),MATCH('County Scaled Consumption '!D$2,Production_Consumption!$AA$83:$AJ$83,0)))*'CA Population'!$L405*10^6</f>
        <v>23153.711332283907</v>
      </c>
      <c r="E405" s="143">
        <f>(INDEX(Production_Consumption!$AA$83:$AJ$99,MATCH('County Scaled Consumption '!$B405,Production_Consumption!$AA$83:$AA$99,0),MATCH('County Scaled Consumption '!E$2,Production_Consumption!$AA$83:$AJ$83,0)))*'CA Population'!$L405*10^6</f>
        <v>12727.66053170013</v>
      </c>
      <c r="F405" s="143">
        <f>(INDEX(Production_Consumption!$AA$83:$AJ$99,MATCH('County Scaled Consumption '!$B405,Production_Consumption!$AA$83:$AA$99,0),MATCH('County Scaled Consumption '!F$2,Production_Consumption!$AA$83:$AJ$83,0)))*'CA Population'!$L405*10^6</f>
        <v>4078.7596281008859</v>
      </c>
      <c r="G405" s="143">
        <f>(INDEX(Production_Consumption!$AA$83:$AJ$99,MATCH('County Scaled Consumption '!$B405,Production_Consumption!$AA$83:$AA$99,0),MATCH('County Scaled Consumption '!G$2,Production_Consumption!$AA$83:$AJ$83,0)))*'CA Population'!$L405*10^6</f>
        <v>15542.100198396129</v>
      </c>
      <c r="H405" s="143">
        <f>(INDEX(Production_Consumption!$AA$83:$AJ$99,MATCH('County Scaled Consumption '!$B405,Production_Consumption!$AA$83:$AA$99,0),MATCH('County Scaled Consumption '!H$2,Production_Consumption!$AA$83:$AJ$83,0)))*'CA Population'!$L405*10^6</f>
        <v>433.44373643345443</v>
      </c>
      <c r="I405" s="143">
        <f>(INDEX(Production_Consumption!$AA$83:$AJ$99,MATCH('County Scaled Consumption '!$B405,Production_Consumption!$AA$83:$AA$99,0),MATCH('County Scaled Consumption '!I$2,Production_Consumption!$AA$83:$AJ$83,0)))*'CA Population'!$L405*10^6</f>
        <v>7857.5658611555536</v>
      </c>
      <c r="J405" s="143">
        <f>(INDEX(Production_Consumption!$AA$83:$AJ$99,MATCH('County Scaled Consumption '!$B405,Production_Consumption!$AA$83:$AA$99,0),MATCH('County Scaled Consumption '!J$2,Production_Consumption!$AA$83:$AJ$83,0)))*'CA Population'!$L405*10^6</f>
        <v>5430.9743506961304</v>
      </c>
      <c r="K405" s="143">
        <f>(INDEX(Production_Consumption!$AA$83:$AJ$99,MATCH('County Scaled Consumption '!$B405,Production_Consumption!$AA$83:$AA$99,0),MATCH('County Scaled Consumption '!K$2,Production_Consumption!$AA$83:$AJ$83,0)))*'CA Population'!$L405*10^6</f>
        <v>75160.420652367946</v>
      </c>
      <c r="L405" s="131">
        <f t="shared" si="6"/>
        <v>0</v>
      </c>
    </row>
    <row r="406" spans="1:12" x14ac:dyDescent="0.2">
      <c r="A406" s="132" t="s">
        <v>354</v>
      </c>
      <c r="B406" s="129">
        <v>2014</v>
      </c>
      <c r="C406" s="143">
        <f>(INDEX(Production_Consumption!$AA$83:$AJ$99,MATCH('County Scaled Consumption '!$B406,Production_Consumption!$AA$83:$AA$99,0),MATCH('County Scaled Consumption '!C$2,Production_Consumption!$AA$83:$AJ$83,0)))*'CA Population'!$L406*10^6</f>
        <v>6317.9999546722283</v>
      </c>
      <c r="D406" s="143">
        <f>(INDEX(Production_Consumption!$AA$83:$AJ$99,MATCH('County Scaled Consumption '!$B406,Production_Consumption!$AA$83:$AA$99,0),MATCH('County Scaled Consumption '!D$2,Production_Consumption!$AA$83:$AJ$83,0)))*'CA Population'!$L406*10^6</f>
        <v>24642.873150889664</v>
      </c>
      <c r="E406" s="143">
        <f>(INDEX(Production_Consumption!$AA$83:$AJ$99,MATCH('County Scaled Consumption '!$B406,Production_Consumption!$AA$83:$AA$99,0),MATCH('County Scaled Consumption '!E$2,Production_Consumption!$AA$83:$AJ$83,0)))*'CA Population'!$L406*10^6</f>
        <v>13546.256990469825</v>
      </c>
      <c r="F406" s="143">
        <f>(INDEX(Production_Consumption!$AA$83:$AJ$99,MATCH('County Scaled Consumption '!$B406,Production_Consumption!$AA$83:$AA$99,0),MATCH('County Scaled Consumption '!F$2,Production_Consumption!$AA$83:$AJ$83,0)))*'CA Population'!$L406*10^6</f>
        <v>4341.090492396037</v>
      </c>
      <c r="G406" s="143">
        <f>(INDEX(Production_Consumption!$AA$83:$AJ$99,MATCH('County Scaled Consumption '!$B406,Production_Consumption!$AA$83:$AA$99,0),MATCH('County Scaled Consumption '!G$2,Production_Consumption!$AA$83:$AJ$83,0)))*'CA Population'!$L406*10^6</f>
        <v>16541.711097238302</v>
      </c>
      <c r="H406" s="143">
        <f>(INDEX(Production_Consumption!$AA$83:$AJ$99,MATCH('County Scaled Consumption '!$B406,Production_Consumption!$AA$83:$AA$99,0),MATCH('County Scaled Consumption '!H$2,Production_Consumption!$AA$83:$AJ$83,0)))*'CA Population'!$L406*10^6</f>
        <v>461.32124831685269</v>
      </c>
      <c r="I406" s="143">
        <f>(INDEX(Production_Consumption!$AA$83:$AJ$99,MATCH('County Scaled Consumption '!$B406,Production_Consumption!$AA$83:$AA$99,0),MATCH('County Scaled Consumption '!I$2,Production_Consumption!$AA$83:$AJ$83,0)))*'CA Population'!$L406*10^6</f>
        <v>8362.9356871712062</v>
      </c>
      <c r="J406" s="143">
        <f>(INDEX(Production_Consumption!$AA$83:$AJ$99,MATCH('County Scaled Consumption '!$B406,Production_Consumption!$AA$83:$AA$99,0),MATCH('County Scaled Consumption '!J$2,Production_Consumption!$AA$83:$AJ$83,0)))*'CA Population'!$L406*10^6</f>
        <v>5780.2747079830033</v>
      </c>
      <c r="K406" s="143">
        <f>(INDEX(Production_Consumption!$AA$83:$AJ$99,MATCH('County Scaled Consumption '!$B406,Production_Consumption!$AA$83:$AA$99,0),MATCH('County Scaled Consumption '!K$2,Production_Consumption!$AA$83:$AJ$83,0)))*'CA Population'!$L406*10^6</f>
        <v>79994.463329137114</v>
      </c>
      <c r="L406" s="131">
        <f t="shared" si="6"/>
        <v>0</v>
      </c>
    </row>
    <row r="407" spans="1:12" x14ac:dyDescent="0.2">
      <c r="A407" s="132" t="s">
        <v>355</v>
      </c>
      <c r="B407" s="129">
        <v>2014</v>
      </c>
      <c r="C407" s="143">
        <f>(INDEX(Production_Consumption!$AA$83:$AJ$99,MATCH('County Scaled Consumption '!$B407,Production_Consumption!$AA$83:$AA$99,0),MATCH('County Scaled Consumption '!C$2,Production_Consumption!$AA$83:$AJ$83,0)))*'CA Population'!$L407*10^6</f>
        <v>1141.5755908527879</v>
      </c>
      <c r="D407" s="143">
        <f>(INDEX(Production_Consumption!$AA$83:$AJ$99,MATCH('County Scaled Consumption '!$B407,Production_Consumption!$AA$83:$AA$99,0),MATCH('County Scaled Consumption '!D$2,Production_Consumption!$AA$83:$AJ$83,0)))*'CA Population'!$L407*10^6</f>
        <v>4452.6278378228662</v>
      </c>
      <c r="E407" s="143">
        <f>(INDEX(Production_Consumption!$AA$83:$AJ$99,MATCH('County Scaled Consumption '!$B407,Production_Consumption!$AA$83:$AA$99,0),MATCH('County Scaled Consumption '!E$2,Production_Consumption!$AA$83:$AJ$83,0)))*'CA Population'!$L407*10^6</f>
        <v>2447.6221017227849</v>
      </c>
      <c r="F407" s="143">
        <f>(INDEX(Production_Consumption!$AA$83:$AJ$99,MATCH('County Scaled Consumption '!$B407,Production_Consumption!$AA$83:$AA$99,0),MATCH('County Scaled Consumption '!F$2,Production_Consumption!$AA$83:$AJ$83,0)))*'CA Population'!$L407*10^6</f>
        <v>784.37527371896317</v>
      </c>
      <c r="G407" s="143">
        <f>(INDEX(Production_Consumption!$AA$83:$AJ$99,MATCH('County Scaled Consumption '!$B407,Production_Consumption!$AA$83:$AA$99,0),MATCH('County Scaled Consumption '!G$2,Production_Consumption!$AA$83:$AJ$83,0)))*'CA Population'!$L407*10^6</f>
        <v>2988.8594104185299</v>
      </c>
      <c r="H407" s="143">
        <f>(INDEX(Production_Consumption!$AA$83:$AJ$99,MATCH('County Scaled Consumption '!$B407,Production_Consumption!$AA$83:$AA$99,0),MATCH('County Scaled Consumption '!H$2,Production_Consumption!$AA$83:$AJ$83,0)))*'CA Population'!$L407*10^6</f>
        <v>83.354397024141491</v>
      </c>
      <c r="I407" s="143">
        <f>(INDEX(Production_Consumption!$AA$83:$AJ$99,MATCH('County Scaled Consumption '!$B407,Production_Consumption!$AA$83:$AA$99,0),MATCH('County Scaled Consumption '!I$2,Production_Consumption!$AA$83:$AJ$83,0)))*'CA Population'!$L407*10^6</f>
        <v>1511.0673182715495</v>
      </c>
      <c r="J407" s="143">
        <f>(INDEX(Production_Consumption!$AA$83:$AJ$99,MATCH('County Scaled Consumption '!$B407,Production_Consumption!$AA$83:$AA$99,0),MATCH('County Scaled Consumption '!J$2,Production_Consumption!$AA$83:$AJ$83,0)))*'CA Population'!$L407*10^6</f>
        <v>1044.4160434311768</v>
      </c>
      <c r="K407" s="143">
        <f>(INDEX(Production_Consumption!$AA$83:$AJ$99,MATCH('County Scaled Consumption '!$B407,Production_Consumption!$AA$83:$AA$99,0),MATCH('County Scaled Consumption '!K$2,Production_Consumption!$AA$83:$AJ$83,0)))*'CA Population'!$L407*10^6</f>
        <v>14453.897973262801</v>
      </c>
      <c r="L407" s="131">
        <f t="shared" si="6"/>
        <v>0</v>
      </c>
    </row>
    <row r="408" spans="1:12" x14ac:dyDescent="0.2">
      <c r="A408" s="132" t="s">
        <v>356</v>
      </c>
      <c r="B408" s="129">
        <v>2014</v>
      </c>
      <c r="C408" s="143">
        <f>(INDEX(Production_Consumption!$AA$83:$AJ$99,MATCH('County Scaled Consumption '!$B408,Production_Consumption!$AA$83:$AA$99,0),MATCH('County Scaled Consumption '!C$2,Production_Consumption!$AA$83:$AJ$83,0)))*'CA Population'!$L408*10^6</f>
        <v>750.57400981843978</v>
      </c>
      <c r="D408" s="143">
        <f>(INDEX(Production_Consumption!$AA$83:$AJ$99,MATCH('County Scaled Consumption '!$B408,Production_Consumption!$AA$83:$AA$99,0),MATCH('County Scaled Consumption '!D$2,Production_Consumption!$AA$83:$AJ$83,0)))*'CA Population'!$L408*10^6</f>
        <v>2927.5562277635368</v>
      </c>
      <c r="E408" s="143">
        <f>(INDEX(Production_Consumption!$AA$83:$AJ$99,MATCH('County Scaled Consumption '!$B408,Production_Consumption!$AA$83:$AA$99,0),MATCH('County Scaled Consumption '!E$2,Production_Consumption!$AA$83:$AJ$83,0)))*'CA Population'!$L408*10^6</f>
        <v>1609.2859291410814</v>
      </c>
      <c r="F408" s="143">
        <f>(INDEX(Production_Consumption!$AA$83:$AJ$99,MATCH('County Scaled Consumption '!$B408,Production_Consumption!$AA$83:$AA$99,0),MATCH('County Scaled Consumption '!F$2,Production_Consumption!$AA$83:$AJ$83,0)))*'CA Population'!$L408*10^6</f>
        <v>515.71853770794098</v>
      </c>
      <c r="G408" s="143">
        <f>(INDEX(Production_Consumption!$AA$83:$AJ$99,MATCH('County Scaled Consumption '!$B408,Production_Consumption!$AA$83:$AA$99,0),MATCH('County Scaled Consumption '!G$2,Production_Consumption!$AA$83:$AJ$83,0)))*'CA Population'!$L408*10^6</f>
        <v>1965.1437981304093</v>
      </c>
      <c r="H408" s="143">
        <f>(INDEX(Production_Consumption!$AA$83:$AJ$99,MATCH('County Scaled Consumption '!$B408,Production_Consumption!$AA$83:$AA$99,0),MATCH('County Scaled Consumption '!H$2,Production_Consumption!$AA$83:$AJ$83,0)))*'CA Population'!$L408*10^6</f>
        <v>54.804644135454375</v>
      </c>
      <c r="I408" s="143">
        <f>(INDEX(Production_Consumption!$AA$83:$AJ$99,MATCH('County Scaled Consumption '!$B408,Production_Consumption!$AA$83:$AA$99,0),MATCH('County Scaled Consumption '!I$2,Production_Consumption!$AA$83:$AJ$83,0)))*'CA Population'!$L408*10^6</f>
        <v>993.51095562004753</v>
      </c>
      <c r="J408" s="143">
        <f>(INDEX(Production_Consumption!$AA$83:$AJ$99,MATCH('County Scaled Consumption '!$B408,Production_Consumption!$AA$83:$AA$99,0),MATCH('County Scaled Consumption '!J$2,Production_Consumption!$AA$83:$AJ$83,0)))*'CA Population'!$L408*10^6</f>
        <v>686.69262370198794</v>
      </c>
      <c r="K408" s="143">
        <f>(INDEX(Production_Consumption!$AA$83:$AJ$99,MATCH('County Scaled Consumption '!$B408,Production_Consumption!$AA$83:$AA$99,0),MATCH('County Scaled Consumption '!K$2,Production_Consumption!$AA$83:$AJ$83,0)))*'CA Population'!$L408*10^6</f>
        <v>9503.2867260188978</v>
      </c>
      <c r="L408" s="131">
        <f t="shared" si="6"/>
        <v>0</v>
      </c>
    </row>
    <row r="409" spans="1:12" x14ac:dyDescent="0.2">
      <c r="A409" s="132" t="s">
        <v>357</v>
      </c>
      <c r="B409" s="129">
        <v>2014</v>
      </c>
      <c r="C409" s="143">
        <f>(INDEX(Production_Consumption!$AA$83:$AJ$99,MATCH('County Scaled Consumption '!$B409,Production_Consumption!$AA$83:$AA$99,0),MATCH('County Scaled Consumption '!C$2,Production_Consumption!$AA$83:$AJ$83,0)))*'CA Population'!$L409*10^6</f>
        <v>163.85669725608741</v>
      </c>
      <c r="D409" s="143">
        <f>(INDEX(Production_Consumption!$AA$83:$AJ$99,MATCH('County Scaled Consumption '!$B409,Production_Consumption!$AA$83:$AA$99,0),MATCH('County Scaled Consumption '!D$2,Production_Consumption!$AA$83:$AJ$83,0)))*'CA Population'!$L409*10^6</f>
        <v>639.11045178457505</v>
      </c>
      <c r="E409" s="143">
        <f>(INDEX(Production_Consumption!$AA$83:$AJ$99,MATCH('County Scaled Consumption '!$B409,Production_Consumption!$AA$83:$AA$99,0),MATCH('County Scaled Consumption '!E$2,Production_Consumption!$AA$83:$AJ$83,0)))*'CA Population'!$L409*10^6</f>
        <v>351.32082091882904</v>
      </c>
      <c r="F409" s="143">
        <f>(INDEX(Production_Consumption!$AA$83:$AJ$99,MATCH('County Scaled Consumption '!$B409,Production_Consumption!$AA$83:$AA$99,0),MATCH('County Scaled Consumption '!F$2,Production_Consumption!$AA$83:$AJ$83,0)))*'CA Population'!$L409*10^6</f>
        <v>112.58574797041437</v>
      </c>
      <c r="G409" s="143">
        <f>(INDEX(Production_Consumption!$AA$83:$AJ$99,MATCH('County Scaled Consumption '!$B409,Production_Consumption!$AA$83:$AA$99,0),MATCH('County Scaled Consumption '!G$2,Production_Consumption!$AA$83:$AJ$83,0)))*'CA Population'!$L409*10^6</f>
        <v>429.00762374229151</v>
      </c>
      <c r="H409" s="143">
        <f>(INDEX(Production_Consumption!$AA$83:$AJ$99,MATCH('County Scaled Consumption '!$B409,Production_Consumption!$AA$83:$AA$99,0),MATCH('County Scaled Consumption '!H$2,Production_Consumption!$AA$83:$AJ$83,0)))*'CA Population'!$L409*10^6</f>
        <v>11.964320459887757</v>
      </c>
      <c r="I409" s="143">
        <f>(INDEX(Production_Consumption!$AA$83:$AJ$99,MATCH('County Scaled Consumption '!$B409,Production_Consumption!$AA$83:$AA$99,0),MATCH('County Scaled Consumption '!I$2,Production_Consumption!$AA$83:$AJ$83,0)))*'CA Population'!$L409*10^6</f>
        <v>216.89190105985568</v>
      </c>
      <c r="J409" s="143">
        <f>(INDEX(Production_Consumption!$AA$83:$AJ$99,MATCH('County Scaled Consumption '!$B409,Production_Consumption!$AA$83:$AA$99,0),MATCH('County Scaled Consumption '!J$2,Production_Consumption!$AA$83:$AJ$83,0)))*'CA Population'!$L409*10^6</f>
        <v>149.91084673601054</v>
      </c>
      <c r="K409" s="143">
        <f>(INDEX(Production_Consumption!$AA$83:$AJ$99,MATCH('County Scaled Consumption '!$B409,Production_Consumption!$AA$83:$AA$99,0),MATCH('County Scaled Consumption '!K$2,Production_Consumption!$AA$83:$AJ$83,0)))*'CA Population'!$L409*10^6</f>
        <v>2074.648409927951</v>
      </c>
      <c r="L409" s="131">
        <f t="shared" si="6"/>
        <v>0</v>
      </c>
    </row>
    <row r="410" spans="1:12" x14ac:dyDescent="0.2">
      <c r="A410" s="132" t="s">
        <v>358</v>
      </c>
      <c r="B410" s="129">
        <v>2014</v>
      </c>
      <c r="C410" s="143">
        <f>(INDEX(Production_Consumption!$AA$83:$AJ$99,MATCH('County Scaled Consumption '!$B410,Production_Consumption!$AA$83:$AA$99,0),MATCH('County Scaled Consumption '!C$2,Production_Consumption!$AA$83:$AJ$83,0)))*'CA Population'!$L410*10^6</f>
        <v>5474.9296631932675</v>
      </c>
      <c r="D410" s="143">
        <f>(INDEX(Production_Consumption!$AA$83:$AJ$99,MATCH('County Scaled Consumption '!$B410,Production_Consumption!$AA$83:$AA$99,0),MATCH('County Scaled Consumption '!D$2,Production_Consumption!$AA$83:$AJ$83,0)))*'CA Population'!$L410*10^6</f>
        <v>21354.54228681048</v>
      </c>
      <c r="E410" s="143">
        <f>(INDEX(Production_Consumption!$AA$83:$AJ$99,MATCH('County Scaled Consumption '!$B410,Production_Consumption!$AA$83:$AA$99,0),MATCH('County Scaled Consumption '!E$2,Production_Consumption!$AA$83:$AJ$83,0)))*'CA Population'!$L410*10^6</f>
        <v>11738.652224509238</v>
      </c>
      <c r="F410" s="143">
        <f>(INDEX(Production_Consumption!$AA$83:$AJ$99,MATCH('County Scaled Consumption '!$B410,Production_Consumption!$AA$83:$AA$99,0),MATCH('County Scaled Consumption '!F$2,Production_Consumption!$AA$83:$AJ$83,0)))*'CA Population'!$L410*10^6</f>
        <v>3761.8178660873941</v>
      </c>
      <c r="G410" s="143">
        <f>(INDEX(Production_Consumption!$AA$83:$AJ$99,MATCH('County Scaled Consumption '!$B410,Production_Consumption!$AA$83:$AA$99,0),MATCH('County Scaled Consumption '!G$2,Production_Consumption!$AA$83:$AJ$83,0)))*'CA Population'!$L410*10^6</f>
        <v>14334.394652736533</v>
      </c>
      <c r="H410" s="143">
        <f>(INDEX(Production_Consumption!$AA$83:$AJ$99,MATCH('County Scaled Consumption '!$B410,Production_Consumption!$AA$83:$AA$99,0),MATCH('County Scaled Consumption '!H$2,Production_Consumption!$AA$83:$AJ$83,0)))*'CA Population'!$L410*10^6</f>
        <v>399.76280544343808</v>
      </c>
      <c r="I410" s="143">
        <f>(INDEX(Production_Consumption!$AA$83:$AJ$99,MATCH('County Scaled Consumption '!$B410,Production_Consumption!$AA$83:$AA$99,0),MATCH('County Scaled Consumption '!I$2,Production_Consumption!$AA$83:$AJ$83,0)))*'CA Population'!$L410*10^6</f>
        <v>7246.9903440267717</v>
      </c>
      <c r="J410" s="143">
        <f>(INDEX(Production_Consumption!$AA$83:$AJ$99,MATCH('County Scaled Consumption '!$B410,Production_Consumption!$AA$83:$AA$99,0),MATCH('County Scaled Consumption '!J$2,Production_Consumption!$AA$83:$AJ$83,0)))*'CA Population'!$L410*10^6</f>
        <v>5008.958165113464</v>
      </c>
      <c r="K410" s="143">
        <f>(INDEX(Production_Consumption!$AA$83:$AJ$99,MATCH('County Scaled Consumption '!$B410,Production_Consumption!$AA$83:$AA$99,0),MATCH('County Scaled Consumption '!K$2,Production_Consumption!$AA$83:$AJ$83,0)))*'CA Population'!$L410*10^6</f>
        <v>69320.048007920574</v>
      </c>
      <c r="L410" s="131">
        <f t="shared" si="6"/>
        <v>0</v>
      </c>
    </row>
    <row r="411" spans="1:12" x14ac:dyDescent="0.2">
      <c r="A411" s="132" t="s">
        <v>359</v>
      </c>
      <c r="B411" s="129">
        <v>2014</v>
      </c>
      <c r="C411" s="143">
        <f>(INDEX(Production_Consumption!$AA$83:$AJ$99,MATCH('County Scaled Consumption '!$B411,Production_Consumption!$AA$83:$AA$99,0),MATCH('County Scaled Consumption '!C$2,Production_Consumption!$AA$83:$AJ$83,0)))*'CA Population'!$L411*10^6</f>
        <v>657.74337547440643</v>
      </c>
      <c r="D411" s="143">
        <f>(INDEX(Production_Consumption!$AA$83:$AJ$99,MATCH('County Scaled Consumption '!$B411,Production_Consumption!$AA$83:$AA$99,0),MATCH('County Scaled Consumption '!D$2,Production_Consumption!$AA$83:$AJ$83,0)))*'CA Population'!$L411*10^6</f>
        <v>2565.4774745079412</v>
      </c>
      <c r="E411" s="143">
        <f>(INDEX(Production_Consumption!$AA$83:$AJ$99,MATCH('County Scaled Consumption '!$B411,Production_Consumption!$AA$83:$AA$99,0),MATCH('County Scaled Consumption '!E$2,Production_Consumption!$AA$83:$AJ$83,0)))*'CA Population'!$L411*10^6</f>
        <v>1410.2502155553814</v>
      </c>
      <c r="F411" s="143">
        <f>(INDEX(Production_Consumption!$AA$83:$AJ$99,MATCH('County Scaled Consumption '!$B411,Production_Consumption!$AA$83:$AA$99,0),MATCH('County Scaled Consumption '!F$2,Production_Consumption!$AA$83:$AJ$83,0)))*'CA Population'!$L411*10^6</f>
        <v>451.93471576347213</v>
      </c>
      <c r="G411" s="143">
        <f>(INDEX(Production_Consumption!$AA$83:$AJ$99,MATCH('County Scaled Consumption '!$B411,Production_Consumption!$AA$83:$AA$99,0),MATCH('County Scaled Consumption '!G$2,Production_Consumption!$AA$83:$AJ$83,0)))*'CA Population'!$L411*10^6</f>
        <v>1722.0957536053709</v>
      </c>
      <c r="H411" s="143">
        <f>(INDEX(Production_Consumption!$AA$83:$AJ$99,MATCH('County Scaled Consumption '!$B411,Production_Consumption!$AA$83:$AA$99,0),MATCH('County Scaled Consumption '!H$2,Production_Consumption!$AA$83:$AJ$83,0)))*'CA Population'!$L411*10^6</f>
        <v>48.026431975771573</v>
      </c>
      <c r="I411" s="143">
        <f>(INDEX(Production_Consumption!$AA$83:$AJ$99,MATCH('County Scaled Consumption '!$B411,Production_Consumption!$AA$83:$AA$99,0),MATCH('County Scaled Consumption '!I$2,Production_Consumption!$AA$83:$AJ$83,0)))*'CA Population'!$L411*10^6</f>
        <v>870.63399607775625</v>
      </c>
      <c r="J411" s="143">
        <f>(INDEX(Production_Consumption!$AA$83:$AJ$99,MATCH('County Scaled Consumption '!$B411,Production_Consumption!$AA$83:$AA$99,0),MATCH('County Scaled Consumption '!J$2,Production_Consumption!$AA$83:$AJ$83,0)))*'CA Population'!$L411*10^6</f>
        <v>601.7628086221348</v>
      </c>
      <c r="K411" s="143">
        <f>(INDEX(Production_Consumption!$AA$83:$AJ$99,MATCH('County Scaled Consumption '!$B411,Production_Consumption!$AA$83:$AA$99,0),MATCH('County Scaled Consumption '!K$2,Production_Consumption!$AA$83:$AJ$83,0)))*'CA Population'!$L411*10^6</f>
        <v>8327.9247715822348</v>
      </c>
      <c r="L411" s="131">
        <f t="shared" si="6"/>
        <v>0</v>
      </c>
    </row>
    <row r="412" spans="1:12" x14ac:dyDescent="0.2">
      <c r="A412" s="132" t="s">
        <v>360</v>
      </c>
      <c r="B412" s="129">
        <v>2014</v>
      </c>
      <c r="C412" s="143">
        <f>(INDEX(Production_Consumption!$AA$83:$AJ$99,MATCH('County Scaled Consumption '!$B412,Production_Consumption!$AA$83:$AA$99,0),MATCH('County Scaled Consumption '!C$2,Production_Consumption!$AA$83:$AJ$83,0)))*'CA Population'!$L412*10^6</f>
        <v>10093.617927410602</v>
      </c>
      <c r="D412" s="143">
        <f>(INDEX(Production_Consumption!$AA$83:$AJ$99,MATCH('County Scaled Consumption '!$B412,Production_Consumption!$AA$83:$AA$99,0),MATCH('County Scaled Consumption '!D$2,Production_Consumption!$AA$83:$AJ$83,0)))*'CA Population'!$L412*10^6</f>
        <v>39369.380817228812</v>
      </c>
      <c r="E412" s="143">
        <f>(INDEX(Production_Consumption!$AA$83:$AJ$99,MATCH('County Scaled Consumption '!$B412,Production_Consumption!$AA$83:$AA$99,0),MATCH('County Scaled Consumption '!E$2,Production_Consumption!$AA$83:$AJ$83,0)))*'CA Population'!$L412*10^6</f>
        <v>21641.459859018138</v>
      </c>
      <c r="F412" s="143">
        <f>(INDEX(Production_Consumption!$AA$83:$AJ$99,MATCH('County Scaled Consumption '!$B412,Production_Consumption!$AA$83:$AA$99,0),MATCH('County Scaled Consumption '!F$2,Production_Consumption!$AA$83:$AJ$83,0)))*'CA Population'!$L412*10^6</f>
        <v>6935.3132530741786</v>
      </c>
      <c r="G412" s="143">
        <f>(INDEX(Production_Consumption!$AA$83:$AJ$99,MATCH('County Scaled Consumption '!$B412,Production_Consumption!$AA$83:$AA$99,0),MATCH('County Scaled Consumption '!G$2,Production_Consumption!$AA$83:$AJ$83,0)))*'CA Population'!$L412*10^6</f>
        <v>26426.988426560296</v>
      </c>
      <c r="H412" s="143">
        <f>(INDEX(Production_Consumption!$AA$83:$AJ$99,MATCH('County Scaled Consumption '!$B412,Production_Consumption!$AA$83:$AA$99,0),MATCH('County Scaled Consumption '!H$2,Production_Consumption!$AA$83:$AJ$83,0)))*'CA Population'!$L412*10^6</f>
        <v>737.00545357917667</v>
      </c>
      <c r="I412" s="143">
        <f>(INDEX(Production_Consumption!$AA$83:$AJ$99,MATCH('County Scaled Consumption '!$B412,Production_Consumption!$AA$83:$AA$99,0),MATCH('County Scaled Consumption '!I$2,Production_Consumption!$AA$83:$AJ$83,0)))*'CA Population'!$L412*10^6</f>
        <v>13360.601168632398</v>
      </c>
      <c r="J412" s="143">
        <f>(INDEX(Production_Consumption!$AA$83:$AJ$99,MATCH('County Scaled Consumption '!$B412,Production_Consumption!$AA$83:$AA$99,0),MATCH('County Scaled Consumption '!J$2,Production_Consumption!$AA$83:$AJ$83,0)))*'CA Population'!$L412*10^6</f>
        <v>9234.5496733834916</v>
      </c>
      <c r="K412" s="143">
        <f>(INDEX(Production_Consumption!$AA$83:$AJ$99,MATCH('County Scaled Consumption '!$B412,Production_Consumption!$AA$83:$AA$99,0),MATCH('County Scaled Consumption '!K$2,Production_Consumption!$AA$83:$AJ$83,0)))*'CA Population'!$L412*10^6</f>
        <v>127798.91657888709</v>
      </c>
      <c r="L412" s="131">
        <f t="shared" si="6"/>
        <v>0</v>
      </c>
    </row>
    <row r="413" spans="1:12" x14ac:dyDescent="0.2">
      <c r="A413" s="132" t="s">
        <v>361</v>
      </c>
      <c r="B413" s="129">
        <v>2014</v>
      </c>
      <c r="C413" s="143">
        <f>(INDEX(Production_Consumption!$AA$83:$AJ$99,MATCH('County Scaled Consumption '!$B413,Production_Consumption!$AA$83:$AA$99,0),MATCH('County Scaled Consumption '!C$2,Production_Consumption!$AA$83:$AJ$83,0)))*'CA Population'!$L413*10^6</f>
        <v>2491.3693153635263</v>
      </c>
      <c r="D413" s="143">
        <f>(INDEX(Production_Consumption!$AA$83:$AJ$99,MATCH('County Scaled Consumption '!$B413,Production_Consumption!$AA$83:$AA$99,0),MATCH('County Scaled Consumption '!D$2,Production_Consumption!$AA$83:$AJ$83,0)))*'CA Population'!$L413*10^6</f>
        <v>9717.3944999984251</v>
      </c>
      <c r="E413" s="143">
        <f>(INDEX(Production_Consumption!$AA$83:$AJ$99,MATCH('County Scaled Consumption '!$B413,Production_Consumption!$AA$83:$AA$99,0),MATCH('County Scaled Consumption '!E$2,Production_Consumption!$AA$83:$AJ$83,0)))*'CA Population'!$L413*10^6</f>
        <v>5341.6792095934798</v>
      </c>
      <c r="F413" s="143">
        <f>(INDEX(Production_Consumption!$AA$83:$AJ$99,MATCH('County Scaled Consumption '!$B413,Production_Consumption!$AA$83:$AA$99,0),MATCH('County Scaled Consumption '!F$2,Production_Consumption!$AA$83:$AJ$83,0)))*'CA Population'!$L413*10^6</f>
        <v>1711.8169872688634</v>
      </c>
      <c r="G413" s="143">
        <f>(INDEX(Production_Consumption!$AA$83:$AJ$99,MATCH('County Scaled Consumption '!$B413,Production_Consumption!$AA$83:$AA$99,0),MATCH('County Scaled Consumption '!G$2,Production_Consumption!$AA$83:$AJ$83,0)))*'CA Population'!$L413*10^6</f>
        <v>6522.8730210406993</v>
      </c>
      <c r="H413" s="143">
        <f>(INDEX(Production_Consumption!$AA$83:$AJ$99,MATCH('County Scaled Consumption '!$B413,Production_Consumption!$AA$83:$AA$99,0),MATCH('County Scaled Consumption '!H$2,Production_Consumption!$AA$83:$AJ$83,0)))*'CA Population'!$L413*10^6</f>
        <v>181.9122524260022</v>
      </c>
      <c r="I413" s="143">
        <f>(INDEX(Production_Consumption!$AA$83:$AJ$99,MATCH('County Scaled Consumption '!$B413,Production_Consumption!$AA$83:$AA$99,0),MATCH('County Scaled Consumption '!I$2,Production_Consumption!$AA$83:$AJ$83,0)))*'CA Population'!$L413*10^6</f>
        <v>3297.7463606926917</v>
      </c>
      <c r="J413" s="143">
        <f>(INDEX(Production_Consumption!$AA$83:$AJ$99,MATCH('County Scaled Consumption '!$B413,Production_Consumption!$AA$83:$AA$99,0),MATCH('County Scaled Consumption '!J$2,Production_Consumption!$AA$83:$AJ$83,0)))*'CA Population'!$L413*10^6</f>
        <v>2279.3287662484354</v>
      </c>
      <c r="K413" s="143">
        <f>(INDEX(Production_Consumption!$AA$83:$AJ$99,MATCH('County Scaled Consumption '!$B413,Production_Consumption!$AA$83:$AA$99,0),MATCH('County Scaled Consumption '!K$2,Production_Consumption!$AA$83:$AJ$83,0)))*'CA Population'!$L413*10^6</f>
        <v>31544.120412632124</v>
      </c>
      <c r="L413" s="131">
        <f t="shared" si="6"/>
        <v>0</v>
      </c>
    </row>
    <row r="414" spans="1:12" x14ac:dyDescent="0.2">
      <c r="A414" s="132" t="s">
        <v>362</v>
      </c>
      <c r="B414" s="129">
        <v>2014</v>
      </c>
      <c r="C414" s="143">
        <f>(INDEX(Production_Consumption!$AA$83:$AJ$99,MATCH('County Scaled Consumption '!$B414,Production_Consumption!$AA$83:$AA$99,0),MATCH('County Scaled Consumption '!C$2,Production_Consumption!$AA$83:$AJ$83,0)))*'CA Population'!$L414*10^6</f>
        <v>880.42226269431012</v>
      </c>
      <c r="D414" s="143">
        <f>(INDEX(Production_Consumption!$AA$83:$AJ$99,MATCH('County Scaled Consumption '!$B414,Production_Consumption!$AA$83:$AA$99,0),MATCH('County Scaled Consumption '!D$2,Production_Consumption!$AA$83:$AJ$83,0)))*'CA Population'!$L414*10^6</f>
        <v>3434.0193565133886</v>
      </c>
      <c r="E414" s="143">
        <f>(INDEX(Production_Consumption!$AA$83:$AJ$99,MATCH('County Scaled Consumption '!$B414,Production_Consumption!$AA$83:$AA$99,0),MATCH('County Scaled Consumption '!E$2,Production_Consumption!$AA$83:$AJ$83,0)))*'CA Population'!$L414*10^6</f>
        <v>1887.6901418412233</v>
      </c>
      <c r="F414" s="143">
        <f>(INDEX(Production_Consumption!$AA$83:$AJ$99,MATCH('County Scaled Consumption '!$B414,Production_Consumption!$AA$83:$AA$99,0),MATCH('County Scaled Consumption '!F$2,Production_Consumption!$AA$83:$AJ$83,0)))*'CA Population'!$L414*10^6</f>
        <v>604.93712271233426</v>
      </c>
      <c r="G414" s="143">
        <f>(INDEX(Production_Consumption!$AA$83:$AJ$99,MATCH('County Scaled Consumption '!$B414,Production_Consumption!$AA$83:$AA$99,0),MATCH('County Scaled Consumption '!G$2,Production_Consumption!$AA$83:$AJ$83,0)))*'CA Population'!$L414*10^6</f>
        <v>2305.1109239556299</v>
      </c>
      <c r="H414" s="143">
        <f>(INDEX(Production_Consumption!$AA$83:$AJ$99,MATCH('County Scaled Consumption '!$B414,Production_Consumption!$AA$83:$AA$99,0),MATCH('County Scaled Consumption '!H$2,Production_Consumption!$AA$83:$AJ$83,0)))*'CA Population'!$L414*10^6</f>
        <v>64.285770842991141</v>
      </c>
      <c r="I414" s="143">
        <f>(INDEX(Production_Consumption!$AA$83:$AJ$99,MATCH('County Scaled Consumption '!$B414,Production_Consumption!$AA$83:$AA$99,0),MATCH('County Scaled Consumption '!I$2,Production_Consumption!$AA$83:$AJ$83,0)))*'CA Population'!$L414*10^6</f>
        <v>1165.3869600016878</v>
      </c>
      <c r="J414" s="143">
        <f>(INDEX(Production_Consumption!$AA$83:$AJ$99,MATCH('County Scaled Consumption '!$B414,Production_Consumption!$AA$83:$AA$99,0),MATCH('County Scaled Consumption '!J$2,Production_Consumption!$AA$83:$AJ$83,0)))*'CA Population'!$L414*10^6</f>
        <v>805.48948621527893</v>
      </c>
      <c r="K414" s="143">
        <f>(INDEX(Production_Consumption!$AA$83:$AJ$99,MATCH('County Scaled Consumption '!$B414,Production_Consumption!$AA$83:$AA$99,0),MATCH('County Scaled Consumption '!K$2,Production_Consumption!$AA$83:$AJ$83,0)))*'CA Population'!$L414*10^6</f>
        <v>11147.342024776843</v>
      </c>
      <c r="L414" s="131">
        <f t="shared" si="6"/>
        <v>0</v>
      </c>
    </row>
    <row r="415" spans="1:12" x14ac:dyDescent="0.2">
      <c r="A415" s="132" t="s">
        <v>363</v>
      </c>
      <c r="B415" s="129">
        <v>2014</v>
      </c>
      <c r="C415" s="143">
        <f>(INDEX(Production_Consumption!$AA$83:$AJ$99,MATCH('County Scaled Consumption '!$B415,Production_Consumption!$AA$83:$AA$99,0),MATCH('County Scaled Consumption '!C$2,Production_Consumption!$AA$83:$AJ$83,0)))*'CA Population'!$L415*10^6</f>
        <v>460412.37419118203</v>
      </c>
      <c r="D415" s="143">
        <f>(INDEX(Production_Consumption!$AA$83:$AJ$99,MATCH('County Scaled Consumption '!$B415,Production_Consumption!$AA$83:$AA$99,0),MATCH('County Scaled Consumption '!D$2,Production_Consumption!$AA$83:$AJ$83,0)))*'CA Population'!$L415*10^6</f>
        <v>1795803.0730758149</v>
      </c>
      <c r="E415" s="143">
        <f>(INDEX(Production_Consumption!$AA$83:$AJ$99,MATCH('County Scaled Consumption '!$B415,Production_Consumption!$AA$83:$AA$99,0),MATCH('County Scaled Consumption '!E$2,Production_Consumption!$AA$83:$AJ$83,0)))*'CA Population'!$L415*10^6</f>
        <v>987158.02265460312</v>
      </c>
      <c r="F415" s="143">
        <f>(INDEX(Production_Consumption!$AA$83:$AJ$99,MATCH('County Scaled Consumption '!$B415,Production_Consumption!$AA$83:$AA$99,0),MATCH('County Scaled Consumption '!F$2,Production_Consumption!$AA$83:$AJ$83,0)))*'CA Population'!$L415*10^6</f>
        <v>316348.81204846688</v>
      </c>
      <c r="G415" s="143">
        <f>(INDEX(Production_Consumption!$AA$83:$AJ$99,MATCH('County Scaled Consumption '!$B415,Production_Consumption!$AA$83:$AA$99,0),MATCH('County Scaled Consumption '!G$2,Production_Consumption!$AA$83:$AJ$83,0)))*'CA Population'!$L415*10^6</f>
        <v>1205446.1117607306</v>
      </c>
      <c r="H415" s="143">
        <f>(INDEX(Production_Consumption!$AA$83:$AJ$99,MATCH('County Scaled Consumption '!$B415,Production_Consumption!$AA$83:$AA$99,0),MATCH('County Scaled Consumption '!H$2,Production_Consumption!$AA$83:$AJ$83,0)))*'CA Population'!$L415*10^6</f>
        <v>33617.919076642509</v>
      </c>
      <c r="I415" s="143">
        <f>(INDEX(Production_Consumption!$AA$83:$AJ$99,MATCH('County Scaled Consumption '!$B415,Production_Consumption!$AA$83:$AA$99,0),MATCH('County Scaled Consumption '!I$2,Production_Consumption!$AA$83:$AJ$83,0)))*'CA Population'!$L415*10^6</f>
        <v>609433.22294443019</v>
      </c>
      <c r="J415" s="143">
        <f>(INDEX(Production_Consumption!$AA$83:$AJ$99,MATCH('County Scaled Consumption '!$B415,Production_Consumption!$AA$83:$AA$99,0),MATCH('County Scaled Consumption '!J$2,Production_Consumption!$AA$83:$AJ$83,0)))*'CA Population'!$L415*10^6</f>
        <v>421226.65730816108</v>
      </c>
      <c r="K415" s="143">
        <f>(INDEX(Production_Consumption!$AA$83:$AJ$99,MATCH('County Scaled Consumption '!$B415,Production_Consumption!$AA$83:$AA$99,0),MATCH('County Scaled Consumption '!K$2,Production_Consumption!$AA$83:$AJ$83,0)))*'CA Population'!$L415*10^6</f>
        <v>5829446.1930600312</v>
      </c>
      <c r="L415" s="131">
        <f t="shared" si="6"/>
        <v>0</v>
      </c>
    </row>
    <row r="416" spans="1:12" x14ac:dyDescent="0.2">
      <c r="A416" s="132" t="s">
        <v>305</v>
      </c>
      <c r="B416" s="129">
        <v>2013</v>
      </c>
      <c r="C416" s="143">
        <f>(INDEX(Production_Consumption!$AA$83:$AJ$99,MATCH('County Scaled Consumption '!$B416,Production_Consumption!$AA$83:$AA$99,0),MATCH('County Scaled Consumption '!C$2,Production_Consumption!$AA$83:$AJ$83,0)))*'CA Population'!$L416*10^6</f>
        <v>18611.204331727262</v>
      </c>
      <c r="D416" s="143">
        <f>(INDEX(Production_Consumption!$AA$83:$AJ$99,MATCH('County Scaled Consumption '!$B416,Production_Consumption!$AA$83:$AA$99,0),MATCH('County Scaled Consumption '!D$2,Production_Consumption!$AA$83:$AJ$83,0)))*'CA Population'!$L416*10^6</f>
        <v>75438.597364960136</v>
      </c>
      <c r="E416" s="143">
        <f>(INDEX(Production_Consumption!$AA$83:$AJ$99,MATCH('County Scaled Consumption '!$B416,Production_Consumption!$AA$83:$AA$99,0),MATCH('County Scaled Consumption '!E$2,Production_Consumption!$AA$83:$AJ$83,0)))*'CA Population'!$L416*10^6</f>
        <v>44782.202829280868</v>
      </c>
      <c r="F416" s="143">
        <f>(INDEX(Production_Consumption!$AA$83:$AJ$99,MATCH('County Scaled Consumption '!$B416,Production_Consumption!$AA$83:$AA$99,0),MATCH('County Scaled Consumption '!F$2,Production_Consumption!$AA$83:$AJ$83,0)))*'CA Population'!$L416*10^6</f>
        <v>12380.717462661321</v>
      </c>
      <c r="G416" s="143">
        <f>(INDEX(Production_Consumption!$AA$83:$AJ$99,MATCH('County Scaled Consumption '!$B416,Production_Consumption!$AA$83:$AA$99,0),MATCH('County Scaled Consumption '!G$2,Production_Consumption!$AA$83:$AJ$83,0)))*'CA Population'!$L416*10^6</f>
        <v>48666.400370444091</v>
      </c>
      <c r="H416" s="143">
        <f>(INDEX(Production_Consumption!$AA$83:$AJ$99,MATCH('County Scaled Consumption '!$B416,Production_Consumption!$AA$83:$AA$99,0),MATCH('County Scaled Consumption '!H$2,Production_Consumption!$AA$83:$AJ$83,0)))*'CA Population'!$L416*10^6</f>
        <v>1315.3868090697229</v>
      </c>
      <c r="I416" s="143">
        <f>(INDEX(Production_Consumption!$AA$83:$AJ$99,MATCH('County Scaled Consumption '!$B416,Production_Consumption!$AA$83:$AA$99,0),MATCH('County Scaled Consumption '!I$2,Production_Consumption!$AA$83:$AJ$83,0)))*'CA Population'!$L416*10^6</f>
        <v>27696.284000295076</v>
      </c>
      <c r="J416" s="143">
        <f>(INDEX(Production_Consumption!$AA$83:$AJ$99,MATCH('County Scaled Consumption '!$B416,Production_Consumption!$AA$83:$AA$99,0),MATCH('County Scaled Consumption '!J$2,Production_Consumption!$AA$83:$AJ$83,0)))*'CA Population'!$L416*10^6</f>
        <v>19322.384460362729</v>
      </c>
      <c r="K416" s="143">
        <f>(INDEX(Production_Consumption!$AA$83:$AJ$99,MATCH('County Scaled Consumption '!$B416,Production_Consumption!$AA$83:$AA$99,0),MATCH('County Scaled Consumption '!K$2,Production_Consumption!$AA$83:$AJ$83,0)))*'CA Population'!$L416*10^6</f>
        <v>248213.17762880118</v>
      </c>
      <c r="L416" s="131">
        <f t="shared" si="6"/>
        <v>0</v>
      </c>
    </row>
    <row r="417" spans="1:12" x14ac:dyDescent="0.2">
      <c r="A417" s="132" t="s">
        <v>306</v>
      </c>
      <c r="B417" s="129">
        <v>2013</v>
      </c>
      <c r="C417" s="143">
        <f>(INDEX(Production_Consumption!$AA$83:$AJ$99,MATCH('County Scaled Consumption '!$B417,Production_Consumption!$AA$83:$AA$99,0),MATCH('County Scaled Consumption '!C$2,Production_Consumption!$AA$83:$AJ$83,0)))*'CA Population'!$L417*10^6</f>
        <v>13.798467277242411</v>
      </c>
      <c r="D417" s="143">
        <f>(INDEX(Production_Consumption!$AA$83:$AJ$99,MATCH('County Scaled Consumption '!$B417,Production_Consumption!$AA$83:$AA$99,0),MATCH('County Scaled Consumption '!D$2,Production_Consumption!$AA$83:$AJ$83,0)))*'CA Population'!$L417*10^6</f>
        <v>55.930664057400158</v>
      </c>
      <c r="E417" s="143">
        <f>(INDEX(Production_Consumption!$AA$83:$AJ$99,MATCH('County Scaled Consumption '!$B417,Production_Consumption!$AA$83:$AA$99,0),MATCH('County Scaled Consumption '!E$2,Production_Consumption!$AA$83:$AJ$83,0)))*'CA Population'!$L417*10^6</f>
        <v>33.201814849201448</v>
      </c>
      <c r="F417" s="143">
        <f>(INDEX(Production_Consumption!$AA$83:$AJ$99,MATCH('County Scaled Consumption '!$B417,Production_Consumption!$AA$83:$AA$99,0),MATCH('County Scaled Consumption '!F$2,Production_Consumption!$AA$83:$AJ$83,0)))*'CA Population'!$L417*10^6</f>
        <v>9.1791440109056683</v>
      </c>
      <c r="G417" s="143">
        <f>(INDEX(Production_Consumption!$AA$83:$AJ$99,MATCH('County Scaled Consumption '!$B417,Production_Consumption!$AA$83:$AA$99,0),MATCH('County Scaled Consumption '!G$2,Production_Consumption!$AA$83:$AJ$83,0)))*'CA Population'!$L417*10^6</f>
        <v>36.081584030968962</v>
      </c>
      <c r="H417" s="143">
        <f>(INDEX(Production_Consumption!$AA$83:$AJ$99,MATCH('County Scaled Consumption '!$B417,Production_Consumption!$AA$83:$AA$99,0),MATCH('County Scaled Consumption '!H$2,Production_Consumption!$AA$83:$AJ$83,0)))*'CA Population'!$L417*10^6</f>
        <v>0.97523628876199608</v>
      </c>
      <c r="I417" s="143">
        <f>(INDEX(Production_Consumption!$AA$83:$AJ$99,MATCH('County Scaled Consumption '!$B417,Production_Consumption!$AA$83:$AA$99,0),MATCH('County Scaled Consumption '!I$2,Production_Consumption!$AA$83:$AJ$83,0)))*'CA Population'!$L417*10^6</f>
        <v>20.534204109929092</v>
      </c>
      <c r="J417" s="143">
        <f>(INDEX(Production_Consumption!$AA$83:$AJ$99,MATCH('County Scaled Consumption '!$B417,Production_Consumption!$AA$83:$AA$99,0),MATCH('County Scaled Consumption '!J$2,Production_Consumption!$AA$83:$AJ$83,0)))*'CA Population'!$L417*10^6</f>
        <v>14.325740824847955</v>
      </c>
      <c r="K417" s="143">
        <f>(INDEX(Production_Consumption!$AA$83:$AJ$99,MATCH('County Scaled Consumption '!$B417,Production_Consumption!$AA$83:$AA$99,0),MATCH('County Scaled Consumption '!K$2,Production_Consumption!$AA$83:$AJ$83,0)))*'CA Population'!$L417*10^6</f>
        <v>184.02685544925765</v>
      </c>
      <c r="L417" s="131">
        <f t="shared" si="6"/>
        <v>0</v>
      </c>
    </row>
    <row r="418" spans="1:12" x14ac:dyDescent="0.2">
      <c r="A418" s="132" t="s">
        <v>307</v>
      </c>
      <c r="B418" s="129">
        <v>2013</v>
      </c>
      <c r="C418" s="143">
        <f>(INDEX(Production_Consumption!$AA$83:$AJ$99,MATCH('County Scaled Consumption '!$B418,Production_Consumption!$AA$83:$AA$99,0),MATCH('County Scaled Consumption '!C$2,Production_Consumption!$AA$83:$AJ$83,0)))*'CA Population'!$L418*10^6</f>
        <v>429.92183225408121</v>
      </c>
      <c r="D418" s="143">
        <f>(INDEX(Production_Consumption!$AA$83:$AJ$99,MATCH('County Scaled Consumption '!$B418,Production_Consumption!$AA$83:$AA$99,0),MATCH('County Scaled Consumption '!D$2,Production_Consumption!$AA$83:$AJ$83,0)))*'CA Population'!$L418*10^6</f>
        <v>1742.6438087368826</v>
      </c>
      <c r="E418" s="143">
        <f>(INDEX(Production_Consumption!$AA$83:$AJ$99,MATCH('County Scaled Consumption '!$B418,Production_Consumption!$AA$83:$AA$99,0),MATCH('County Scaled Consumption '!E$2,Production_Consumption!$AA$83:$AJ$83,0)))*'CA Population'!$L418*10^6</f>
        <v>1034.476133278341</v>
      </c>
      <c r="F418" s="143">
        <f>(INDEX(Production_Consumption!$AA$83:$AJ$99,MATCH('County Scaled Consumption '!$B418,Production_Consumption!$AA$83:$AA$99,0),MATCH('County Scaled Consumption '!F$2,Production_Consumption!$AA$83:$AJ$83,0)))*'CA Population'!$L418*10^6</f>
        <v>285.99657718515107</v>
      </c>
      <c r="G418" s="143">
        <f>(INDEX(Production_Consumption!$AA$83:$AJ$99,MATCH('County Scaled Consumption '!$B418,Production_Consumption!$AA$83:$AA$99,0),MATCH('County Scaled Consumption '!G$2,Production_Consumption!$AA$83:$AJ$83,0)))*'CA Population'!$L418*10^6</f>
        <v>1124.2017251298548</v>
      </c>
      <c r="H418" s="143">
        <f>(INDEX(Production_Consumption!$AA$83:$AJ$99,MATCH('County Scaled Consumption '!$B418,Production_Consumption!$AA$83:$AA$99,0),MATCH('County Scaled Consumption '!H$2,Production_Consumption!$AA$83:$AJ$83,0)))*'CA Population'!$L418*10^6</f>
        <v>30.385648182587037</v>
      </c>
      <c r="I418" s="143">
        <f>(INDEX(Production_Consumption!$AA$83:$AJ$99,MATCH('County Scaled Consumption '!$B418,Production_Consumption!$AA$83:$AA$99,0),MATCH('County Scaled Consumption '!I$2,Production_Consumption!$AA$83:$AJ$83,0)))*'CA Population'!$L418*10^6</f>
        <v>639.78864300240411</v>
      </c>
      <c r="J418" s="143">
        <f>(INDEX(Production_Consumption!$AA$83:$AJ$99,MATCH('County Scaled Consumption '!$B418,Production_Consumption!$AA$83:$AA$99,0),MATCH('County Scaled Consumption '!J$2,Production_Consumption!$AA$83:$AJ$83,0)))*'CA Population'!$L418*10^6</f>
        <v>446.35020832883231</v>
      </c>
      <c r="K418" s="143">
        <f>(INDEX(Production_Consumption!$AA$83:$AJ$99,MATCH('County Scaled Consumption '!$B418,Production_Consumption!$AA$83:$AA$99,0),MATCH('County Scaled Consumption '!K$2,Production_Consumption!$AA$83:$AJ$83,0)))*'CA Population'!$L418*10^6</f>
        <v>5733.7645760981331</v>
      </c>
      <c r="L418" s="131">
        <f t="shared" si="6"/>
        <v>0</v>
      </c>
    </row>
    <row r="419" spans="1:12" x14ac:dyDescent="0.2">
      <c r="A419" s="132" t="s">
        <v>308</v>
      </c>
      <c r="B419" s="129">
        <v>2013</v>
      </c>
      <c r="C419" s="143">
        <f>(INDEX(Production_Consumption!$AA$83:$AJ$99,MATCH('County Scaled Consumption '!$B419,Production_Consumption!$AA$83:$AA$99,0),MATCH('County Scaled Consumption '!C$2,Production_Consumption!$AA$83:$AJ$83,0)))*'CA Population'!$L419*10^6</f>
        <v>2636.0999676198485</v>
      </c>
      <c r="D419" s="143">
        <f>(INDEX(Production_Consumption!$AA$83:$AJ$99,MATCH('County Scaled Consumption '!$B419,Production_Consumption!$AA$83:$AA$99,0),MATCH('County Scaled Consumption '!D$2,Production_Consumption!$AA$83:$AJ$83,0)))*'CA Population'!$L419*10^6</f>
        <v>10685.159354897165</v>
      </c>
      <c r="E419" s="143">
        <f>(INDEX(Production_Consumption!$AA$83:$AJ$99,MATCH('County Scaled Consumption '!$B419,Production_Consumption!$AA$83:$AA$99,0),MATCH('County Scaled Consumption '!E$2,Production_Consumption!$AA$83:$AJ$83,0)))*'CA Population'!$L419*10^6</f>
        <v>6342.9728309934044</v>
      </c>
      <c r="F419" s="143">
        <f>(INDEX(Production_Consumption!$AA$83:$AJ$99,MATCH('County Scaled Consumption '!$B419,Production_Consumption!$AA$83:$AA$99,0),MATCH('County Scaled Consumption '!F$2,Production_Consumption!$AA$83:$AJ$83,0)))*'CA Population'!$L419*10^6</f>
        <v>1753.6107992105988</v>
      </c>
      <c r="G419" s="143">
        <f>(INDEX(Production_Consumption!$AA$83:$AJ$99,MATCH('County Scaled Consumption '!$B419,Production_Consumption!$AA$83:$AA$99,0),MATCH('County Scaled Consumption '!G$2,Production_Consumption!$AA$83:$AJ$83,0)))*'CA Population'!$L419*10^6</f>
        <v>6893.132446136332</v>
      </c>
      <c r="H419" s="143">
        <f>(INDEX(Production_Consumption!$AA$83:$AJ$99,MATCH('County Scaled Consumption '!$B419,Production_Consumption!$AA$83:$AA$99,0),MATCH('County Scaled Consumption '!H$2,Production_Consumption!$AA$83:$AJ$83,0)))*'CA Population'!$L419*10^6</f>
        <v>186.3120227467011</v>
      </c>
      <c r="I419" s="143">
        <f>(INDEX(Production_Consumption!$AA$83:$AJ$99,MATCH('County Scaled Consumption '!$B419,Production_Consumption!$AA$83:$AA$99,0),MATCH('County Scaled Consumption '!I$2,Production_Consumption!$AA$83:$AJ$83,0)))*'CA Population'!$L419*10^6</f>
        <v>3922.9150384376044</v>
      </c>
      <c r="J419" s="143">
        <f>(INDEX(Production_Consumption!$AA$83:$AJ$99,MATCH('County Scaled Consumption '!$B419,Production_Consumption!$AA$83:$AA$99,0),MATCH('County Scaled Consumption '!J$2,Production_Consumption!$AA$83:$AJ$83,0)))*'CA Population'!$L419*10^6</f>
        <v>2736.8318644198789</v>
      </c>
      <c r="K419" s="143">
        <f>(INDEX(Production_Consumption!$AA$83:$AJ$99,MATCH('County Scaled Consumption '!$B419,Production_Consumption!$AA$83:$AA$99,0),MATCH('County Scaled Consumption '!K$2,Production_Consumption!$AA$83:$AJ$83,0)))*'CA Population'!$L419*10^6</f>
        <v>35157.034324461529</v>
      </c>
      <c r="L419" s="131">
        <f t="shared" si="6"/>
        <v>0</v>
      </c>
    </row>
    <row r="420" spans="1:12" x14ac:dyDescent="0.2">
      <c r="A420" s="132" t="s">
        <v>309</v>
      </c>
      <c r="B420" s="129">
        <v>2013</v>
      </c>
      <c r="C420" s="143">
        <f>(INDEX(Production_Consumption!$AA$83:$AJ$99,MATCH('County Scaled Consumption '!$B420,Production_Consumption!$AA$83:$AA$99,0),MATCH('County Scaled Consumption '!C$2,Production_Consumption!$AA$83:$AJ$83,0)))*'CA Population'!$L420*10^6</f>
        <v>538.47214570572089</v>
      </c>
      <c r="D420" s="143">
        <f>(INDEX(Production_Consumption!$AA$83:$AJ$99,MATCH('County Scaled Consumption '!$B420,Production_Consumption!$AA$83:$AA$99,0),MATCH('County Scaled Consumption '!D$2,Production_Consumption!$AA$83:$AJ$83,0)))*'CA Population'!$L420*10^6</f>
        <v>2182.6413094014988</v>
      </c>
      <c r="E420" s="143">
        <f>(INDEX(Production_Consumption!$AA$83:$AJ$99,MATCH('County Scaled Consumption '!$B420,Production_Consumption!$AA$83:$AA$99,0),MATCH('County Scaled Consumption '!E$2,Production_Consumption!$AA$83:$AJ$83,0)))*'CA Population'!$L420*10^6</f>
        <v>1295.6694482045759</v>
      </c>
      <c r="F420" s="143">
        <f>(INDEX(Production_Consumption!$AA$83:$AJ$99,MATCH('County Scaled Consumption '!$B420,Production_Consumption!$AA$83:$AA$99,0),MATCH('County Scaled Consumption '!F$2,Production_Consumption!$AA$83:$AJ$83,0)))*'CA Population'!$L420*10^6</f>
        <v>358.20742057678609</v>
      </c>
      <c r="G420" s="143">
        <f>(INDEX(Production_Consumption!$AA$83:$AJ$99,MATCH('County Scaled Consumption '!$B420,Production_Consumption!$AA$83:$AA$99,0),MATCH('County Scaled Consumption '!G$2,Production_Consumption!$AA$83:$AJ$83,0)))*'CA Population'!$L420*10^6</f>
        <v>1408.0497190916956</v>
      </c>
      <c r="H420" s="143">
        <f>(INDEX(Production_Consumption!$AA$83:$AJ$99,MATCH('County Scaled Consumption '!$B420,Production_Consumption!$AA$83:$AA$99,0),MATCH('County Scaled Consumption '!H$2,Production_Consumption!$AA$83:$AJ$83,0)))*'CA Population'!$L420*10^6</f>
        <v>38.057674553887374</v>
      </c>
      <c r="I420" s="143">
        <f>(INDEX(Production_Consumption!$AA$83:$AJ$99,MATCH('County Scaled Consumption '!$B420,Production_Consumption!$AA$83:$AA$99,0),MATCH('County Scaled Consumption '!I$2,Production_Consumption!$AA$83:$AJ$83,0)))*'CA Population'!$L420*10^6</f>
        <v>801.32791021427749</v>
      </c>
      <c r="J420" s="143">
        <f>(INDEX(Production_Consumption!$AA$83:$AJ$99,MATCH('County Scaled Consumption '!$B420,Production_Consumption!$AA$83:$AA$99,0),MATCH('County Scaled Consumption '!J$2,Production_Consumption!$AA$83:$AJ$83,0)))*'CA Population'!$L420*10^6</f>
        <v>559.04849761846515</v>
      </c>
      <c r="K420" s="143">
        <f>(INDEX(Production_Consumption!$AA$83:$AJ$99,MATCH('County Scaled Consumption '!$B420,Production_Consumption!$AA$83:$AA$99,0),MATCH('County Scaled Consumption '!K$2,Production_Consumption!$AA$83:$AJ$83,0)))*'CA Population'!$L420*10^6</f>
        <v>7181.4741253669063</v>
      </c>
      <c r="L420" s="131">
        <f t="shared" si="6"/>
        <v>0</v>
      </c>
    </row>
    <row r="421" spans="1:12" x14ac:dyDescent="0.2">
      <c r="A421" s="132" t="s">
        <v>310</v>
      </c>
      <c r="B421" s="129">
        <v>2013</v>
      </c>
      <c r="C421" s="143">
        <f>(INDEX(Production_Consumption!$AA$83:$AJ$99,MATCH('County Scaled Consumption '!$B421,Production_Consumption!$AA$83:$AA$99,0),MATCH('County Scaled Consumption '!C$2,Production_Consumption!$AA$83:$AJ$83,0)))*'CA Population'!$L421*10^6</f>
        <v>254.63150954911251</v>
      </c>
      <c r="D421" s="143">
        <f>(INDEX(Production_Consumption!$AA$83:$AJ$99,MATCH('County Scaled Consumption '!$B421,Production_Consumption!$AA$83:$AA$99,0),MATCH('County Scaled Consumption '!D$2,Production_Consumption!$AA$83:$AJ$83,0)))*'CA Population'!$L421*10^6</f>
        <v>1032.1225635334667</v>
      </c>
      <c r="E421" s="143">
        <f>(INDEX(Production_Consumption!$AA$83:$AJ$99,MATCH('County Scaled Consumption '!$B421,Production_Consumption!$AA$83:$AA$99,0),MATCH('County Scaled Consumption '!E$2,Production_Consumption!$AA$83:$AJ$83,0)))*'CA Population'!$L421*10^6</f>
        <v>612.69328433062458</v>
      </c>
      <c r="F421" s="143">
        <f>(INDEX(Production_Consumption!$AA$83:$AJ$99,MATCH('County Scaled Consumption '!$B421,Production_Consumption!$AA$83:$AA$99,0),MATCH('County Scaled Consumption '!F$2,Production_Consumption!$AA$83:$AJ$83,0)))*'CA Population'!$L421*10^6</f>
        <v>169.38832762392931</v>
      </c>
      <c r="G421" s="143">
        <f>(INDEX(Production_Consumption!$AA$83:$AJ$99,MATCH('County Scaled Consumption '!$B421,Production_Consumption!$AA$83:$AA$99,0),MATCH('County Scaled Consumption '!G$2,Production_Consumption!$AA$83:$AJ$83,0)))*'CA Population'!$L421*10^6</f>
        <v>665.83541665396319</v>
      </c>
      <c r="H421" s="143">
        <f>(INDEX(Production_Consumption!$AA$83:$AJ$99,MATCH('County Scaled Consumption '!$B421,Production_Consumption!$AA$83:$AA$99,0),MATCH('County Scaled Consumption '!H$2,Production_Consumption!$AA$83:$AJ$83,0)))*'CA Population'!$L421*10^6</f>
        <v>17.996628421484257</v>
      </c>
      <c r="I421" s="143">
        <f>(INDEX(Production_Consumption!$AA$83:$AJ$99,MATCH('County Scaled Consumption '!$B421,Production_Consumption!$AA$83:$AA$99,0),MATCH('County Scaled Consumption '!I$2,Production_Consumption!$AA$83:$AJ$83,0)))*'CA Population'!$L421*10^6</f>
        <v>378.93015831724819</v>
      </c>
      <c r="J421" s="143">
        <f>(INDEX(Production_Consumption!$AA$83:$AJ$99,MATCH('County Scaled Consumption '!$B421,Production_Consumption!$AA$83:$AA$99,0),MATCH('County Scaled Consumption '!J$2,Production_Consumption!$AA$83:$AJ$83,0)))*'CA Population'!$L421*10^6</f>
        <v>264.36160903585397</v>
      </c>
      <c r="K421" s="143">
        <f>(INDEX(Production_Consumption!$AA$83:$AJ$99,MATCH('County Scaled Consumption '!$B421,Production_Consumption!$AA$83:$AA$99,0),MATCH('County Scaled Consumption '!K$2,Production_Consumption!$AA$83:$AJ$83,0)))*'CA Population'!$L421*10^6</f>
        <v>3395.9594974656825</v>
      </c>
      <c r="L421" s="131">
        <f t="shared" si="6"/>
        <v>0</v>
      </c>
    </row>
    <row r="422" spans="1:12" x14ac:dyDescent="0.2">
      <c r="A422" s="132" t="s">
        <v>311</v>
      </c>
      <c r="B422" s="129">
        <v>2013</v>
      </c>
      <c r="C422" s="143">
        <f>(INDEX(Production_Consumption!$AA$83:$AJ$99,MATCH('County Scaled Consumption '!$B422,Production_Consumption!$AA$83:$AA$99,0),MATCH('County Scaled Consumption '!C$2,Production_Consumption!$AA$83:$AJ$83,0)))*'CA Population'!$L422*10^6</f>
        <v>12874.645667807034</v>
      </c>
      <c r="D422" s="143">
        <f>(INDEX(Production_Consumption!$AA$83:$AJ$99,MATCH('County Scaled Consumption '!$B422,Production_Consumption!$AA$83:$AA$99,0),MATCH('County Scaled Consumption '!D$2,Production_Consumption!$AA$83:$AJ$83,0)))*'CA Population'!$L422*10^6</f>
        <v>52186.048438278798</v>
      </c>
      <c r="E422" s="143">
        <f>(INDEX(Production_Consumption!$AA$83:$AJ$99,MATCH('County Scaled Consumption '!$B422,Production_Consumption!$AA$83:$AA$99,0),MATCH('County Scaled Consumption '!E$2,Production_Consumption!$AA$83:$AJ$83,0)))*'CA Population'!$L422*10^6</f>
        <v>30978.919116372304</v>
      </c>
      <c r="F422" s="143">
        <f>(INDEX(Production_Consumption!$AA$83:$AJ$99,MATCH('County Scaled Consumption '!$B422,Production_Consumption!$AA$83:$AA$99,0),MATCH('County Scaled Consumption '!F$2,Production_Consumption!$AA$83:$AJ$83,0)))*'CA Population'!$L422*10^6</f>
        <v>8564.5908563404719</v>
      </c>
      <c r="G422" s="143">
        <f>(INDEX(Production_Consumption!$AA$83:$AJ$99,MATCH('County Scaled Consumption '!$B422,Production_Consumption!$AA$83:$AA$99,0),MATCH('County Scaled Consumption '!G$2,Production_Consumption!$AA$83:$AJ$83,0)))*'CA Population'!$L422*10^6</f>
        <v>33665.884782586276</v>
      </c>
      <c r="H422" s="143">
        <f>(INDEX(Production_Consumption!$AA$83:$AJ$99,MATCH('County Scaled Consumption '!$B422,Production_Consumption!$AA$83:$AA$99,0),MATCH('County Scaled Consumption '!H$2,Production_Consumption!$AA$83:$AJ$83,0)))*'CA Population'!$L422*10^6</f>
        <v>909.94321383114448</v>
      </c>
      <c r="I422" s="143">
        <f>(INDEX(Production_Consumption!$AA$83:$AJ$99,MATCH('County Scaled Consumption '!$B422,Production_Consumption!$AA$83:$AA$99,0),MATCH('County Scaled Consumption '!I$2,Production_Consumption!$AA$83:$AJ$83,0)))*'CA Population'!$L422*10^6</f>
        <v>19159.417975486751</v>
      </c>
      <c r="J422" s="143">
        <f>(INDEX(Production_Consumption!$AA$83:$AJ$99,MATCH('County Scaled Consumption '!$B422,Production_Consumption!$AA$83:$AA$99,0),MATCH('County Scaled Consumption '!J$2,Production_Consumption!$AA$83:$AJ$83,0)))*'CA Population'!$L422*10^6</f>
        <v>13366.61770781941</v>
      </c>
      <c r="K422" s="143">
        <f>(INDEX(Production_Consumption!$AA$83:$AJ$99,MATCH('County Scaled Consumption '!$B422,Production_Consumption!$AA$83:$AA$99,0),MATCH('County Scaled Consumption '!K$2,Production_Consumption!$AA$83:$AJ$83,0)))*'CA Population'!$L422*10^6</f>
        <v>171706.06775852217</v>
      </c>
      <c r="L422" s="131">
        <f t="shared" si="6"/>
        <v>0</v>
      </c>
    </row>
    <row r="423" spans="1:12" x14ac:dyDescent="0.2">
      <c r="A423" s="132" t="s">
        <v>312</v>
      </c>
      <c r="B423" s="129">
        <v>2013</v>
      </c>
      <c r="C423" s="143">
        <f>(INDEX(Production_Consumption!$AA$83:$AJ$99,MATCH('County Scaled Consumption '!$B423,Production_Consumption!$AA$83:$AA$99,0),MATCH('County Scaled Consumption '!C$2,Production_Consumption!$AA$83:$AJ$83,0)))*'CA Population'!$L423*10^6</f>
        <v>327.40538464790217</v>
      </c>
      <c r="D423" s="143">
        <f>(INDEX(Production_Consumption!$AA$83:$AJ$99,MATCH('County Scaled Consumption '!$B423,Production_Consumption!$AA$83:$AA$99,0),MATCH('County Scaled Consumption '!D$2,Production_Consumption!$AA$83:$AJ$83,0)))*'CA Population'!$L423*10^6</f>
        <v>1327.1039609977104</v>
      </c>
      <c r="E423" s="143">
        <f>(INDEX(Production_Consumption!$AA$83:$AJ$99,MATCH('County Scaled Consumption '!$B423,Production_Consumption!$AA$83:$AA$99,0),MATCH('County Scaled Consumption '!E$2,Production_Consumption!$AA$83:$AJ$83,0)))*'CA Population'!$L423*10^6</f>
        <v>787.80148137465176</v>
      </c>
      <c r="F423" s="143">
        <f>(INDEX(Production_Consumption!$AA$83:$AJ$99,MATCH('County Scaled Consumption '!$B423,Production_Consumption!$AA$83:$AA$99,0),MATCH('County Scaled Consumption '!F$2,Production_Consumption!$AA$83:$AJ$83,0)))*'CA Population'!$L423*10^6</f>
        <v>217.79963783264915</v>
      </c>
      <c r="G423" s="143">
        <f>(INDEX(Production_Consumption!$AA$83:$AJ$99,MATCH('County Scaled Consumption '!$B423,Production_Consumption!$AA$83:$AA$99,0),MATCH('County Scaled Consumption '!G$2,Production_Consumption!$AA$83:$AJ$83,0)))*'CA Population'!$L423*10^6</f>
        <v>856.13167470045676</v>
      </c>
      <c r="H423" s="143">
        <f>(INDEX(Production_Consumption!$AA$83:$AJ$99,MATCH('County Scaled Consumption '!$B423,Production_Consumption!$AA$83:$AA$99,0),MATCH('County Scaled Consumption '!H$2,Production_Consumption!$AA$83:$AJ$83,0)))*'CA Population'!$L423*10^6</f>
        <v>23.140078229654268</v>
      </c>
      <c r="I423" s="143">
        <f>(INDEX(Production_Consumption!$AA$83:$AJ$99,MATCH('County Scaled Consumption '!$B423,Production_Consumption!$AA$83:$AA$99,0),MATCH('County Scaled Consumption '!I$2,Production_Consumption!$AA$83:$AJ$83,0)))*'CA Population'!$L423*10^6</f>
        <v>487.22867982141889</v>
      </c>
      <c r="J423" s="143">
        <f>(INDEX(Production_Consumption!$AA$83:$AJ$99,MATCH('County Scaled Consumption '!$B423,Production_Consumption!$AA$83:$AA$99,0),MATCH('County Scaled Consumption '!J$2,Production_Consumption!$AA$83:$AJ$83,0)))*'CA Population'!$L423*10^6</f>
        <v>339.91635381570075</v>
      </c>
      <c r="K423" s="143">
        <f>(INDEX(Production_Consumption!$AA$83:$AJ$99,MATCH('County Scaled Consumption '!$B423,Production_Consumption!$AA$83:$AA$99,0),MATCH('County Scaled Consumption '!K$2,Production_Consumption!$AA$83:$AJ$83,0)))*'CA Population'!$L423*10^6</f>
        <v>4366.5272514201433</v>
      </c>
      <c r="L423" s="131">
        <f t="shared" si="6"/>
        <v>0</v>
      </c>
    </row>
    <row r="424" spans="1:12" x14ac:dyDescent="0.2">
      <c r="A424" s="132" t="s">
        <v>313</v>
      </c>
      <c r="B424" s="129">
        <v>2013</v>
      </c>
      <c r="C424" s="143">
        <f>(INDEX(Production_Consumption!$AA$83:$AJ$99,MATCH('County Scaled Consumption '!$B424,Production_Consumption!$AA$83:$AA$99,0),MATCH('County Scaled Consumption '!C$2,Production_Consumption!$AA$83:$AJ$83,0)))*'CA Population'!$L424*10^6</f>
        <v>2140.8843572188161</v>
      </c>
      <c r="D424" s="143">
        <f>(INDEX(Production_Consumption!$AA$83:$AJ$99,MATCH('County Scaled Consumption '!$B424,Production_Consumption!$AA$83:$AA$99,0),MATCH('County Scaled Consumption '!D$2,Production_Consumption!$AA$83:$AJ$83,0)))*'CA Population'!$L424*10^6</f>
        <v>8677.8539502598032</v>
      </c>
      <c r="E424" s="143">
        <f>(INDEX(Production_Consumption!$AA$83:$AJ$99,MATCH('County Scaled Consumption '!$B424,Production_Consumption!$AA$83:$AA$99,0),MATCH('County Scaled Consumption '!E$2,Production_Consumption!$AA$83:$AJ$83,0)))*'CA Population'!$L424*10^6</f>
        <v>5151.3870789956463</v>
      </c>
      <c r="F424" s="143">
        <f>(INDEX(Production_Consumption!$AA$83:$AJ$99,MATCH('County Scaled Consumption '!$B424,Production_Consumption!$AA$83:$AA$99,0),MATCH('County Scaled Consumption '!F$2,Production_Consumption!$AA$83:$AJ$83,0)))*'CA Population'!$L424*10^6</f>
        <v>1424.1788910872447</v>
      </c>
      <c r="G424" s="143">
        <f>(INDEX(Production_Consumption!$AA$83:$AJ$99,MATCH('County Scaled Consumption '!$B424,Production_Consumption!$AA$83:$AA$99,0),MATCH('County Scaled Consumption '!G$2,Production_Consumption!$AA$83:$AJ$83,0)))*'CA Population'!$L424*10^6</f>
        <v>5598.1941532723049</v>
      </c>
      <c r="H424" s="143">
        <f>(INDEX(Production_Consumption!$AA$83:$AJ$99,MATCH('County Scaled Consumption '!$B424,Production_Consumption!$AA$83:$AA$99,0),MATCH('County Scaled Consumption '!H$2,Production_Consumption!$AA$83:$AJ$83,0)))*'CA Population'!$L424*10^6</f>
        <v>151.31159666162176</v>
      </c>
      <c r="I424" s="143">
        <f>(INDEX(Production_Consumption!$AA$83:$AJ$99,MATCH('County Scaled Consumption '!$B424,Production_Consumption!$AA$83:$AA$99,0),MATCH('County Scaled Consumption '!I$2,Production_Consumption!$AA$83:$AJ$83,0)))*'CA Population'!$L424*10^6</f>
        <v>3185.9593883583198</v>
      </c>
      <c r="J424" s="143">
        <f>(INDEX(Production_Consumption!$AA$83:$AJ$99,MATCH('County Scaled Consumption '!$B424,Production_Consumption!$AA$83:$AA$99,0),MATCH('County Scaled Consumption '!J$2,Production_Consumption!$AA$83:$AJ$83,0)))*'CA Population'!$L424*10^6</f>
        <v>2222.6928412600651</v>
      </c>
      <c r="K424" s="143">
        <f>(INDEX(Production_Consumption!$AA$83:$AJ$99,MATCH('County Scaled Consumption '!$B424,Production_Consumption!$AA$83:$AA$99,0),MATCH('County Scaled Consumption '!K$2,Production_Consumption!$AA$83:$AJ$83,0)))*'CA Population'!$L424*10^6</f>
        <v>28552.462257113817</v>
      </c>
      <c r="L424" s="131">
        <f t="shared" si="6"/>
        <v>0</v>
      </c>
    </row>
    <row r="425" spans="1:12" x14ac:dyDescent="0.2">
      <c r="A425" s="132" t="s">
        <v>314</v>
      </c>
      <c r="B425" s="129">
        <v>2013</v>
      </c>
      <c r="C425" s="143">
        <f>(INDEX(Production_Consumption!$AA$83:$AJ$99,MATCH('County Scaled Consumption '!$B425,Production_Consumption!$AA$83:$AA$99,0),MATCH('County Scaled Consumption '!C$2,Production_Consumption!$AA$83:$AJ$83,0)))*'CA Population'!$L425*10^6</f>
        <v>11344.509448552828</v>
      </c>
      <c r="D425" s="143">
        <f>(INDEX(Production_Consumption!$AA$83:$AJ$99,MATCH('County Scaled Consumption '!$B425,Production_Consumption!$AA$83:$AA$99,0),MATCH('County Scaled Consumption '!D$2,Production_Consumption!$AA$83:$AJ$83,0)))*'CA Population'!$L425*10^6</f>
        <v>45983.799078140401</v>
      </c>
      <c r="E425" s="143">
        <f>(INDEX(Production_Consumption!$AA$83:$AJ$99,MATCH('County Scaled Consumption '!$B425,Production_Consumption!$AA$83:$AA$99,0),MATCH('County Scaled Consumption '!E$2,Production_Consumption!$AA$83:$AJ$83,0)))*'CA Population'!$L425*10^6</f>
        <v>27297.111678996684</v>
      </c>
      <c r="F425" s="143">
        <f>(INDEX(Production_Consumption!$AA$83:$AJ$99,MATCH('County Scaled Consumption '!$B425,Production_Consumption!$AA$83:$AA$99,0),MATCH('County Scaled Consumption '!F$2,Production_Consumption!$AA$83:$AJ$83,0)))*'CA Population'!$L425*10^6</f>
        <v>7546.6994898115336</v>
      </c>
      <c r="G425" s="143">
        <f>(INDEX(Production_Consumption!$AA$83:$AJ$99,MATCH('County Scaled Consumption '!$B425,Production_Consumption!$AA$83:$AA$99,0),MATCH('County Scaled Consumption '!G$2,Production_Consumption!$AA$83:$AJ$83,0)))*'CA Population'!$L425*10^6</f>
        <v>29664.734693626298</v>
      </c>
      <c r="H425" s="143">
        <f>(INDEX(Production_Consumption!$AA$83:$AJ$99,MATCH('County Scaled Consumption '!$B425,Production_Consumption!$AA$83:$AA$99,0),MATCH('County Scaled Consumption '!H$2,Production_Consumption!$AA$83:$AJ$83,0)))*'CA Population'!$L425*10^6</f>
        <v>801.7975525933258</v>
      </c>
      <c r="I425" s="143">
        <f>(INDEX(Production_Consumption!$AA$83:$AJ$99,MATCH('County Scaled Consumption '!$B425,Production_Consumption!$AA$83:$AA$99,0),MATCH('County Scaled Consumption '!I$2,Production_Consumption!$AA$83:$AJ$83,0)))*'CA Population'!$L425*10^6</f>
        <v>16882.344093956315</v>
      </c>
      <c r="J425" s="143">
        <f>(INDEX(Production_Consumption!$AA$83:$AJ$99,MATCH('County Scaled Consumption '!$B425,Production_Consumption!$AA$83:$AA$99,0),MATCH('County Scaled Consumption '!J$2,Production_Consumption!$AA$83:$AJ$83,0)))*'CA Population'!$L425*10^6</f>
        <v>11778.011200783565</v>
      </c>
      <c r="K425" s="143">
        <f>(INDEX(Production_Consumption!$AA$83:$AJ$99,MATCH('County Scaled Consumption '!$B425,Production_Consumption!$AA$83:$AA$99,0),MATCH('County Scaled Consumption '!K$2,Production_Consumption!$AA$83:$AJ$83,0)))*'CA Population'!$L425*10^6</f>
        <v>151299.00723646095</v>
      </c>
      <c r="L425" s="131">
        <f t="shared" si="6"/>
        <v>0</v>
      </c>
    </row>
    <row r="426" spans="1:12" x14ac:dyDescent="0.2">
      <c r="A426" s="132" t="s">
        <v>315</v>
      </c>
      <c r="B426" s="129">
        <v>2013</v>
      </c>
      <c r="C426" s="143">
        <f>(INDEX(Production_Consumption!$AA$83:$AJ$99,MATCH('County Scaled Consumption '!$B426,Production_Consumption!$AA$83:$AA$99,0),MATCH('County Scaled Consumption '!C$2,Production_Consumption!$AA$83:$AJ$83,0)))*'CA Population'!$L426*10^6</f>
        <v>333.52223096667973</v>
      </c>
      <c r="D426" s="143">
        <f>(INDEX(Production_Consumption!$AA$83:$AJ$99,MATCH('County Scaled Consumption '!$B426,Production_Consumption!$AA$83:$AA$99,0),MATCH('County Scaled Consumption '!D$2,Production_Consumption!$AA$83:$AJ$83,0)))*'CA Population'!$L426*10^6</f>
        <v>1351.8979667138772</v>
      </c>
      <c r="E426" s="143">
        <f>(INDEX(Production_Consumption!$AA$83:$AJ$99,MATCH('County Scaled Consumption '!$B426,Production_Consumption!$AA$83:$AA$99,0),MATCH('County Scaled Consumption '!E$2,Production_Consumption!$AA$83:$AJ$83,0)))*'CA Population'!$L426*10^6</f>
        <v>802.51981166862765</v>
      </c>
      <c r="F426" s="143">
        <f>(INDEX(Production_Consumption!$AA$83:$AJ$99,MATCH('County Scaled Consumption '!$B426,Production_Consumption!$AA$83:$AA$99,0),MATCH('County Scaled Consumption '!F$2,Production_Consumption!$AA$83:$AJ$83,0)))*'CA Population'!$L426*10^6</f>
        <v>221.86874290964857</v>
      </c>
      <c r="G426" s="143">
        <f>(INDEX(Production_Consumption!$AA$83:$AJ$99,MATCH('County Scaled Consumption '!$B426,Production_Consumption!$AA$83:$AA$99,0),MATCH('County Scaled Consumption '!G$2,Production_Consumption!$AA$83:$AJ$83,0)))*'CA Population'!$L426*10^6</f>
        <v>872.12660370387596</v>
      </c>
      <c r="H426" s="143">
        <f>(INDEX(Production_Consumption!$AA$83:$AJ$99,MATCH('County Scaled Consumption '!$B426,Production_Consumption!$AA$83:$AA$99,0),MATCH('County Scaled Consumption '!H$2,Production_Consumption!$AA$83:$AJ$83,0)))*'CA Population'!$L426*10^6</f>
        <v>23.572399471064223</v>
      </c>
      <c r="I426" s="143">
        <f>(INDEX(Production_Consumption!$AA$83:$AJ$99,MATCH('County Scaled Consumption '!$B426,Production_Consumption!$AA$83:$AA$99,0),MATCH('County Scaled Consumption '!I$2,Production_Consumption!$AA$83:$AJ$83,0)))*'CA Population'!$L426*10^6</f>
        <v>496.33147133406783</v>
      </c>
      <c r="J426" s="143">
        <f>(INDEX(Production_Consumption!$AA$83:$AJ$99,MATCH('County Scaled Consumption '!$B426,Production_Consumption!$AA$83:$AA$99,0),MATCH('County Scaled Consumption '!J$2,Production_Consumption!$AA$83:$AJ$83,0)))*'CA Population'!$L426*10^6</f>
        <v>346.26693995455082</v>
      </c>
      <c r="K426" s="143">
        <f>(INDEX(Production_Consumption!$AA$83:$AJ$99,MATCH('County Scaled Consumption '!$B426,Production_Consumption!$AA$83:$AA$99,0),MATCH('County Scaled Consumption '!K$2,Production_Consumption!$AA$83:$AJ$83,0)))*'CA Population'!$L426*10^6</f>
        <v>4448.1061667223912</v>
      </c>
      <c r="L426" s="131">
        <f t="shared" si="6"/>
        <v>0</v>
      </c>
    </row>
    <row r="427" spans="1:12" x14ac:dyDescent="0.2">
      <c r="A427" s="132" t="s">
        <v>316</v>
      </c>
      <c r="B427" s="129">
        <v>2013</v>
      </c>
      <c r="C427" s="143">
        <f>(INDEX(Production_Consumption!$AA$83:$AJ$99,MATCH('County Scaled Consumption '!$B427,Production_Consumption!$AA$83:$AA$99,0),MATCH('County Scaled Consumption '!C$2,Production_Consumption!$AA$83:$AJ$83,0)))*'CA Population'!$L427*10^6</f>
        <v>1597.4689461740832</v>
      </c>
      <c r="D427" s="143">
        <f>(INDEX(Production_Consumption!$AA$83:$AJ$99,MATCH('County Scaled Consumption '!$B427,Production_Consumption!$AA$83:$AA$99,0),MATCH('County Scaled Consumption '!D$2,Production_Consumption!$AA$83:$AJ$83,0)))*'CA Population'!$L427*10^6</f>
        <v>6475.1756246109362</v>
      </c>
      <c r="E427" s="143">
        <f>(INDEX(Production_Consumption!$AA$83:$AJ$99,MATCH('County Scaled Consumption '!$B427,Production_Consumption!$AA$83:$AA$99,0),MATCH('County Scaled Consumption '!E$2,Production_Consumption!$AA$83:$AJ$83,0)))*'CA Population'!$L427*10^6</f>
        <v>3843.8231661930313</v>
      </c>
      <c r="F427" s="143">
        <f>(INDEX(Production_Consumption!$AA$83:$AJ$99,MATCH('County Scaled Consumption '!$B427,Production_Consumption!$AA$83:$AA$99,0),MATCH('County Scaled Consumption '!F$2,Production_Consumption!$AA$83:$AJ$83,0)))*'CA Population'!$L427*10^6</f>
        <v>1062.6830658261392</v>
      </c>
      <c r="G427" s="143">
        <f>(INDEX(Production_Consumption!$AA$83:$AJ$99,MATCH('County Scaled Consumption '!$B427,Production_Consumption!$AA$83:$AA$99,0),MATCH('County Scaled Consumption '!G$2,Production_Consumption!$AA$83:$AJ$83,0)))*'CA Population'!$L427*10^6</f>
        <v>4177.2182996952879</v>
      </c>
      <c r="H427" s="143">
        <f>(INDEX(Production_Consumption!$AA$83:$AJ$99,MATCH('County Scaled Consumption '!$B427,Production_Consumption!$AA$83:$AA$99,0),MATCH('County Scaled Consumption '!H$2,Production_Consumption!$AA$83:$AJ$83,0)))*'CA Population'!$L427*10^6</f>
        <v>112.90454622078099</v>
      </c>
      <c r="I427" s="143">
        <f>(INDEX(Production_Consumption!$AA$83:$AJ$99,MATCH('County Scaled Consumption '!$B427,Production_Consumption!$AA$83:$AA$99,0),MATCH('County Scaled Consumption '!I$2,Production_Consumption!$AA$83:$AJ$83,0)))*'CA Population'!$L427*10^6</f>
        <v>2377.2751524448663</v>
      </c>
      <c r="J427" s="143">
        <f>(INDEX(Production_Consumption!$AA$83:$AJ$99,MATCH('County Scaled Consumption '!$B427,Production_Consumption!$AA$83:$AA$99,0),MATCH('County Scaled Consumption '!J$2,Production_Consumption!$AA$83:$AJ$83,0)))*'CA Population'!$L427*10^6</f>
        <v>1658.5121839131107</v>
      </c>
      <c r="K427" s="143">
        <f>(INDEX(Production_Consumption!$AA$83:$AJ$99,MATCH('County Scaled Consumption '!$B427,Production_Consumption!$AA$83:$AA$99,0),MATCH('County Scaled Consumption '!K$2,Production_Consumption!$AA$83:$AJ$83,0)))*'CA Population'!$L427*10^6</f>
        <v>21305.060985078235</v>
      </c>
      <c r="L427" s="131">
        <f t="shared" si="6"/>
        <v>0</v>
      </c>
    </row>
    <row r="428" spans="1:12" x14ac:dyDescent="0.2">
      <c r="A428" s="132" t="s">
        <v>317</v>
      </c>
      <c r="B428" s="129">
        <v>2013</v>
      </c>
      <c r="C428" s="143">
        <f>(INDEX(Production_Consumption!$AA$83:$AJ$99,MATCH('County Scaled Consumption '!$B428,Production_Consumption!$AA$83:$AA$99,0),MATCH('County Scaled Consumption '!C$2,Production_Consumption!$AA$83:$AJ$83,0)))*'CA Population'!$L428*10^6</f>
        <v>2134.9571805533337</v>
      </c>
      <c r="D428" s="143">
        <f>(INDEX(Production_Consumption!$AA$83:$AJ$99,MATCH('County Scaled Consumption '!$B428,Production_Consumption!$AA$83:$AA$99,0),MATCH('County Scaled Consumption '!D$2,Production_Consumption!$AA$83:$AJ$83,0)))*'CA Population'!$L428*10^6</f>
        <v>8653.8287509224301</v>
      </c>
      <c r="E428" s="143">
        <f>(INDEX(Production_Consumption!$AA$83:$AJ$99,MATCH('County Scaled Consumption '!$B428,Production_Consumption!$AA$83:$AA$99,0),MATCH('County Scaled Consumption '!E$2,Production_Consumption!$AA$83:$AJ$83,0)))*'CA Population'!$L428*10^6</f>
        <v>5137.1251310363668</v>
      </c>
      <c r="F428" s="143">
        <f>(INDEX(Production_Consumption!$AA$83:$AJ$99,MATCH('County Scaled Consumption '!$B428,Production_Consumption!$AA$83:$AA$99,0),MATCH('County Scaled Consumption '!F$2,Production_Consumption!$AA$83:$AJ$83,0)))*'CA Population'!$L428*10^6</f>
        <v>1420.2359598110822</v>
      </c>
      <c r="G428" s="143">
        <f>(INDEX(Production_Consumption!$AA$83:$AJ$99,MATCH('County Scaled Consumption '!$B428,Production_Consumption!$AA$83:$AA$99,0),MATCH('County Scaled Consumption '!G$2,Production_Consumption!$AA$83:$AJ$83,0)))*'CA Population'!$L428*10^6</f>
        <v>5582.6951910596881</v>
      </c>
      <c r="H428" s="143">
        <f>(INDEX(Production_Consumption!$AA$83:$AJ$99,MATCH('County Scaled Consumption '!$B428,Production_Consumption!$AA$83:$AA$99,0),MATCH('County Scaled Consumption '!H$2,Production_Consumption!$AA$83:$AJ$83,0)))*'CA Population'!$L428*10^6</f>
        <v>150.89268073002293</v>
      </c>
      <c r="I428" s="143">
        <f>(INDEX(Production_Consumption!$AA$83:$AJ$99,MATCH('County Scaled Consumption '!$B428,Production_Consumption!$AA$83:$AA$99,0),MATCH('County Scaled Consumption '!I$2,Production_Consumption!$AA$83:$AJ$83,0)))*'CA Population'!$L428*10^6</f>
        <v>3177.138853946838</v>
      </c>
      <c r="J428" s="143">
        <f>(INDEX(Production_Consumption!$AA$83:$AJ$99,MATCH('County Scaled Consumption '!$B428,Production_Consumption!$AA$83:$AA$99,0),MATCH('County Scaled Consumption '!J$2,Production_Consumption!$AA$83:$AJ$83,0)))*'CA Population'!$L428*10^6</f>
        <v>2216.5391725208692</v>
      </c>
      <c r="K428" s="143">
        <f>(INDEX(Production_Consumption!$AA$83:$AJ$99,MATCH('County Scaled Consumption '!$B428,Production_Consumption!$AA$83:$AA$99,0),MATCH('County Scaled Consumption '!K$2,Production_Consumption!$AA$83:$AJ$83,0)))*'CA Population'!$L428*10^6</f>
        <v>28473.412920580628</v>
      </c>
      <c r="L428" s="131">
        <f t="shared" si="6"/>
        <v>0</v>
      </c>
    </row>
    <row r="429" spans="1:12" x14ac:dyDescent="0.2">
      <c r="A429" s="132" t="s">
        <v>318</v>
      </c>
      <c r="B429" s="129">
        <v>2013</v>
      </c>
      <c r="C429" s="143">
        <f>(INDEX(Production_Consumption!$AA$83:$AJ$99,MATCH('County Scaled Consumption '!$B429,Production_Consumption!$AA$83:$AA$99,0),MATCH('County Scaled Consumption '!C$2,Production_Consumption!$AA$83:$AJ$83,0)))*'CA Population'!$L429*10^6</f>
        <v>219.98123476270393</v>
      </c>
      <c r="D429" s="143">
        <f>(INDEX(Production_Consumption!$AA$83:$AJ$99,MATCH('County Scaled Consumption '!$B429,Production_Consumption!$AA$83:$AA$99,0),MATCH('County Scaled Consumption '!D$2,Production_Consumption!$AA$83:$AJ$83,0)))*'CA Population'!$L429*10^6</f>
        <v>891.67124820719459</v>
      </c>
      <c r="E429" s="143">
        <f>(INDEX(Production_Consumption!$AA$83:$AJ$99,MATCH('County Scaled Consumption '!$B429,Production_Consumption!$AA$83:$AA$99,0),MATCH('County Scaled Consumption '!E$2,Production_Consumption!$AA$83:$AJ$83,0)))*'CA Population'!$L429*10^6</f>
        <v>529.31793656067964</v>
      </c>
      <c r="F429" s="143">
        <f>(INDEX(Production_Consumption!$AA$83:$AJ$99,MATCH('County Scaled Consumption '!$B429,Production_Consumption!$AA$83:$AA$99,0),MATCH('County Scaled Consumption '!F$2,Production_Consumption!$AA$83:$AJ$83,0)))*'CA Population'!$L429*10^6</f>
        <v>146.33795138348492</v>
      </c>
      <c r="G429" s="143">
        <f>(INDEX(Production_Consumption!$AA$83:$AJ$99,MATCH('County Scaled Consumption '!$B429,Production_Consumption!$AA$83:$AA$99,0),MATCH('County Scaled Consumption '!G$2,Production_Consumption!$AA$83:$AJ$83,0)))*'CA Population'!$L429*10^6</f>
        <v>575.22848355901283</v>
      </c>
      <c r="H429" s="143">
        <f>(INDEX(Production_Consumption!$AA$83:$AJ$99,MATCH('County Scaled Consumption '!$B429,Production_Consumption!$AA$83:$AA$99,0),MATCH('County Scaled Consumption '!H$2,Production_Consumption!$AA$83:$AJ$83,0)))*'CA Population'!$L429*10^6</f>
        <v>15.547645885357694</v>
      </c>
      <c r="I429" s="143">
        <f>(INDEX(Production_Consumption!$AA$83:$AJ$99,MATCH('County Scaled Consumption '!$B429,Production_Consumption!$AA$83:$AA$99,0),MATCH('County Scaled Consumption '!I$2,Production_Consumption!$AA$83:$AJ$83,0)))*'CA Population'!$L429*10^6</f>
        <v>327.36531414772691</v>
      </c>
      <c r="J429" s="143">
        <f>(INDEX(Production_Consumption!$AA$83:$AJ$99,MATCH('County Scaled Consumption '!$B429,Production_Consumption!$AA$83:$AA$99,0),MATCH('County Scaled Consumption '!J$2,Production_Consumption!$AA$83:$AJ$83,0)))*'CA Population'!$L429*10^6</f>
        <v>228.38726158651502</v>
      </c>
      <c r="K429" s="143">
        <f>(INDEX(Production_Consumption!$AA$83:$AJ$99,MATCH('County Scaled Consumption '!$B429,Production_Consumption!$AA$83:$AA$99,0),MATCH('County Scaled Consumption '!K$2,Production_Consumption!$AA$83:$AJ$83,0)))*'CA Population'!$L429*10^6</f>
        <v>2933.8370760926755</v>
      </c>
      <c r="L429" s="131">
        <f t="shared" si="6"/>
        <v>0</v>
      </c>
    </row>
    <row r="430" spans="1:12" x14ac:dyDescent="0.2">
      <c r="A430" s="132" t="s">
        <v>319</v>
      </c>
      <c r="B430" s="129">
        <v>2013</v>
      </c>
      <c r="C430" s="143">
        <f>(INDEX(Production_Consumption!$AA$83:$AJ$99,MATCH('County Scaled Consumption '!$B430,Production_Consumption!$AA$83:$AA$99,0),MATCH('County Scaled Consumption '!C$2,Production_Consumption!$AA$83:$AJ$83,0)))*'CA Population'!$L430*10^6</f>
        <v>10249.333161718363</v>
      </c>
      <c r="D430" s="143">
        <f>(INDEX(Production_Consumption!$AA$83:$AJ$99,MATCH('County Scaled Consumption '!$B430,Production_Consumption!$AA$83:$AA$99,0),MATCH('County Scaled Consumption '!D$2,Production_Consumption!$AA$83:$AJ$83,0)))*'CA Population'!$L430*10^6</f>
        <v>41544.61494617565</v>
      </c>
      <c r="E430" s="143">
        <f>(INDEX(Production_Consumption!$AA$83:$AJ$99,MATCH('County Scaled Consumption '!$B430,Production_Consumption!$AA$83:$AA$99,0),MATCH('County Scaled Consumption '!E$2,Production_Consumption!$AA$83:$AJ$83,0)))*'CA Population'!$L430*10^6</f>
        <v>24661.903030664787</v>
      </c>
      <c r="F430" s="143">
        <f>(INDEX(Production_Consumption!$AA$83:$AJ$99,MATCH('County Scaled Consumption '!$B430,Production_Consumption!$AA$83:$AA$99,0),MATCH('County Scaled Consumption '!F$2,Production_Consumption!$AA$83:$AJ$83,0)))*'CA Population'!$L430*10^6</f>
        <v>6818.1561920524873</v>
      </c>
      <c r="G430" s="143">
        <f>(INDEX(Production_Consumption!$AA$83:$AJ$99,MATCH('County Scaled Consumption '!$B430,Production_Consumption!$AA$83:$AA$99,0),MATCH('County Scaled Consumption '!G$2,Production_Consumption!$AA$83:$AJ$83,0)))*'CA Population'!$L430*10^6</f>
        <v>26800.960447676905</v>
      </c>
      <c r="H430" s="143">
        <f>(INDEX(Production_Consumption!$AA$83:$AJ$99,MATCH('County Scaled Consumption '!$B430,Production_Consumption!$AA$83:$AA$99,0),MATCH('County Scaled Consumption '!H$2,Production_Consumption!$AA$83:$AJ$83,0)))*'CA Population'!$L430*10^6</f>
        <v>724.39361807995328</v>
      </c>
      <c r="I430" s="143">
        <f>(INDEX(Production_Consumption!$AA$83:$AJ$99,MATCH('County Scaled Consumption '!$B430,Production_Consumption!$AA$83:$AA$99,0),MATCH('County Scaled Consumption '!I$2,Production_Consumption!$AA$83:$AJ$83,0)))*'CA Population'!$L430*10^6</f>
        <v>15252.556309678044</v>
      </c>
      <c r="J430" s="143">
        <f>(INDEX(Production_Consumption!$AA$83:$AJ$99,MATCH('County Scaled Consumption '!$B430,Production_Consumption!$AA$83:$AA$99,0),MATCH('County Scaled Consumption '!J$2,Production_Consumption!$AA$83:$AJ$83,0)))*'CA Population'!$L430*10^6</f>
        <v>10640.985520504866</v>
      </c>
      <c r="K430" s="143">
        <f>(INDEX(Production_Consumption!$AA$83:$AJ$99,MATCH('County Scaled Consumption '!$B430,Production_Consumption!$AA$83:$AA$99,0),MATCH('County Scaled Consumption '!K$2,Production_Consumption!$AA$83:$AJ$83,0)))*'CA Population'!$L430*10^6</f>
        <v>136692.90322655105</v>
      </c>
      <c r="L430" s="131">
        <f t="shared" si="6"/>
        <v>0</v>
      </c>
    </row>
    <row r="431" spans="1:12" x14ac:dyDescent="0.2">
      <c r="A431" s="132" t="s">
        <v>320</v>
      </c>
      <c r="B431" s="129">
        <v>2013</v>
      </c>
      <c r="C431" s="143">
        <f>(INDEX(Production_Consumption!$AA$83:$AJ$99,MATCH('County Scaled Consumption '!$B431,Production_Consumption!$AA$83:$AA$99,0),MATCH('County Scaled Consumption '!C$2,Production_Consumption!$AA$83:$AJ$83,0)))*'CA Population'!$L431*10^6</f>
        <v>1781.353675044001</v>
      </c>
      <c r="D431" s="143">
        <f>(INDEX(Production_Consumption!$AA$83:$AJ$99,MATCH('County Scaled Consumption '!$B431,Production_Consumption!$AA$83:$AA$99,0),MATCH('County Scaled Consumption '!D$2,Production_Consumption!$AA$83:$AJ$83,0)))*'CA Population'!$L431*10^6</f>
        <v>7220.533408853541</v>
      </c>
      <c r="E431" s="143">
        <f>(INDEX(Production_Consumption!$AA$83:$AJ$99,MATCH('County Scaled Consumption '!$B431,Production_Consumption!$AA$83:$AA$99,0),MATCH('County Scaled Consumption '!E$2,Production_Consumption!$AA$83:$AJ$83,0)))*'CA Population'!$L431*10^6</f>
        <v>4286.2858396817019</v>
      </c>
      <c r="F431" s="143">
        <f>(INDEX(Production_Consumption!$AA$83:$AJ$99,MATCH('County Scaled Consumption '!$B431,Production_Consumption!$AA$83:$AA$99,0),MATCH('County Scaled Consumption '!F$2,Production_Consumption!$AA$83:$AJ$83,0)))*'CA Population'!$L431*10^6</f>
        <v>1185.0085657377963</v>
      </c>
      <c r="G431" s="143">
        <f>(INDEX(Production_Consumption!$AA$83:$AJ$99,MATCH('County Scaled Consumption '!$B431,Production_Consumption!$AA$83:$AA$99,0),MATCH('County Scaled Consumption '!G$2,Production_Consumption!$AA$83:$AJ$83,0)))*'CA Population'!$L431*10^6</f>
        <v>4658.0581033794724</v>
      </c>
      <c r="H431" s="143">
        <f>(INDEX(Production_Consumption!$AA$83:$AJ$99,MATCH('County Scaled Consumption '!$B431,Production_Consumption!$AA$83:$AA$99,0),MATCH('County Scaled Consumption '!H$2,Production_Consumption!$AA$83:$AJ$83,0)))*'CA Population'!$L431*10^6</f>
        <v>125.900994082702</v>
      </c>
      <c r="I431" s="143">
        <f>(INDEX(Production_Consumption!$AA$83:$AJ$99,MATCH('County Scaled Consumption '!$B431,Production_Consumption!$AA$83:$AA$99,0),MATCH('County Scaled Consumption '!I$2,Production_Consumption!$AA$83:$AJ$83,0)))*'CA Population'!$L431*10^6</f>
        <v>2650.923412026671</v>
      </c>
      <c r="J431" s="143">
        <f>(INDEX(Production_Consumption!$AA$83:$AJ$99,MATCH('County Scaled Consumption '!$B431,Production_Consumption!$AA$83:$AA$99,0),MATCH('County Scaled Consumption '!J$2,Production_Consumption!$AA$83:$AJ$83,0)))*'CA Population'!$L431*10^6</f>
        <v>1849.423602877923</v>
      </c>
      <c r="K431" s="143">
        <f>(INDEX(Production_Consumption!$AA$83:$AJ$99,MATCH('County Scaled Consumption '!$B431,Production_Consumption!$AA$83:$AA$99,0),MATCH('County Scaled Consumption '!K$2,Production_Consumption!$AA$83:$AJ$83,0)))*'CA Population'!$L431*10^6</f>
        <v>23757.487601683802</v>
      </c>
      <c r="L431" s="131">
        <f t="shared" si="6"/>
        <v>0</v>
      </c>
    </row>
    <row r="432" spans="1:12" x14ac:dyDescent="0.2">
      <c r="A432" s="132" t="s">
        <v>321</v>
      </c>
      <c r="B432" s="129">
        <v>2013</v>
      </c>
      <c r="C432" s="143">
        <f>(INDEX(Production_Consumption!$AA$83:$AJ$99,MATCH('County Scaled Consumption '!$B432,Production_Consumption!$AA$83:$AA$99,0),MATCH('County Scaled Consumption '!C$2,Production_Consumption!$AA$83:$AJ$83,0)))*'CA Population'!$L432*10^6</f>
        <v>767.67606735991524</v>
      </c>
      <c r="D432" s="143">
        <f>(INDEX(Production_Consumption!$AA$83:$AJ$99,MATCH('County Scaled Consumption '!$B432,Production_Consumption!$AA$83:$AA$99,0),MATCH('County Scaled Consumption '!D$2,Production_Consumption!$AA$83:$AJ$83,0)))*'CA Population'!$L432*10^6</f>
        <v>3111.6957677776436</v>
      </c>
      <c r="E432" s="143">
        <f>(INDEX(Production_Consumption!$AA$83:$AJ$99,MATCH('County Scaled Consumption '!$B432,Production_Consumption!$AA$83:$AA$99,0),MATCH('County Scaled Consumption '!E$2,Production_Consumption!$AA$83:$AJ$83,0)))*'CA Population'!$L432*10^6</f>
        <v>1847.1789757898939</v>
      </c>
      <c r="F432" s="143">
        <f>(INDEX(Production_Consumption!$AA$83:$AJ$99,MATCH('County Scaled Consumption '!$B432,Production_Consumption!$AA$83:$AA$99,0),MATCH('County Scaled Consumption '!F$2,Production_Consumption!$AA$83:$AJ$83,0)))*'CA Population'!$L432*10^6</f>
        <v>510.68057302597953</v>
      </c>
      <c r="G432" s="143">
        <f>(INDEX(Production_Consumption!$AA$83:$AJ$99,MATCH('County Scaled Consumption '!$B432,Production_Consumption!$AA$83:$AA$99,0),MATCH('County Scaled Consumption '!G$2,Production_Consumption!$AA$83:$AJ$83,0)))*'CA Population'!$L432*10^6</f>
        <v>2007.3945878535385</v>
      </c>
      <c r="H432" s="143">
        <f>(INDEX(Production_Consumption!$AA$83:$AJ$99,MATCH('County Scaled Consumption '!$B432,Production_Consumption!$AA$83:$AA$99,0),MATCH('County Scaled Consumption '!H$2,Production_Consumption!$AA$83:$AJ$83,0)))*'CA Population'!$L432*10^6</f>
        <v>54.257153628812802</v>
      </c>
      <c r="I432" s="143">
        <f>(INDEX(Production_Consumption!$AA$83:$AJ$99,MATCH('County Scaled Consumption '!$B432,Production_Consumption!$AA$83:$AA$99,0),MATCH('County Scaled Consumption '!I$2,Production_Consumption!$AA$83:$AJ$83,0)))*'CA Population'!$L432*10^6</f>
        <v>1142.4179759062697</v>
      </c>
      <c r="J432" s="143">
        <f>(INDEX(Production_Consumption!$AA$83:$AJ$99,MATCH('County Scaled Consumption '!$B432,Production_Consumption!$AA$83:$AA$99,0),MATCH('County Scaled Consumption '!J$2,Production_Consumption!$AA$83:$AJ$83,0)))*'CA Population'!$L432*10^6</f>
        <v>797.01086776316902</v>
      </c>
      <c r="K432" s="143">
        <f>(INDEX(Production_Consumption!$AA$83:$AJ$99,MATCH('County Scaled Consumption '!$B432,Production_Consumption!$AA$83:$AA$99,0),MATCH('County Scaled Consumption '!K$2,Production_Consumption!$AA$83:$AJ$83,0)))*'CA Population'!$L432*10^6</f>
        <v>10238.311969105222</v>
      </c>
      <c r="L432" s="131">
        <f t="shared" si="6"/>
        <v>0</v>
      </c>
    </row>
    <row r="433" spans="1:12" x14ac:dyDescent="0.2">
      <c r="A433" s="132" t="s">
        <v>322</v>
      </c>
      <c r="B433" s="129">
        <v>2013</v>
      </c>
      <c r="C433" s="143">
        <f>(INDEX(Production_Consumption!$AA$83:$AJ$99,MATCH('County Scaled Consumption '!$B433,Production_Consumption!$AA$83:$AA$99,0),MATCH('County Scaled Consumption '!C$2,Production_Consumption!$AA$83:$AJ$83,0)))*'CA Population'!$L433*10^6</f>
        <v>384.86343524308597</v>
      </c>
      <c r="D433" s="143">
        <f>(INDEX(Production_Consumption!$AA$83:$AJ$99,MATCH('County Scaled Consumption '!$B433,Production_Consumption!$AA$83:$AA$99,0),MATCH('County Scaled Consumption '!D$2,Production_Consumption!$AA$83:$AJ$83,0)))*'CA Population'!$L433*10^6</f>
        <v>1560.0042433741867</v>
      </c>
      <c r="E433" s="143">
        <f>(INDEX(Production_Consumption!$AA$83:$AJ$99,MATCH('County Scaled Consumption '!$B433,Production_Consumption!$AA$83:$AA$99,0),MATCH('County Scaled Consumption '!E$2,Production_Consumption!$AA$83:$AJ$83,0)))*'CA Population'!$L433*10^6</f>
        <v>926.05680489190217</v>
      </c>
      <c r="F433" s="143">
        <f>(INDEX(Production_Consumption!$AA$83:$AJ$99,MATCH('County Scaled Consumption '!$B433,Production_Consumption!$AA$83:$AA$99,0),MATCH('County Scaled Consumption '!F$2,Production_Consumption!$AA$83:$AJ$83,0)))*'CA Population'!$L433*10^6</f>
        <v>256.02241362376583</v>
      </c>
      <c r="G433" s="143">
        <f>(INDEX(Production_Consumption!$AA$83:$AJ$99,MATCH('County Scaled Consumption '!$B433,Production_Consumption!$AA$83:$AA$99,0),MATCH('County Scaled Consumption '!G$2,Production_Consumption!$AA$83:$AJ$83,0)))*'CA Population'!$L433*10^6</f>
        <v>1006.3786143895517</v>
      </c>
      <c r="H433" s="143">
        <f>(INDEX(Production_Consumption!$AA$83:$AJ$99,MATCH('County Scaled Consumption '!$B433,Production_Consumption!$AA$83:$AA$99,0),MATCH('County Scaled Consumption '!H$2,Production_Consumption!$AA$83:$AJ$83,0)))*'CA Population'!$L433*10^6</f>
        <v>27.201049270572991</v>
      </c>
      <c r="I433" s="143">
        <f>(INDEX(Production_Consumption!$AA$83:$AJ$99,MATCH('County Scaled Consumption '!$B433,Production_Consumption!$AA$83:$AA$99,0),MATCH('County Scaled Consumption '!I$2,Production_Consumption!$AA$83:$AJ$83,0)))*'CA Population'!$L433*10^6</f>
        <v>572.73494040632124</v>
      </c>
      <c r="J433" s="143">
        <f>(INDEX(Production_Consumption!$AA$83:$AJ$99,MATCH('County Scaled Consumption '!$B433,Production_Consumption!$AA$83:$AA$99,0),MATCH('County Scaled Consumption '!J$2,Production_Consumption!$AA$83:$AJ$83,0)))*'CA Population'!$L433*10^6</f>
        <v>399.5700185734654</v>
      </c>
      <c r="K433" s="143">
        <f>(INDEX(Production_Consumption!$AA$83:$AJ$99,MATCH('County Scaled Consumption '!$B433,Production_Consumption!$AA$83:$AA$99,0),MATCH('County Scaled Consumption '!K$2,Production_Consumption!$AA$83:$AJ$83,0)))*'CA Population'!$L433*10^6</f>
        <v>5132.8315197728516</v>
      </c>
      <c r="L433" s="131">
        <f t="shared" si="6"/>
        <v>0</v>
      </c>
    </row>
    <row r="434" spans="1:12" x14ac:dyDescent="0.2">
      <c r="A434" s="132" t="s">
        <v>323</v>
      </c>
      <c r="B434" s="129">
        <v>2013</v>
      </c>
      <c r="C434" s="143">
        <f>(INDEX(Production_Consumption!$AA$83:$AJ$99,MATCH('County Scaled Consumption '!$B434,Production_Consumption!$AA$83:$AA$99,0),MATCH('County Scaled Consumption '!C$2,Production_Consumption!$AA$83:$AJ$83,0)))*'CA Population'!$L434*10^6</f>
        <v>118848.43913166843</v>
      </c>
      <c r="D434" s="143">
        <f>(INDEX(Production_Consumption!$AA$83:$AJ$99,MATCH('County Scaled Consumption '!$B434,Production_Consumption!$AA$83:$AA$99,0),MATCH('County Scaled Consumption '!D$2,Production_Consumption!$AA$83:$AJ$83,0)))*'CA Population'!$L434*10^6</f>
        <v>481739.89105173701</v>
      </c>
      <c r="E434" s="143">
        <f>(INDEX(Production_Consumption!$AA$83:$AJ$99,MATCH('County Scaled Consumption '!$B434,Production_Consumption!$AA$83:$AA$99,0),MATCH('County Scaled Consumption '!E$2,Production_Consumption!$AA$83:$AJ$83,0)))*'CA Population'!$L434*10^6</f>
        <v>285972.62231250067</v>
      </c>
      <c r="F434" s="143">
        <f>(INDEX(Production_Consumption!$AA$83:$AJ$99,MATCH('County Scaled Consumption '!$B434,Production_Consumption!$AA$83:$AA$99,0),MATCH('County Scaled Consumption '!F$2,Production_Consumption!$AA$83:$AJ$83,0)))*'CA Population'!$L434*10^6</f>
        <v>79061.457793952912</v>
      </c>
      <c r="G434" s="143">
        <f>(INDEX(Production_Consumption!$AA$83:$AJ$99,MATCH('County Scaled Consumption '!$B434,Production_Consumption!$AA$83:$AA$99,0),MATCH('County Scaled Consumption '!G$2,Production_Consumption!$AA$83:$AJ$83,0)))*'CA Population'!$L434*10^6</f>
        <v>310776.54186645197</v>
      </c>
      <c r="H434" s="143">
        <f>(INDEX(Production_Consumption!$AA$83:$AJ$99,MATCH('County Scaled Consumption '!$B434,Production_Consumption!$AA$83:$AA$99,0),MATCH('County Scaled Consumption '!H$2,Production_Consumption!$AA$83:$AJ$83,0)))*'CA Population'!$L434*10^6</f>
        <v>8399.8685053292156</v>
      </c>
      <c r="I434" s="143">
        <f>(INDEX(Production_Consumption!$AA$83:$AJ$99,MATCH('County Scaled Consumption '!$B434,Production_Consumption!$AA$83:$AA$99,0),MATCH('County Scaled Consumption '!I$2,Production_Consumption!$AA$83:$AJ$83,0)))*'CA Population'!$L434*10^6</f>
        <v>176864.43416082682</v>
      </c>
      <c r="J434" s="143">
        <f>(INDEX(Production_Consumption!$AA$83:$AJ$99,MATCH('County Scaled Consumption '!$B434,Production_Consumption!$AA$83:$AA$99,0),MATCH('County Scaled Consumption '!J$2,Production_Consumption!$AA$83:$AJ$83,0)))*'CA Population'!$L434*10^6</f>
        <v>123389.93181119885</v>
      </c>
      <c r="K434" s="143">
        <f>(INDEX(Production_Consumption!$AA$83:$AJ$99,MATCH('County Scaled Consumption '!$B434,Production_Consumption!$AA$83:$AA$99,0),MATCH('County Scaled Consumption '!K$2,Production_Consumption!$AA$83:$AJ$83,0)))*'CA Population'!$L434*10^6</f>
        <v>1585053.1866336656</v>
      </c>
      <c r="L434" s="131">
        <f t="shared" si="6"/>
        <v>0</v>
      </c>
    </row>
    <row r="435" spans="1:12" x14ac:dyDescent="0.2">
      <c r="A435" s="132" t="s">
        <v>324</v>
      </c>
      <c r="B435" s="129">
        <v>2013</v>
      </c>
      <c r="C435" s="143">
        <f>(INDEX(Production_Consumption!$AA$83:$AJ$99,MATCH('County Scaled Consumption '!$B435,Production_Consumption!$AA$83:$AA$99,0),MATCH('County Scaled Consumption '!C$2,Production_Consumption!$AA$83:$AJ$83,0)))*'CA Population'!$L435*10^6</f>
        <v>1794.7016768946664</v>
      </c>
      <c r="D435" s="143">
        <f>(INDEX(Production_Consumption!$AA$83:$AJ$99,MATCH('County Scaled Consumption '!$B435,Production_Consumption!$AA$83:$AA$99,0),MATCH('County Scaled Consumption '!D$2,Production_Consumption!$AA$83:$AJ$83,0)))*'CA Population'!$L435*10^6</f>
        <v>7274.6381577612992</v>
      </c>
      <c r="E435" s="143">
        <f>(INDEX(Production_Consumption!$AA$83:$AJ$99,MATCH('County Scaled Consumption '!$B435,Production_Consumption!$AA$83:$AA$99,0),MATCH('County Scaled Consumption '!E$2,Production_Consumption!$AA$83:$AJ$83,0)))*'CA Population'!$L435*10^6</f>
        <v>4318.4037464859985</v>
      </c>
      <c r="F435" s="143">
        <f>(INDEX(Production_Consumption!$AA$83:$AJ$99,MATCH('County Scaled Consumption '!$B435,Production_Consumption!$AA$83:$AA$99,0),MATCH('County Scaled Consumption '!F$2,Production_Consumption!$AA$83:$AJ$83,0)))*'CA Population'!$L435*10^6</f>
        <v>1193.8880469717133</v>
      </c>
      <c r="G435" s="143">
        <f>(INDEX(Production_Consumption!$AA$83:$AJ$99,MATCH('County Scaled Consumption '!$B435,Production_Consumption!$AA$83:$AA$99,0),MATCH('County Scaled Consumption '!G$2,Production_Consumption!$AA$83:$AJ$83,0)))*'CA Population'!$L435*10^6</f>
        <v>4692.9617662822811</v>
      </c>
      <c r="H435" s="143">
        <f>(INDEX(Production_Consumption!$AA$83:$AJ$99,MATCH('County Scaled Consumption '!$B435,Production_Consumption!$AA$83:$AA$99,0),MATCH('County Scaled Consumption '!H$2,Production_Consumption!$AA$83:$AJ$83,0)))*'CA Population'!$L435*10^6</f>
        <v>126.84439276066249</v>
      </c>
      <c r="I435" s="143">
        <f>(INDEX(Production_Consumption!$AA$83:$AJ$99,MATCH('County Scaled Consumption '!$B435,Production_Consumption!$AA$83:$AA$99,0),MATCH('County Scaled Consumption '!I$2,Production_Consumption!$AA$83:$AJ$83,0)))*'CA Population'!$L435*10^6</f>
        <v>2670.7872555213271</v>
      </c>
      <c r="J435" s="143">
        <f>(INDEX(Production_Consumption!$AA$83:$AJ$99,MATCH('County Scaled Consumption '!$B435,Production_Consumption!$AA$83:$AA$99,0),MATCH('County Scaled Consumption '!J$2,Production_Consumption!$AA$83:$AJ$83,0)))*'CA Population'!$L435*10^6</f>
        <v>1863.2816648785918</v>
      </c>
      <c r="K435" s="143">
        <f>(INDEX(Production_Consumption!$AA$83:$AJ$99,MATCH('County Scaled Consumption '!$B435,Production_Consumption!$AA$83:$AA$99,0),MATCH('County Scaled Consumption '!K$2,Production_Consumption!$AA$83:$AJ$83,0)))*'CA Population'!$L435*10^6</f>
        <v>23935.506707556538</v>
      </c>
      <c r="L435" s="131">
        <f t="shared" si="6"/>
        <v>0</v>
      </c>
    </row>
    <row r="436" spans="1:12" x14ac:dyDescent="0.2">
      <c r="A436" s="132" t="s">
        <v>325</v>
      </c>
      <c r="B436" s="129">
        <v>2013</v>
      </c>
      <c r="C436" s="143">
        <f>(INDEX(Production_Consumption!$AA$83:$AJ$99,MATCH('County Scaled Consumption '!$B436,Production_Consumption!$AA$83:$AA$99,0),MATCH('County Scaled Consumption '!C$2,Production_Consumption!$AA$83:$AJ$83,0)))*'CA Population'!$L436*10^6</f>
        <v>3059.9997883818</v>
      </c>
      <c r="D436" s="143">
        <f>(INDEX(Production_Consumption!$AA$83:$AJ$99,MATCH('County Scaled Consumption '!$B436,Production_Consumption!$AA$83:$AA$99,0),MATCH('County Scaled Consumption '!D$2,Production_Consumption!$AA$83:$AJ$83,0)))*'CA Population'!$L436*10^6</f>
        <v>12403.393561107279</v>
      </c>
      <c r="E436" s="143">
        <f>(INDEX(Production_Consumption!$AA$83:$AJ$99,MATCH('County Scaled Consumption '!$B436,Production_Consumption!$AA$83:$AA$99,0),MATCH('County Scaled Consumption '!E$2,Production_Consumption!$AA$83:$AJ$83,0)))*'CA Population'!$L436*10^6</f>
        <v>7362.9588251451178</v>
      </c>
      <c r="F436" s="143">
        <f>(INDEX(Production_Consumption!$AA$83:$AJ$99,MATCH('County Scaled Consumption '!$B436,Production_Consumption!$AA$83:$AA$99,0),MATCH('County Scaled Consumption '!F$2,Production_Consumption!$AA$83:$AJ$83,0)))*'CA Population'!$L436*10^6</f>
        <v>2035.601358219169</v>
      </c>
      <c r="G436" s="143">
        <f>(INDEX(Production_Consumption!$AA$83:$AJ$99,MATCH('County Scaled Consumption '!$B436,Production_Consumption!$AA$83:$AA$99,0),MATCH('County Scaled Consumption '!G$2,Production_Consumption!$AA$83:$AJ$83,0)))*'CA Population'!$L436*10^6</f>
        <v>8001.5872256581706</v>
      </c>
      <c r="H436" s="143">
        <f>(INDEX(Production_Consumption!$AA$83:$AJ$99,MATCH('County Scaled Consumption '!$B436,Production_Consumption!$AA$83:$AA$99,0),MATCH('County Scaled Consumption '!H$2,Production_Consumption!$AA$83:$AJ$83,0)))*'CA Population'!$L436*10^6</f>
        <v>216.27205234278378</v>
      </c>
      <c r="I436" s="143">
        <f>(INDEX(Production_Consumption!$AA$83:$AJ$99,MATCH('County Scaled Consumption '!$B436,Production_Consumption!$AA$83:$AA$99,0),MATCH('County Scaled Consumption '!I$2,Production_Consumption!$AA$83:$AJ$83,0)))*'CA Population'!$L436*10^6</f>
        <v>4553.7420184779439</v>
      </c>
      <c r="J436" s="143">
        <f>(INDEX(Production_Consumption!$AA$83:$AJ$99,MATCH('County Scaled Consumption '!$B436,Production_Consumption!$AA$83:$AA$99,0),MATCH('County Scaled Consumption '!J$2,Production_Consumption!$AA$83:$AJ$83,0)))*'CA Population'!$L436*10^6</f>
        <v>3176.9299453096878</v>
      </c>
      <c r="K436" s="143">
        <f>(INDEX(Production_Consumption!$AA$83:$AJ$99,MATCH('County Scaled Consumption '!$B436,Production_Consumption!$AA$83:$AA$99,0),MATCH('County Scaled Consumption '!K$2,Production_Consumption!$AA$83:$AJ$83,0)))*'CA Population'!$L436*10^6</f>
        <v>40810.484774641947</v>
      </c>
      <c r="L436" s="131">
        <f t="shared" si="6"/>
        <v>0</v>
      </c>
    </row>
    <row r="437" spans="1:12" x14ac:dyDescent="0.2">
      <c r="A437" s="132" t="s">
        <v>326</v>
      </c>
      <c r="B437" s="129">
        <v>2013</v>
      </c>
      <c r="C437" s="143">
        <f>(INDEX(Production_Consumption!$AA$83:$AJ$99,MATCH('County Scaled Consumption '!$B437,Production_Consumption!$AA$83:$AA$99,0),MATCH('County Scaled Consumption '!C$2,Production_Consumption!$AA$83:$AJ$83,0)))*'CA Population'!$L437*10^6</f>
        <v>215.68995885689486</v>
      </c>
      <c r="D437" s="143">
        <f>(INDEX(Production_Consumption!$AA$83:$AJ$99,MATCH('County Scaled Consumption '!$B437,Production_Consumption!$AA$83:$AA$99,0),MATCH('County Scaled Consumption '!D$2,Production_Consumption!$AA$83:$AJ$83,0)))*'CA Population'!$L437*10^6</f>
        <v>874.27700388693791</v>
      </c>
      <c r="E437" s="143">
        <f>(INDEX(Production_Consumption!$AA$83:$AJ$99,MATCH('County Scaled Consumption '!$B437,Production_Consumption!$AA$83:$AA$99,0),MATCH('County Scaled Consumption '!E$2,Production_Consumption!$AA$83:$AJ$83,0)))*'CA Population'!$L437*10^6</f>
        <v>518.9922862381618</v>
      </c>
      <c r="F437" s="143">
        <f>(INDEX(Production_Consumption!$AA$83:$AJ$99,MATCH('County Scaled Consumption '!$B437,Production_Consumption!$AA$83:$AA$99,0),MATCH('County Scaled Consumption '!F$2,Production_Consumption!$AA$83:$AJ$83,0)))*'CA Population'!$L437*10^6</f>
        <v>143.48326913954349</v>
      </c>
      <c r="G437" s="143">
        <f>(INDEX(Production_Consumption!$AA$83:$AJ$99,MATCH('County Scaled Consumption '!$B437,Production_Consumption!$AA$83:$AA$99,0),MATCH('County Scaled Consumption '!G$2,Production_Consumption!$AA$83:$AJ$83,0)))*'CA Population'!$L437*10^6</f>
        <v>564.00723491707913</v>
      </c>
      <c r="H437" s="143">
        <f>(INDEX(Production_Consumption!$AA$83:$AJ$99,MATCH('County Scaled Consumption '!$B437,Production_Consumption!$AA$83:$AA$99,0),MATCH('County Scaled Consumption '!H$2,Production_Consumption!$AA$83:$AJ$83,0)))*'CA Population'!$L437*10^6</f>
        <v>15.244350750880168</v>
      </c>
      <c r="I437" s="143">
        <f>(INDEX(Production_Consumption!$AA$83:$AJ$99,MATCH('County Scaled Consumption '!$B437,Production_Consumption!$AA$83:$AA$99,0),MATCH('County Scaled Consumption '!I$2,Production_Consumption!$AA$83:$AJ$83,0)))*'CA Population'!$L437*10^6</f>
        <v>320.97924723381425</v>
      </c>
      <c r="J437" s="143">
        <f>(INDEX(Production_Consumption!$AA$83:$AJ$99,MATCH('County Scaled Consumption '!$B437,Production_Consumption!$AA$83:$AA$99,0),MATCH('County Scaled Consumption '!J$2,Production_Consumption!$AA$83:$AJ$83,0)))*'CA Population'!$L437*10^6</f>
        <v>223.93200541933723</v>
      </c>
      <c r="K437" s="143">
        <f>(INDEX(Production_Consumption!$AA$83:$AJ$99,MATCH('County Scaled Consumption '!$B437,Production_Consumption!$AA$83:$AA$99,0),MATCH('County Scaled Consumption '!K$2,Production_Consumption!$AA$83:$AJ$83,0)))*'CA Population'!$L437*10^6</f>
        <v>2876.6053564426484</v>
      </c>
      <c r="L437" s="131">
        <f t="shared" si="6"/>
        <v>0</v>
      </c>
    </row>
    <row r="438" spans="1:12" x14ac:dyDescent="0.2">
      <c r="A438" s="132" t="s">
        <v>327</v>
      </c>
      <c r="B438" s="129">
        <v>2013</v>
      </c>
      <c r="C438" s="143">
        <f>(INDEX(Production_Consumption!$AA$83:$AJ$99,MATCH('County Scaled Consumption '!$B438,Production_Consumption!$AA$83:$AA$99,0),MATCH('County Scaled Consumption '!C$2,Production_Consumption!$AA$83:$AJ$83,0)))*'CA Population'!$L438*10^6</f>
        <v>1045.6725073243581</v>
      </c>
      <c r="D438" s="143">
        <f>(INDEX(Production_Consumption!$AA$83:$AJ$99,MATCH('County Scaled Consumption '!$B438,Production_Consumption!$AA$83:$AA$99,0),MATCH('County Scaled Consumption '!D$2,Production_Consumption!$AA$83:$AJ$83,0)))*'CA Population'!$L438*10^6</f>
        <v>4238.5256670990266</v>
      </c>
      <c r="E438" s="143">
        <f>(INDEX(Production_Consumption!$AA$83:$AJ$99,MATCH('County Scaled Consumption '!$B438,Production_Consumption!$AA$83:$AA$99,0),MATCH('County Scaled Consumption '!E$2,Production_Consumption!$AA$83:$AJ$83,0)))*'CA Population'!$L438*10^6</f>
        <v>2516.092858975996</v>
      </c>
      <c r="F438" s="143">
        <f>(INDEX(Production_Consumption!$AA$83:$AJ$99,MATCH('County Scaled Consumption '!$B438,Production_Consumption!$AA$83:$AA$99,0),MATCH('County Scaled Consumption '!F$2,Production_Consumption!$AA$83:$AJ$83,0)))*'CA Population'!$L438*10^6</f>
        <v>695.61193574054039</v>
      </c>
      <c r="G438" s="143">
        <f>(INDEX(Production_Consumption!$AA$83:$AJ$99,MATCH('County Scaled Consumption '!$B438,Production_Consumption!$AA$83:$AA$99,0),MATCH('County Scaled Consumption '!G$2,Production_Consumption!$AA$83:$AJ$83,0)))*'CA Population'!$L438*10^6</f>
        <v>2734.3269135496316</v>
      </c>
      <c r="H438" s="143">
        <f>(INDEX(Production_Consumption!$AA$83:$AJ$99,MATCH('County Scaled Consumption '!$B438,Production_Consumption!$AA$83:$AA$99,0),MATCH('County Scaled Consumption '!H$2,Production_Consumption!$AA$83:$AJ$83,0)))*'CA Population'!$L438*10^6</f>
        <v>73.905148652659506</v>
      </c>
      <c r="I438" s="143">
        <f>(INDEX(Production_Consumption!$AA$83:$AJ$99,MATCH('County Scaled Consumption '!$B438,Production_Consumption!$AA$83:$AA$99,0),MATCH('County Scaled Consumption '!I$2,Production_Consumption!$AA$83:$AJ$83,0)))*'CA Population'!$L438*10^6</f>
        <v>1556.1186808735781</v>
      </c>
      <c r="J438" s="143">
        <f>(INDEX(Production_Consumption!$AA$83:$AJ$99,MATCH('County Scaled Consumption '!$B438,Production_Consumption!$AA$83:$AA$99,0),MATCH('County Scaled Consumption '!J$2,Production_Consumption!$AA$83:$AJ$83,0)))*'CA Population'!$L438*10^6</f>
        <v>1085.6302389689329</v>
      </c>
      <c r="K438" s="143">
        <f>(INDEX(Production_Consumption!$AA$83:$AJ$99,MATCH('County Scaled Consumption '!$B438,Production_Consumption!$AA$83:$AA$99,0),MATCH('County Scaled Consumption '!K$2,Production_Consumption!$AA$83:$AJ$83,0)))*'CA Population'!$L438*10^6</f>
        <v>13945.883951184722</v>
      </c>
      <c r="L438" s="131">
        <f t="shared" si="6"/>
        <v>0</v>
      </c>
    </row>
    <row r="439" spans="1:12" x14ac:dyDescent="0.2">
      <c r="A439" s="132" t="s">
        <v>328</v>
      </c>
      <c r="B439" s="129">
        <v>2013</v>
      </c>
      <c r="C439" s="143">
        <f>(INDEX(Production_Consumption!$AA$83:$AJ$99,MATCH('County Scaled Consumption '!$B439,Production_Consumption!$AA$83:$AA$99,0),MATCH('County Scaled Consumption '!C$2,Production_Consumption!$AA$83:$AJ$83,0)))*'CA Population'!$L439*10^6</f>
        <v>3133.876118340369</v>
      </c>
      <c r="D439" s="143">
        <f>(INDEX(Production_Consumption!$AA$83:$AJ$99,MATCH('County Scaled Consumption '!$B439,Production_Consumption!$AA$83:$AA$99,0),MATCH('County Scaled Consumption '!D$2,Production_Consumption!$AA$83:$AJ$83,0)))*'CA Population'!$L439*10^6</f>
        <v>12702.843645648272</v>
      </c>
      <c r="E439" s="143">
        <f>(INDEX(Production_Consumption!$AA$83:$AJ$99,MATCH('County Scaled Consumption '!$B439,Production_Consumption!$AA$83:$AA$99,0),MATCH('County Scaled Consumption '!E$2,Production_Consumption!$AA$83:$AJ$83,0)))*'CA Population'!$L439*10^6</f>
        <v>7540.7197445095699</v>
      </c>
      <c r="F439" s="143">
        <f>(INDEX(Production_Consumption!$AA$83:$AJ$99,MATCH('County Scaled Consumption '!$B439,Production_Consumption!$AA$83:$AA$99,0),MATCH('County Scaled Consumption '!F$2,Production_Consumption!$AA$83:$AJ$83,0)))*'CA Population'!$L439*10^6</f>
        <v>2084.746053645255</v>
      </c>
      <c r="G439" s="143">
        <f>(INDEX(Production_Consumption!$AA$83:$AJ$99,MATCH('County Scaled Consumption '!$B439,Production_Consumption!$AA$83:$AA$99,0),MATCH('County Scaled Consumption '!G$2,Production_Consumption!$AA$83:$AJ$83,0)))*'CA Population'!$L439*10^6</f>
        <v>8194.7662906762089</v>
      </c>
      <c r="H439" s="143">
        <f>(INDEX(Production_Consumption!$AA$83:$AJ$99,MATCH('County Scaled Consumption '!$B439,Production_Consumption!$AA$83:$AA$99,0),MATCH('County Scaled Consumption '!H$2,Production_Consumption!$AA$83:$AJ$83,0)))*'CA Population'!$L439*10^6</f>
        <v>221.49342051423113</v>
      </c>
      <c r="I439" s="143">
        <f>(INDEX(Production_Consumption!$AA$83:$AJ$99,MATCH('County Scaled Consumption '!$B439,Production_Consumption!$AA$83:$AA$99,0),MATCH('County Scaled Consumption '!I$2,Production_Consumption!$AA$83:$AJ$83,0)))*'CA Population'!$L439*10^6</f>
        <v>4663.6811593826496</v>
      </c>
      <c r="J439" s="143">
        <f>(INDEX(Production_Consumption!$AA$83:$AJ$99,MATCH('County Scaled Consumption '!$B439,Production_Consumption!$AA$83:$AA$99,0),MATCH('County Scaled Consumption '!J$2,Production_Consumption!$AA$83:$AJ$83,0)))*'CA Population'!$L439*10^6</f>
        <v>3253.6292724750251</v>
      </c>
      <c r="K439" s="143">
        <f>(INDEX(Production_Consumption!$AA$83:$AJ$99,MATCH('County Scaled Consumption '!$B439,Production_Consumption!$AA$83:$AA$99,0),MATCH('County Scaled Consumption '!K$2,Production_Consumption!$AA$83:$AJ$83,0)))*'CA Population'!$L439*10^6</f>
        <v>41795.755705191579</v>
      </c>
      <c r="L439" s="131">
        <f t="shared" si="6"/>
        <v>0</v>
      </c>
    </row>
    <row r="440" spans="1:12" x14ac:dyDescent="0.2">
      <c r="A440" s="132" t="s">
        <v>329</v>
      </c>
      <c r="B440" s="129">
        <v>2013</v>
      </c>
      <c r="C440" s="143">
        <f>(INDEX(Production_Consumption!$AA$83:$AJ$99,MATCH('County Scaled Consumption '!$B440,Production_Consumption!$AA$83:$AA$99,0),MATCH('County Scaled Consumption '!C$2,Production_Consumption!$AA$83:$AJ$83,0)))*'CA Population'!$L440*10^6</f>
        <v>114.34709223048135</v>
      </c>
      <c r="D440" s="143">
        <f>(INDEX(Production_Consumption!$AA$83:$AJ$99,MATCH('County Scaled Consumption '!$B440,Production_Consumption!$AA$83:$AA$99,0),MATCH('County Scaled Consumption '!D$2,Production_Consumption!$AA$83:$AJ$83,0)))*'CA Population'!$L440*10^6</f>
        <v>463.49414561656522</v>
      </c>
      <c r="E440" s="143">
        <f>(INDEX(Production_Consumption!$AA$83:$AJ$99,MATCH('County Scaled Consumption '!$B440,Production_Consumption!$AA$83:$AA$99,0),MATCH('County Scaled Consumption '!E$2,Production_Consumption!$AA$83:$AJ$83,0)))*'CA Population'!$L440*10^6</f>
        <v>275.14150003040987</v>
      </c>
      <c r="F440" s="143">
        <f>(INDEX(Production_Consumption!$AA$83:$AJ$99,MATCH('County Scaled Consumption '!$B440,Production_Consumption!$AA$83:$AA$99,0),MATCH('County Scaled Consumption '!F$2,Production_Consumption!$AA$83:$AJ$83,0)))*'CA Population'!$L440*10^6</f>
        <v>76.067030179721712</v>
      </c>
      <c r="G440" s="143">
        <f>(INDEX(Production_Consumption!$AA$83:$AJ$99,MATCH('County Scaled Consumption '!$B440,Production_Consumption!$AA$83:$AA$99,0),MATCH('County Scaled Consumption '!G$2,Production_Consumption!$AA$83:$AJ$83,0)))*'CA Population'!$L440*10^6</f>
        <v>299.00597900577884</v>
      </c>
      <c r="H440" s="143">
        <f>(INDEX(Production_Consumption!$AA$83:$AJ$99,MATCH('County Scaled Consumption '!$B440,Production_Consumption!$AA$83:$AA$99,0),MATCH('County Scaled Consumption '!H$2,Production_Consumption!$AA$83:$AJ$83,0)))*'CA Population'!$L440*10^6</f>
        <v>8.081726152403963</v>
      </c>
      <c r="I440" s="143">
        <f>(INDEX(Production_Consumption!$AA$83:$AJ$99,MATCH('County Scaled Consumption '!$B440,Production_Consumption!$AA$83:$AA$99,0),MATCH('County Scaled Consumption '!I$2,Production_Consumption!$AA$83:$AJ$83,0)))*'CA Population'!$L440*10^6</f>
        <v>170.16574986630241</v>
      </c>
      <c r="J440" s="143">
        <f>(INDEX(Production_Consumption!$AA$83:$AJ$99,MATCH('County Scaled Consumption '!$B440,Production_Consumption!$AA$83:$AA$99,0),MATCH('County Scaled Consumption '!J$2,Production_Consumption!$AA$83:$AJ$83,0)))*'CA Population'!$L440*10^6</f>
        <v>118.71657731656647</v>
      </c>
      <c r="K440" s="143">
        <f>(INDEX(Production_Consumption!$AA$83:$AJ$99,MATCH('County Scaled Consumption '!$B440,Production_Consumption!$AA$83:$AA$99,0),MATCH('County Scaled Consumption '!K$2,Production_Consumption!$AA$83:$AJ$83,0)))*'CA Population'!$L440*10^6</f>
        <v>1525.0198003982296</v>
      </c>
      <c r="L440" s="131">
        <f t="shared" si="6"/>
        <v>0</v>
      </c>
    </row>
    <row r="441" spans="1:12" x14ac:dyDescent="0.2">
      <c r="A441" s="132" t="s">
        <v>330</v>
      </c>
      <c r="B441" s="129">
        <v>2013</v>
      </c>
      <c r="C441" s="143">
        <f>(INDEX(Production_Consumption!$AA$83:$AJ$99,MATCH('County Scaled Consumption '!$B441,Production_Consumption!$AA$83:$AA$99,0),MATCH('County Scaled Consumption '!C$2,Production_Consumption!$AA$83:$AJ$83,0)))*'CA Population'!$L441*10^6</f>
        <v>165.17855931365614</v>
      </c>
      <c r="D441" s="143">
        <f>(INDEX(Production_Consumption!$AA$83:$AJ$99,MATCH('County Scaled Consumption '!$B441,Production_Consumption!$AA$83:$AA$99,0),MATCH('County Scaled Consumption '!D$2,Production_Consumption!$AA$83:$AJ$83,0)))*'CA Population'!$L441*10^6</f>
        <v>669.5342551338606</v>
      </c>
      <c r="E441" s="143">
        <f>(INDEX(Production_Consumption!$AA$83:$AJ$99,MATCH('County Scaled Consumption '!$B441,Production_Consumption!$AA$83:$AA$99,0),MATCH('County Scaled Consumption '!E$2,Production_Consumption!$AA$83:$AJ$83,0)))*'CA Population'!$L441*10^6</f>
        <v>397.45196572918633</v>
      </c>
      <c r="F441" s="143">
        <f>(INDEX(Production_Consumption!$AA$83:$AJ$99,MATCH('County Scaled Consumption '!$B441,Production_Consumption!$AA$83:$AA$99,0),MATCH('County Scaled Consumption '!F$2,Production_Consumption!$AA$83:$AJ$83,0)))*'CA Population'!$L441*10^6</f>
        <v>109.88160880408898</v>
      </c>
      <c r="G441" s="143">
        <f>(INDEX(Production_Consumption!$AA$83:$AJ$99,MATCH('County Scaled Consumption '!$B441,Production_Consumption!$AA$83:$AA$99,0),MATCH('County Scaled Consumption '!G$2,Production_Consumption!$AA$83:$AJ$83,0)))*'CA Population'!$L441*10^6</f>
        <v>431.9250789411696</v>
      </c>
      <c r="H441" s="143">
        <f>(INDEX(Production_Consumption!$AA$83:$AJ$99,MATCH('County Scaled Consumption '!$B441,Production_Consumption!$AA$83:$AA$99,0),MATCH('County Scaled Consumption '!H$2,Production_Consumption!$AA$83:$AJ$83,0)))*'CA Population'!$L441*10^6</f>
        <v>11.674349181795234</v>
      </c>
      <c r="I441" s="143">
        <f>(INDEX(Production_Consumption!$AA$83:$AJ$99,MATCH('County Scaled Consumption '!$B441,Production_Consumption!$AA$83:$AA$99,0),MATCH('County Scaled Consumption '!I$2,Production_Consumption!$AA$83:$AJ$83,0)))*'CA Population'!$L441*10^6</f>
        <v>245.81065297916837</v>
      </c>
      <c r="J441" s="143">
        <f>(INDEX(Production_Consumption!$AA$83:$AJ$99,MATCH('County Scaled Consumption '!$B441,Production_Consumption!$AA$83:$AA$99,0),MATCH('County Scaled Consumption '!J$2,Production_Consumption!$AA$83:$AJ$83,0)))*'CA Population'!$L441*10^6</f>
        <v>171.49044042391012</v>
      </c>
      <c r="K441" s="143">
        <f>(INDEX(Production_Consumption!$AA$83:$AJ$99,MATCH('County Scaled Consumption '!$B441,Production_Consumption!$AA$83:$AA$99,0),MATCH('County Scaled Consumption '!K$2,Production_Consumption!$AA$83:$AJ$83,0)))*'CA Population'!$L441*10^6</f>
        <v>2202.9469105068351</v>
      </c>
      <c r="L441" s="131">
        <f t="shared" si="6"/>
        <v>0</v>
      </c>
    </row>
    <row r="442" spans="1:12" x14ac:dyDescent="0.2">
      <c r="A442" s="132" t="s">
        <v>331</v>
      </c>
      <c r="B442" s="129">
        <v>2013</v>
      </c>
      <c r="C442" s="143">
        <f>(INDEX(Production_Consumption!$AA$83:$AJ$99,MATCH('County Scaled Consumption '!$B442,Production_Consumption!$AA$83:$AA$99,0),MATCH('County Scaled Consumption '!C$2,Production_Consumption!$AA$83:$AJ$83,0)))*'CA Population'!$L442*10^6</f>
        <v>5049.5751796841887</v>
      </c>
      <c r="D442" s="143">
        <f>(INDEX(Production_Consumption!$AA$83:$AJ$99,MATCH('County Scaled Consumption '!$B442,Production_Consumption!$AA$83:$AA$99,0),MATCH('County Scaled Consumption '!D$2,Production_Consumption!$AA$83:$AJ$83,0)))*'CA Population'!$L442*10^6</f>
        <v>20467.932222682673</v>
      </c>
      <c r="E442" s="143">
        <f>(INDEX(Production_Consumption!$AA$83:$AJ$99,MATCH('County Scaled Consumption '!$B442,Production_Consumption!$AA$83:$AA$99,0),MATCH('County Scaled Consumption '!E$2,Production_Consumption!$AA$83:$AJ$83,0)))*'CA Population'!$L442*10^6</f>
        <v>12150.266896636289</v>
      </c>
      <c r="F442" s="143">
        <f>(INDEX(Production_Consumption!$AA$83:$AJ$99,MATCH('County Scaled Consumption '!$B442,Production_Consumption!$AA$83:$AA$99,0),MATCH('County Scaled Consumption '!F$2,Production_Consumption!$AA$83:$AJ$83,0)))*'CA Population'!$L442*10^6</f>
        <v>3359.1250996885447</v>
      </c>
      <c r="G442" s="143">
        <f>(INDEX(Production_Consumption!$AA$83:$AJ$99,MATCH('County Scaled Consumption '!$B442,Production_Consumption!$AA$83:$AA$99,0),MATCH('County Scaled Consumption '!G$2,Production_Consumption!$AA$83:$AJ$83,0)))*'CA Population'!$L442*10^6</f>
        <v>13204.123871566826</v>
      </c>
      <c r="H442" s="143">
        <f>(INDEX(Production_Consumption!$AA$83:$AJ$99,MATCH('County Scaled Consumption '!$B442,Production_Consumption!$AA$83:$AA$99,0),MATCH('County Scaled Consumption '!H$2,Production_Consumption!$AA$83:$AJ$83,0)))*'CA Population'!$L442*10^6</f>
        <v>356.88956310255151</v>
      </c>
      <c r="I442" s="143">
        <f>(INDEX(Production_Consumption!$AA$83:$AJ$99,MATCH('County Scaled Consumption '!$B442,Production_Consumption!$AA$83:$AA$99,0),MATCH('County Scaled Consumption '!I$2,Production_Consumption!$AA$83:$AJ$83,0)))*'CA Population'!$L442*10^6</f>
        <v>7514.5308043799623</v>
      </c>
      <c r="J442" s="143">
        <f>(INDEX(Production_Consumption!$AA$83:$AJ$99,MATCH('County Scaled Consumption '!$B442,Production_Consumption!$AA$83:$AA$99,0),MATCH('County Scaled Consumption '!J$2,Production_Consumption!$AA$83:$AJ$83,0)))*'CA Population'!$L442*10^6</f>
        <v>5242.5319309955621</v>
      </c>
      <c r="K442" s="143">
        <f>(INDEX(Production_Consumption!$AA$83:$AJ$99,MATCH('County Scaled Consumption '!$B442,Production_Consumption!$AA$83:$AA$99,0),MATCH('County Scaled Consumption '!K$2,Production_Consumption!$AA$83:$AJ$83,0)))*'CA Population'!$L442*10^6</f>
        <v>67344.975568736583</v>
      </c>
      <c r="L442" s="131">
        <f t="shared" si="6"/>
        <v>0</v>
      </c>
    </row>
    <row r="443" spans="1:12" x14ac:dyDescent="0.2">
      <c r="A443" s="132" t="s">
        <v>332</v>
      </c>
      <c r="B443" s="129">
        <v>2013</v>
      </c>
      <c r="C443" s="143">
        <f>(INDEX(Production_Consumption!$AA$83:$AJ$99,MATCH('County Scaled Consumption '!$B443,Production_Consumption!$AA$83:$AA$99,0),MATCH('County Scaled Consumption '!C$2,Production_Consumption!$AA$83:$AJ$83,0)))*'CA Population'!$L443*10^6</f>
        <v>1647.8143847706885</v>
      </c>
      <c r="D443" s="143">
        <f>(INDEX(Production_Consumption!$AA$83:$AJ$99,MATCH('County Scaled Consumption '!$B443,Production_Consumption!$AA$83:$AA$99,0),MATCH('County Scaled Consumption '!D$2,Production_Consumption!$AA$83:$AJ$83,0)))*'CA Population'!$L443*10^6</f>
        <v>6679.2456677825676</v>
      </c>
      <c r="E443" s="143">
        <f>(INDEX(Production_Consumption!$AA$83:$AJ$99,MATCH('County Scaled Consumption '!$B443,Production_Consumption!$AA$83:$AA$99,0),MATCH('County Scaled Consumption '!E$2,Production_Consumption!$AA$83:$AJ$83,0)))*'CA Population'!$L443*10^6</f>
        <v>3964.964152159147</v>
      </c>
      <c r="F443" s="143">
        <f>(INDEX(Production_Consumption!$AA$83:$AJ$99,MATCH('County Scaled Consumption '!$B443,Production_Consumption!$AA$83:$AA$99,0),MATCH('County Scaled Consumption '!F$2,Production_Consumption!$AA$83:$AJ$83,0)))*'CA Population'!$L443*10^6</f>
        <v>1096.1743240858611</v>
      </c>
      <c r="G443" s="143">
        <f>(INDEX(Production_Consumption!$AA$83:$AJ$99,MATCH('County Scaled Consumption '!$B443,Production_Consumption!$AA$83:$AA$99,0),MATCH('County Scaled Consumption '!G$2,Production_Consumption!$AA$83:$AJ$83,0)))*'CA Population'!$L443*10^6</f>
        <v>4308.8664847292439</v>
      </c>
      <c r="H443" s="143">
        <f>(INDEX(Production_Consumption!$AA$83:$AJ$99,MATCH('County Scaled Consumption '!$B443,Production_Consumption!$AA$83:$AA$99,0),MATCH('County Scaled Consumption '!H$2,Production_Consumption!$AA$83:$AJ$83,0)))*'CA Population'!$L443*10^6</f>
        <v>116.46281814378115</v>
      </c>
      <c r="I443" s="143">
        <f>(INDEX(Production_Consumption!$AA$83:$AJ$99,MATCH('County Scaled Consumption '!$B443,Production_Consumption!$AA$83:$AA$99,0),MATCH('County Scaled Consumption '!I$2,Production_Consumption!$AA$83:$AJ$83,0)))*'CA Population'!$L443*10^6</f>
        <v>2452.1967717359912</v>
      </c>
      <c r="J443" s="143">
        <f>(INDEX(Production_Consumption!$AA$83:$AJ$99,MATCH('County Scaled Consumption '!$B443,Production_Consumption!$AA$83:$AA$99,0),MATCH('County Scaled Consumption '!J$2,Production_Consumption!$AA$83:$AJ$83,0)))*'CA Population'!$L443*10^6</f>
        <v>1710.7814461838402</v>
      </c>
      <c r="K443" s="143">
        <f>(INDEX(Production_Consumption!$AA$83:$AJ$99,MATCH('County Scaled Consumption '!$B443,Production_Consumption!$AA$83:$AA$99,0),MATCH('County Scaled Consumption '!K$2,Production_Consumption!$AA$83:$AJ$83,0)))*'CA Population'!$L443*10^6</f>
        <v>21976.50604959112</v>
      </c>
      <c r="L443" s="131">
        <f t="shared" si="6"/>
        <v>0</v>
      </c>
    </row>
    <row r="444" spans="1:12" x14ac:dyDescent="0.2">
      <c r="A444" s="132" t="s">
        <v>333</v>
      </c>
      <c r="B444" s="129">
        <v>2013</v>
      </c>
      <c r="C444" s="143">
        <f>(INDEX(Production_Consumption!$AA$83:$AJ$99,MATCH('County Scaled Consumption '!$B444,Production_Consumption!$AA$83:$AA$99,0),MATCH('County Scaled Consumption '!C$2,Production_Consumption!$AA$83:$AJ$83,0)))*'CA Population'!$L444*10^6</f>
        <v>1159.9484734348539</v>
      </c>
      <c r="D444" s="143">
        <f>(INDEX(Production_Consumption!$AA$83:$AJ$99,MATCH('County Scaled Consumption '!$B444,Production_Consumption!$AA$83:$AA$99,0),MATCH('County Scaled Consumption '!D$2,Production_Consumption!$AA$83:$AJ$83,0)))*'CA Population'!$L444*10^6</f>
        <v>4701.7315103235433</v>
      </c>
      <c r="E444" s="143">
        <f>(INDEX(Production_Consumption!$AA$83:$AJ$99,MATCH('County Scaled Consumption '!$B444,Production_Consumption!$AA$83:$AA$99,0),MATCH('County Scaled Consumption '!E$2,Production_Consumption!$AA$83:$AJ$83,0)))*'CA Population'!$L444*10^6</f>
        <v>2791.0632156308943</v>
      </c>
      <c r="F444" s="143">
        <f>(INDEX(Production_Consumption!$AA$83:$AJ$99,MATCH('County Scaled Consumption '!$B444,Production_Consumption!$AA$83:$AA$99,0),MATCH('County Scaled Consumption '!F$2,Production_Consumption!$AA$83:$AJ$83,0)))*'CA Population'!$L444*10^6</f>
        <v>771.63165074494816</v>
      </c>
      <c r="G444" s="143">
        <f>(INDEX(Production_Consumption!$AA$83:$AJ$99,MATCH('County Scaled Consumption '!$B444,Production_Consumption!$AA$83:$AA$99,0),MATCH('County Scaled Consumption '!G$2,Production_Consumption!$AA$83:$AJ$83,0)))*'CA Population'!$L444*10^6</f>
        <v>3033.1469050088594</v>
      </c>
      <c r="H444" s="143">
        <f>(INDEX(Production_Consumption!$AA$83:$AJ$99,MATCH('County Scaled Consumption '!$B444,Production_Consumption!$AA$83:$AA$99,0),MATCH('County Scaled Consumption '!H$2,Production_Consumption!$AA$83:$AJ$83,0)))*'CA Population'!$L444*10^6</f>
        <v>81.981847813884286</v>
      </c>
      <c r="I444" s="143">
        <f>(INDEX(Production_Consumption!$AA$83:$AJ$99,MATCH('County Scaled Consumption '!$B444,Production_Consumption!$AA$83:$AA$99,0),MATCH('County Scaled Consumption '!I$2,Production_Consumption!$AA$83:$AJ$83,0)))*'CA Population'!$L444*10^6</f>
        <v>1726.1785843269431</v>
      </c>
      <c r="J444" s="143">
        <f>(INDEX(Production_Consumption!$AA$83:$AJ$99,MATCH('County Scaled Consumption '!$B444,Production_Consumption!$AA$83:$AA$99,0),MATCH('County Scaled Consumption '!J$2,Production_Consumption!$AA$83:$AJ$83,0)))*'CA Population'!$L444*10^6</f>
        <v>1204.2729722606291</v>
      </c>
      <c r="K444" s="143">
        <f>(INDEX(Production_Consumption!$AA$83:$AJ$99,MATCH('County Scaled Consumption '!$B444,Production_Consumption!$AA$83:$AA$99,0),MATCH('County Scaled Consumption '!K$2,Production_Consumption!$AA$83:$AJ$83,0)))*'CA Population'!$L444*10^6</f>
        <v>15469.955159544555</v>
      </c>
      <c r="L444" s="131">
        <f t="shared" si="6"/>
        <v>0</v>
      </c>
    </row>
    <row r="445" spans="1:12" x14ac:dyDescent="0.2">
      <c r="A445" s="132" t="s">
        <v>334</v>
      </c>
      <c r="B445" s="129">
        <v>2013</v>
      </c>
      <c r="C445" s="143">
        <f>(INDEX(Production_Consumption!$AA$83:$AJ$99,MATCH('County Scaled Consumption '!$B445,Production_Consumption!$AA$83:$AA$99,0),MATCH('County Scaled Consumption '!C$2,Production_Consumption!$AA$83:$AJ$83,0)))*'CA Population'!$L445*10^6</f>
        <v>36784.271764342091</v>
      </c>
      <c r="D445" s="143">
        <f>(INDEX(Production_Consumption!$AA$83:$AJ$99,MATCH('County Scaled Consumption '!$B445,Production_Consumption!$AA$83:$AA$99,0),MATCH('County Scaled Consumption '!D$2,Production_Consumption!$AA$83:$AJ$83,0)))*'CA Population'!$L445*10^6</f>
        <v>149101.25199490183</v>
      </c>
      <c r="E445" s="143">
        <f>(INDEX(Production_Consumption!$AA$83:$AJ$99,MATCH('County Scaled Consumption '!$B445,Production_Consumption!$AA$83:$AA$99,0),MATCH('County Scaled Consumption '!E$2,Production_Consumption!$AA$83:$AJ$83,0)))*'CA Population'!$L445*10^6</f>
        <v>88510.162465411835</v>
      </c>
      <c r="F445" s="143">
        <f>(INDEX(Production_Consumption!$AA$83:$AJ$99,MATCH('County Scaled Consumption '!$B445,Production_Consumption!$AA$83:$AA$99,0),MATCH('County Scaled Consumption '!F$2,Production_Consumption!$AA$83:$AJ$83,0)))*'CA Population'!$L445*10^6</f>
        <v>24469.973445388732</v>
      </c>
      <c r="G445" s="143">
        <f>(INDEX(Production_Consumption!$AA$83:$AJ$99,MATCH('County Scaled Consumption '!$B445,Production_Consumption!$AA$83:$AA$99,0),MATCH('County Scaled Consumption '!G$2,Production_Consumption!$AA$83:$AJ$83,0)))*'CA Population'!$L445*10^6</f>
        <v>96187.117454131643</v>
      </c>
      <c r="H445" s="143">
        <f>(INDEX(Production_Consumption!$AA$83:$AJ$99,MATCH('County Scaled Consumption '!$B445,Production_Consumption!$AA$83:$AA$99,0),MATCH('County Scaled Consumption '!H$2,Production_Consumption!$AA$83:$AJ$83,0)))*'CA Population'!$L445*10^6</f>
        <v>2599.8073524756628</v>
      </c>
      <c r="I445" s="143">
        <f>(INDEX(Production_Consumption!$AA$83:$AJ$99,MATCH('County Scaled Consumption '!$B445,Production_Consumption!$AA$83:$AA$99,0),MATCH('County Scaled Consumption '!I$2,Production_Consumption!$AA$83:$AJ$83,0)))*'CA Population'!$L445*10^6</f>
        <v>54740.554096893437</v>
      </c>
      <c r="J445" s="143">
        <f>(INDEX(Production_Consumption!$AA$83:$AJ$99,MATCH('County Scaled Consumption '!$B445,Production_Consumption!$AA$83:$AA$99,0),MATCH('County Scaled Consumption '!J$2,Production_Consumption!$AA$83:$AJ$83,0)))*'CA Population'!$L445*10^6</f>
        <v>38189.889727524103</v>
      </c>
      <c r="K445" s="143">
        <f>(INDEX(Production_Consumption!$AA$83:$AJ$99,MATCH('County Scaled Consumption '!$B445,Production_Consumption!$AA$83:$AA$99,0),MATCH('County Scaled Consumption '!K$2,Production_Consumption!$AA$83:$AJ$83,0)))*'CA Population'!$L445*10^6</f>
        <v>490583.02830106928</v>
      </c>
      <c r="L445" s="131">
        <f t="shared" si="6"/>
        <v>0</v>
      </c>
    </row>
    <row r="446" spans="1:12" x14ac:dyDescent="0.2">
      <c r="A446" s="132" t="s">
        <v>335</v>
      </c>
      <c r="B446" s="129">
        <v>2013</v>
      </c>
      <c r="C446" s="143">
        <f>(INDEX(Production_Consumption!$AA$83:$AJ$99,MATCH('County Scaled Consumption '!$B446,Production_Consumption!$AA$83:$AA$99,0),MATCH('County Scaled Consumption '!C$2,Production_Consumption!$AA$83:$AJ$83,0)))*'CA Population'!$L446*10^6</f>
        <v>4313.0523528780477</v>
      </c>
      <c r="D446" s="143">
        <f>(INDEX(Production_Consumption!$AA$83:$AJ$99,MATCH('County Scaled Consumption '!$B446,Production_Consumption!$AA$83:$AA$99,0),MATCH('County Scaled Consumption '!D$2,Production_Consumption!$AA$83:$AJ$83,0)))*'CA Population'!$L446*10^6</f>
        <v>17482.512902622249</v>
      </c>
      <c r="E446" s="143">
        <f>(INDEX(Production_Consumption!$AA$83:$AJ$99,MATCH('County Scaled Consumption '!$B446,Production_Consumption!$AA$83:$AA$99,0),MATCH('County Scaled Consumption '!E$2,Production_Consumption!$AA$83:$AJ$83,0)))*'CA Population'!$L446*10^6</f>
        <v>10378.048719320366</v>
      </c>
      <c r="F446" s="143">
        <f>(INDEX(Production_Consumption!$AA$83:$AJ$99,MATCH('County Scaled Consumption '!$B446,Production_Consumption!$AA$83:$AA$99,0),MATCH('County Scaled Consumption '!F$2,Production_Consumption!$AA$83:$AJ$83,0)))*'CA Population'!$L446*10^6</f>
        <v>2869.1685734500734</v>
      </c>
      <c r="G446" s="143">
        <f>(INDEX(Production_Consumption!$AA$83:$AJ$99,MATCH('County Scaled Consumption '!$B446,Production_Consumption!$AA$83:$AA$99,0),MATCH('County Scaled Consumption '!G$2,Production_Consumption!$AA$83:$AJ$83,0)))*'CA Population'!$L446*10^6</f>
        <v>11278.191829102794</v>
      </c>
      <c r="H446" s="143">
        <f>(INDEX(Production_Consumption!$AA$83:$AJ$99,MATCH('County Scaled Consumption '!$B446,Production_Consumption!$AA$83:$AA$99,0),MATCH('County Scaled Consumption '!H$2,Production_Consumption!$AA$83:$AJ$83,0)))*'CA Population'!$L446*10^6</f>
        <v>304.83423161022193</v>
      </c>
      <c r="I446" s="143">
        <f>(INDEX(Production_Consumption!$AA$83:$AJ$99,MATCH('County Scaled Consumption '!$B446,Production_Consumption!$AA$83:$AA$99,0),MATCH('County Scaled Consumption '!I$2,Production_Consumption!$AA$83:$AJ$83,0)))*'CA Population'!$L446*10^6</f>
        <v>6418.4735573404396</v>
      </c>
      <c r="J446" s="143">
        <f>(INDEX(Production_Consumption!$AA$83:$AJ$99,MATCH('County Scaled Consumption '!$B446,Production_Consumption!$AA$83:$AA$99,0),MATCH('County Scaled Consumption '!J$2,Production_Consumption!$AA$83:$AJ$83,0)))*'CA Population'!$L446*10^6</f>
        <v>4477.864746125606</v>
      </c>
      <c r="K446" s="143">
        <f>(INDEX(Production_Consumption!$AA$83:$AJ$99,MATCH('County Scaled Consumption '!$B446,Production_Consumption!$AA$83:$AA$99,0),MATCH('County Scaled Consumption '!K$2,Production_Consumption!$AA$83:$AJ$83,0)))*'CA Population'!$L446*10^6</f>
        <v>57522.146912449789</v>
      </c>
      <c r="L446" s="131">
        <f t="shared" si="6"/>
        <v>0</v>
      </c>
    </row>
    <row r="447" spans="1:12" x14ac:dyDescent="0.2">
      <c r="A447" s="132" t="s">
        <v>336</v>
      </c>
      <c r="B447" s="129">
        <v>2013</v>
      </c>
      <c r="C447" s="143">
        <f>(INDEX(Production_Consumption!$AA$83:$AJ$99,MATCH('County Scaled Consumption '!$B447,Production_Consumption!$AA$83:$AA$99,0),MATCH('County Scaled Consumption '!C$2,Production_Consumption!$AA$83:$AJ$83,0)))*'CA Population'!$L447*10^6</f>
        <v>224.22509325518917</v>
      </c>
      <c r="D447" s="143">
        <f>(INDEX(Production_Consumption!$AA$83:$AJ$99,MATCH('County Scaled Consumption '!$B447,Production_Consumption!$AA$83:$AA$99,0),MATCH('County Scaled Consumption '!D$2,Production_Consumption!$AA$83:$AJ$83,0)))*'CA Population'!$L447*10^6</f>
        <v>908.87329093275252</v>
      </c>
      <c r="E447" s="143">
        <f>(INDEX(Production_Consumption!$AA$83:$AJ$99,MATCH('County Scaled Consumption '!$B447,Production_Consumption!$AA$83:$AA$99,0),MATCH('County Scaled Consumption '!E$2,Production_Consumption!$AA$83:$AJ$83,0)))*'CA Population'!$L447*10^6</f>
        <v>539.52949129952344</v>
      </c>
      <c r="F447" s="143">
        <f>(INDEX(Production_Consumption!$AA$83:$AJ$99,MATCH('County Scaled Consumption '!$B447,Production_Consumption!$AA$83:$AA$99,0),MATCH('County Scaled Consumption '!F$2,Production_Consumption!$AA$83:$AJ$83,0)))*'CA Population'!$L447*10^6</f>
        <v>149.16109017721709</v>
      </c>
      <c r="G447" s="143">
        <f>(INDEX(Production_Consumption!$AA$83:$AJ$99,MATCH('County Scaled Consumption '!$B447,Production_Consumption!$AA$83:$AA$99,0),MATCH('County Scaled Consumption '!G$2,Production_Consumption!$AA$83:$AJ$83,0)))*'CA Population'!$L447*10^6</f>
        <v>586.32574050324558</v>
      </c>
      <c r="H447" s="143">
        <f>(INDEX(Production_Consumption!$AA$83:$AJ$99,MATCH('County Scaled Consumption '!$B447,Production_Consumption!$AA$83:$AA$99,0),MATCH('County Scaled Consumption '!H$2,Production_Consumption!$AA$83:$AJ$83,0)))*'CA Population'!$L447*10^6</f>
        <v>15.847589692382435</v>
      </c>
      <c r="I447" s="143">
        <f>(INDEX(Production_Consumption!$AA$83:$AJ$99,MATCH('County Scaled Consumption '!$B447,Production_Consumption!$AA$83:$AA$99,0),MATCH('County Scaled Consumption '!I$2,Production_Consumption!$AA$83:$AJ$83,0)))*'CA Population'!$L447*10^6</f>
        <v>333.68081678634775</v>
      </c>
      <c r="J447" s="143">
        <f>(INDEX(Production_Consumption!$AA$83:$AJ$99,MATCH('County Scaled Consumption '!$B447,Production_Consumption!$AA$83:$AA$99,0),MATCH('County Scaled Consumption '!J$2,Production_Consumption!$AA$83:$AJ$83,0)))*'CA Population'!$L447*10^6</f>
        <v>232.79328840377926</v>
      </c>
      <c r="K447" s="143">
        <f>(INDEX(Production_Consumption!$AA$83:$AJ$99,MATCH('County Scaled Consumption '!$B447,Production_Consumption!$AA$83:$AA$99,0),MATCH('County Scaled Consumption '!K$2,Production_Consumption!$AA$83:$AJ$83,0)))*'CA Population'!$L447*10^6</f>
        <v>2990.4364010504369</v>
      </c>
      <c r="L447" s="131">
        <f t="shared" si="6"/>
        <v>0</v>
      </c>
    </row>
    <row r="448" spans="1:12" x14ac:dyDescent="0.2">
      <c r="A448" s="132" t="s">
        <v>337</v>
      </c>
      <c r="B448" s="129">
        <v>2013</v>
      </c>
      <c r="C448" s="143">
        <f>(INDEX(Production_Consumption!$AA$83:$AJ$99,MATCH('County Scaled Consumption '!$B448,Production_Consumption!$AA$83:$AA$99,0),MATCH('County Scaled Consumption '!C$2,Production_Consumption!$AA$83:$AJ$83,0)))*'CA Population'!$L448*10^6</f>
        <v>26893.497227825399</v>
      </c>
      <c r="D448" s="143">
        <f>(INDEX(Production_Consumption!$AA$83:$AJ$99,MATCH('County Scaled Consumption '!$B448,Production_Consumption!$AA$83:$AA$99,0),MATCH('County Scaled Consumption '!D$2,Production_Consumption!$AA$83:$AJ$83,0)))*'CA Population'!$L448*10^6</f>
        <v>109010.01745744109</v>
      </c>
      <c r="E448" s="143">
        <f>(INDEX(Production_Consumption!$AA$83:$AJ$99,MATCH('County Scaled Consumption '!$B448,Production_Consumption!$AA$83:$AA$99,0),MATCH('County Scaled Consumption '!E$2,Production_Consumption!$AA$83:$AJ$83,0)))*'CA Population'!$L448*10^6</f>
        <v>64711.021714595656</v>
      </c>
      <c r="F448" s="143">
        <f>(INDEX(Production_Consumption!$AA$83:$AJ$99,MATCH('County Scaled Consumption '!$B448,Production_Consumption!$AA$83:$AA$99,0),MATCH('County Scaled Consumption '!F$2,Production_Consumption!$AA$83:$AJ$83,0)))*'CA Population'!$L448*10^6</f>
        <v>17890.3409379564</v>
      </c>
      <c r="G448" s="143">
        <f>(INDEX(Production_Consumption!$AA$83:$AJ$99,MATCH('County Scaled Consumption '!$B448,Production_Consumption!$AA$83:$AA$99,0),MATCH('County Scaled Consumption '!G$2,Production_Consumption!$AA$83:$AJ$83,0)))*'CA Population'!$L448*10^6</f>
        <v>70323.7512265447</v>
      </c>
      <c r="H448" s="143">
        <f>(INDEX(Production_Consumption!$AA$83:$AJ$99,MATCH('County Scaled Consumption '!$B448,Production_Consumption!$AA$83:$AA$99,0),MATCH('County Scaled Consumption '!H$2,Production_Consumption!$AA$83:$AJ$83,0)))*'CA Population'!$L448*10^6</f>
        <v>1900.755634761847</v>
      </c>
      <c r="I448" s="143">
        <f>(INDEX(Production_Consumption!$AA$83:$AJ$99,MATCH('County Scaled Consumption '!$B448,Production_Consumption!$AA$83:$AA$99,0),MATCH('County Scaled Consumption '!I$2,Production_Consumption!$AA$83:$AJ$83,0)))*'CA Population'!$L448*10^6</f>
        <v>40021.587195903558</v>
      </c>
      <c r="J448" s="143">
        <f>(INDEX(Production_Consumption!$AA$83:$AJ$99,MATCH('County Scaled Consumption '!$B448,Production_Consumption!$AA$83:$AA$99,0),MATCH('County Scaled Consumption '!J$2,Production_Consumption!$AA$83:$AJ$83,0)))*'CA Population'!$L448*10^6</f>
        <v>27921.164243728144</v>
      </c>
      <c r="K448" s="143">
        <f>(INDEX(Production_Consumption!$AA$83:$AJ$99,MATCH('County Scaled Consumption '!$B448,Production_Consumption!$AA$83:$AA$99,0),MATCH('County Scaled Consumption '!K$2,Production_Consumption!$AA$83:$AJ$83,0)))*'CA Population'!$L448*10^6</f>
        <v>358672.13563875679</v>
      </c>
      <c r="L448" s="131">
        <f t="shared" si="6"/>
        <v>0</v>
      </c>
    </row>
    <row r="449" spans="1:12" x14ac:dyDescent="0.2">
      <c r="A449" s="132" t="s">
        <v>338</v>
      </c>
      <c r="B449" s="129">
        <v>2013</v>
      </c>
      <c r="C449" s="143">
        <f>(INDEX(Production_Consumption!$AA$83:$AJ$99,MATCH('County Scaled Consumption '!$B449,Production_Consumption!$AA$83:$AA$99,0),MATCH('County Scaled Consumption '!C$2,Production_Consumption!$AA$83:$AJ$83,0)))*'CA Population'!$L449*10^6</f>
        <v>17235.862258268789</v>
      </c>
      <c r="D449" s="143">
        <f>(INDEX(Production_Consumption!$AA$83:$AJ$99,MATCH('County Scaled Consumption '!$B449,Production_Consumption!$AA$83:$AA$99,0),MATCH('County Scaled Consumption '!D$2,Production_Consumption!$AA$83:$AJ$83,0)))*'CA Population'!$L449*10^6</f>
        <v>69863.790110716523</v>
      </c>
      <c r="E449" s="143">
        <f>(INDEX(Production_Consumption!$AA$83:$AJ$99,MATCH('County Scaled Consumption '!$B449,Production_Consumption!$AA$83:$AA$99,0),MATCH('County Scaled Consumption '!E$2,Production_Consumption!$AA$83:$AJ$83,0)))*'CA Population'!$L449*10^6</f>
        <v>41472.860424809769</v>
      </c>
      <c r="F449" s="143">
        <f>(INDEX(Production_Consumption!$AA$83:$AJ$99,MATCH('County Scaled Consumption '!$B449,Production_Consumption!$AA$83:$AA$99,0),MATCH('County Scaled Consumption '!F$2,Production_Consumption!$AA$83:$AJ$83,0)))*'CA Population'!$L449*10^6</f>
        <v>11465.799689340638</v>
      </c>
      <c r="G449" s="143">
        <f>(INDEX(Production_Consumption!$AA$83:$AJ$99,MATCH('County Scaled Consumption '!$B449,Production_Consumption!$AA$83:$AA$99,0),MATCH('County Scaled Consumption '!G$2,Production_Consumption!$AA$83:$AJ$83,0)))*'CA Population'!$L449*10^6</f>
        <v>45070.021178628784</v>
      </c>
      <c r="H449" s="143">
        <f>(INDEX(Production_Consumption!$AA$83:$AJ$99,MATCH('County Scaled Consumption '!$B449,Production_Consumption!$AA$83:$AA$99,0),MATCH('County Scaled Consumption '!H$2,Production_Consumption!$AA$83:$AJ$83,0)))*'CA Population'!$L449*10^6</f>
        <v>1218.1815563015382</v>
      </c>
      <c r="I449" s="143">
        <f>(INDEX(Production_Consumption!$AA$83:$AJ$99,MATCH('County Scaled Consumption '!$B449,Production_Consumption!$AA$83:$AA$99,0),MATCH('County Scaled Consumption '!I$2,Production_Consumption!$AA$83:$AJ$83,0)))*'CA Population'!$L449*10^6</f>
        <v>25649.567195454889</v>
      </c>
      <c r="J449" s="143">
        <f>(INDEX(Production_Consumption!$AA$83:$AJ$99,MATCH('County Scaled Consumption '!$B449,Production_Consumption!$AA$83:$AA$99,0),MATCH('County Scaled Consumption '!J$2,Production_Consumption!$AA$83:$AJ$83,0)))*'CA Population'!$L449*10^6</f>
        <v>17894.487166119718</v>
      </c>
      <c r="K449" s="143">
        <f>(INDEX(Production_Consumption!$AA$83:$AJ$99,MATCH('County Scaled Consumption '!$B449,Production_Consumption!$AA$83:$AA$99,0),MATCH('County Scaled Consumption '!K$2,Production_Consumption!$AA$83:$AJ$83,0)))*'CA Population'!$L449*10^6</f>
        <v>229870.56957964064</v>
      </c>
      <c r="L449" s="131">
        <f t="shared" si="6"/>
        <v>0</v>
      </c>
    </row>
    <row r="450" spans="1:12" x14ac:dyDescent="0.2">
      <c r="A450" s="132" t="s">
        <v>339</v>
      </c>
      <c r="B450" s="129">
        <v>2013</v>
      </c>
      <c r="C450" s="143">
        <f>(INDEX(Production_Consumption!$AA$83:$AJ$99,MATCH('County Scaled Consumption '!$B450,Production_Consumption!$AA$83:$AA$99,0),MATCH('County Scaled Consumption '!C$2,Production_Consumption!$AA$83:$AJ$83,0)))*'CA Population'!$L450*10^6</f>
        <v>675.43734409168223</v>
      </c>
      <c r="D450" s="143">
        <f>(INDEX(Production_Consumption!$AA$83:$AJ$99,MATCH('County Scaled Consumption '!$B450,Production_Consumption!$AA$83:$AA$99,0),MATCH('County Scaled Consumption '!D$2,Production_Consumption!$AA$83:$AJ$83,0)))*'CA Population'!$L450*10^6</f>
        <v>2737.8156156894725</v>
      </c>
      <c r="E450" s="143">
        <f>(INDEX(Production_Consumption!$AA$83:$AJ$99,MATCH('County Scaled Consumption '!$B450,Production_Consumption!$AA$83:$AA$99,0),MATCH('County Scaled Consumption '!E$2,Production_Consumption!$AA$83:$AJ$83,0)))*'CA Population'!$L450*10^6</f>
        <v>1625.2345416475944</v>
      </c>
      <c r="F450" s="143">
        <f>(INDEX(Production_Consumption!$AA$83:$AJ$99,MATCH('County Scaled Consumption '!$B450,Production_Consumption!$AA$83:$AA$99,0),MATCH('County Scaled Consumption '!F$2,Production_Consumption!$AA$83:$AJ$83,0)))*'CA Population'!$L450*10^6</f>
        <v>449.32067650634286</v>
      </c>
      <c r="G450" s="143">
        <f>(INDEX(Production_Consumption!$AA$83:$AJ$99,MATCH('County Scaled Consumption '!$B450,Production_Consumption!$AA$83:$AA$99,0),MATCH('County Scaled Consumption '!G$2,Production_Consumption!$AA$83:$AJ$83,0)))*'CA Population'!$L450*10^6</f>
        <v>1766.1997379008153</v>
      </c>
      <c r="H450" s="143">
        <f>(INDEX(Production_Consumption!$AA$83:$AJ$99,MATCH('County Scaled Consumption '!$B450,Production_Consumption!$AA$83:$AA$99,0),MATCH('County Scaled Consumption '!H$2,Production_Consumption!$AA$83:$AJ$83,0)))*'CA Population'!$L450*10^6</f>
        <v>47.737983901272337</v>
      </c>
      <c r="I450" s="143">
        <f>(INDEX(Production_Consumption!$AA$83:$AJ$99,MATCH('County Scaled Consumption '!$B450,Production_Consumption!$AA$83:$AA$99,0),MATCH('County Scaled Consumption '!I$2,Production_Consumption!$AA$83:$AJ$83,0)))*'CA Population'!$L450*10^6</f>
        <v>1005.1528193947936</v>
      </c>
      <c r="J450" s="143">
        <f>(INDEX(Production_Consumption!$AA$83:$AJ$99,MATCH('County Scaled Consumption '!$B450,Production_Consumption!$AA$83:$AA$99,0),MATCH('County Scaled Consumption '!J$2,Production_Consumption!$AA$83:$AJ$83,0)))*'CA Population'!$L450*10^6</f>
        <v>701.24747484380305</v>
      </c>
      <c r="K450" s="143">
        <f>(INDEX(Production_Consumption!$AA$83:$AJ$99,MATCH('County Scaled Consumption '!$B450,Production_Consumption!$AA$83:$AA$99,0),MATCH('County Scaled Consumption '!K$2,Production_Consumption!$AA$83:$AJ$83,0)))*'CA Population'!$L450*10^6</f>
        <v>9008.1461939757737</v>
      </c>
      <c r="L450" s="131">
        <f t="shared" si="6"/>
        <v>0</v>
      </c>
    </row>
    <row r="451" spans="1:12" x14ac:dyDescent="0.2">
      <c r="A451" s="132" t="s">
        <v>340</v>
      </c>
      <c r="B451" s="129">
        <v>2013</v>
      </c>
      <c r="C451" s="143">
        <f>(INDEX(Production_Consumption!$AA$83:$AJ$99,MATCH('County Scaled Consumption '!$B451,Production_Consumption!$AA$83:$AA$99,0),MATCH('County Scaled Consumption '!C$2,Production_Consumption!$AA$83:$AJ$83,0)))*'CA Population'!$L451*10^6</f>
        <v>24709.72382025516</v>
      </c>
      <c r="D451" s="143">
        <f>(INDEX(Production_Consumption!$AA$83:$AJ$99,MATCH('County Scaled Consumption '!$B451,Production_Consumption!$AA$83:$AA$99,0),MATCH('County Scaled Consumption '!D$2,Production_Consumption!$AA$83:$AJ$83,0)))*'CA Population'!$L451*10^6</f>
        <v>100158.31716477608</v>
      </c>
      <c r="E451" s="143">
        <f>(INDEX(Production_Consumption!$AA$83:$AJ$99,MATCH('County Scaled Consumption '!$B451,Production_Consumption!$AA$83:$AA$99,0),MATCH('County Scaled Consumption '!E$2,Production_Consumption!$AA$83:$AJ$83,0)))*'CA Population'!$L451*10^6</f>
        <v>59456.435180166678</v>
      </c>
      <c r="F451" s="143">
        <f>(INDEX(Production_Consumption!$AA$83:$AJ$99,MATCH('County Scaled Consumption '!$B451,Production_Consumption!$AA$83:$AA$99,0),MATCH('County Scaled Consumption '!F$2,Production_Consumption!$AA$83:$AJ$83,0)))*'CA Population'!$L451*10^6</f>
        <v>16437.630996154847</v>
      </c>
      <c r="G451" s="143">
        <f>(INDEX(Production_Consumption!$AA$83:$AJ$99,MATCH('County Scaled Consumption '!$B451,Production_Consumption!$AA$83:$AA$99,0),MATCH('County Scaled Consumption '!G$2,Production_Consumption!$AA$83:$AJ$83,0)))*'CA Population'!$L451*10^6</f>
        <v>64613.406582701915</v>
      </c>
      <c r="H451" s="143">
        <f>(INDEX(Production_Consumption!$AA$83:$AJ$99,MATCH('County Scaled Consumption '!$B451,Production_Consumption!$AA$83:$AA$99,0),MATCH('County Scaled Consumption '!H$2,Production_Consumption!$AA$83:$AJ$83,0)))*'CA Population'!$L451*10^6</f>
        <v>1746.4127624191763</v>
      </c>
      <c r="I451" s="143">
        <f>(INDEX(Production_Consumption!$AA$83:$AJ$99,MATCH('County Scaled Consumption '!$B451,Production_Consumption!$AA$83:$AA$99,0),MATCH('County Scaled Consumption '!I$2,Production_Consumption!$AA$83:$AJ$83,0)))*'CA Population'!$L451*10^6</f>
        <v>36771.802420543754</v>
      </c>
      <c r="J451" s="143">
        <f>(INDEX(Production_Consumption!$AA$83:$AJ$99,MATCH('County Scaled Consumption '!$B451,Production_Consumption!$AA$83:$AA$99,0),MATCH('County Scaled Consumption '!J$2,Production_Consumption!$AA$83:$AJ$83,0)))*'CA Population'!$L451*10^6</f>
        <v>25653.943455471261</v>
      </c>
      <c r="K451" s="143">
        <f>(INDEX(Production_Consumption!$AA$83:$AJ$99,MATCH('County Scaled Consumption '!$B451,Production_Consumption!$AA$83:$AA$99,0),MATCH('County Scaled Consumption '!K$2,Production_Consumption!$AA$83:$AJ$83,0)))*'CA Population'!$L451*10^6</f>
        <v>329547.67238248885</v>
      </c>
      <c r="L451" s="131">
        <f t="shared" si="6"/>
        <v>0</v>
      </c>
    </row>
    <row r="452" spans="1:12" x14ac:dyDescent="0.2">
      <c r="A452" s="132" t="s">
        <v>341</v>
      </c>
      <c r="B452" s="129">
        <v>2013</v>
      </c>
      <c r="C452" s="143">
        <f>(INDEX(Production_Consumption!$AA$83:$AJ$99,MATCH('County Scaled Consumption '!$B452,Production_Consumption!$AA$83:$AA$99,0),MATCH('County Scaled Consumption '!C$2,Production_Consumption!$AA$83:$AJ$83,0)))*'CA Population'!$L452*10^6</f>
        <v>37932.745223752572</v>
      </c>
      <c r="D452" s="143">
        <f>(INDEX(Production_Consumption!$AA$83:$AJ$99,MATCH('County Scaled Consumption '!$B452,Production_Consumption!$AA$83:$AA$99,0),MATCH('County Scaled Consumption '!D$2,Production_Consumption!$AA$83:$AJ$83,0)))*'CA Population'!$L452*10^6</f>
        <v>153756.47071930821</v>
      </c>
      <c r="E452" s="143">
        <f>(INDEX(Production_Consumption!$AA$83:$AJ$99,MATCH('County Scaled Consumption '!$B452,Production_Consumption!$AA$83:$AA$99,0),MATCH('County Scaled Consumption '!E$2,Production_Consumption!$AA$83:$AJ$83,0)))*'CA Population'!$L452*10^6</f>
        <v>91273.614549793565</v>
      </c>
      <c r="F452" s="143">
        <f>(INDEX(Production_Consumption!$AA$83:$AJ$99,MATCH('County Scaled Consumption '!$B452,Production_Consumption!$AA$83:$AA$99,0),MATCH('County Scaled Consumption '!F$2,Production_Consumption!$AA$83:$AJ$83,0)))*'CA Population'!$L452*10^6</f>
        <v>25233.971581183028</v>
      </c>
      <c r="G452" s="143">
        <f>(INDEX(Production_Consumption!$AA$83:$AJ$99,MATCH('County Scaled Consumption '!$B452,Production_Consumption!$AA$83:$AA$99,0),MATCH('County Scaled Consumption '!G$2,Production_Consumption!$AA$83:$AJ$83,0)))*'CA Population'!$L452*10^6</f>
        <v>99190.258368296883</v>
      </c>
      <c r="H452" s="143">
        <f>(INDEX(Production_Consumption!$AA$83:$AJ$99,MATCH('County Scaled Consumption '!$B452,Production_Consumption!$AA$83:$AA$99,0),MATCH('County Scaled Consumption '!H$2,Production_Consumption!$AA$83:$AJ$83,0)))*'CA Population'!$L452*10^6</f>
        <v>2680.9781790459715</v>
      </c>
      <c r="I452" s="143">
        <f>(INDEX(Production_Consumption!$AA$83:$AJ$99,MATCH('County Scaled Consumption '!$B452,Production_Consumption!$AA$83:$AA$99,0),MATCH('County Scaled Consumption '!I$2,Production_Consumption!$AA$83:$AJ$83,0)))*'CA Population'!$L452*10^6</f>
        <v>56449.656126599744</v>
      </c>
      <c r="J452" s="143">
        <f>(INDEX(Production_Consumption!$AA$83:$AJ$99,MATCH('County Scaled Consumption '!$B452,Production_Consumption!$AA$83:$AA$99,0),MATCH('County Scaled Consumption '!J$2,Production_Consumption!$AA$83:$AJ$83,0)))*'CA Population'!$L452*10^6</f>
        <v>39382.249197105644</v>
      </c>
      <c r="K452" s="143">
        <f>(INDEX(Production_Consumption!$AA$83:$AJ$99,MATCH('County Scaled Consumption '!$B452,Production_Consumption!$AA$83:$AA$99,0),MATCH('County Scaled Consumption '!K$2,Production_Consumption!$AA$83:$AJ$83,0)))*'CA Population'!$L452*10^6</f>
        <v>505899.94394508551</v>
      </c>
      <c r="L452" s="131">
        <f t="shared" ref="L452:L515" si="7">K452-SUM(C452:J452)</f>
        <v>0</v>
      </c>
    </row>
    <row r="453" spans="1:12" x14ac:dyDescent="0.2">
      <c r="A453" s="132" t="s">
        <v>342</v>
      </c>
      <c r="B453" s="129">
        <v>2013</v>
      </c>
      <c r="C453" s="143">
        <f>(INDEX(Production_Consumption!$AA$83:$AJ$99,MATCH('County Scaled Consumption '!$B453,Production_Consumption!$AA$83:$AA$99,0),MATCH('County Scaled Consumption '!C$2,Production_Consumption!$AA$83:$AJ$83,0)))*'CA Population'!$L453*10^6</f>
        <v>10007.077597046778</v>
      </c>
      <c r="D453" s="143">
        <f>(INDEX(Production_Consumption!$AA$83:$AJ$99,MATCH('County Scaled Consumption '!$B453,Production_Consumption!$AA$83:$AA$99,0),MATCH('County Scaled Consumption '!D$2,Production_Consumption!$AA$83:$AJ$83,0)))*'CA Population'!$L453*10^6</f>
        <v>40562.65699885862</v>
      </c>
      <c r="E453" s="143">
        <f>(INDEX(Production_Consumption!$AA$83:$AJ$99,MATCH('County Scaled Consumption '!$B453,Production_Consumption!$AA$83:$AA$99,0),MATCH('County Scaled Consumption '!E$2,Production_Consumption!$AA$83:$AJ$83,0)))*'CA Population'!$L453*10^6</f>
        <v>24078.988693673138</v>
      </c>
      <c r="F453" s="143">
        <f>(INDEX(Production_Consumption!$AA$83:$AJ$99,MATCH('County Scaled Consumption '!$B453,Production_Consumption!$AA$83:$AA$99,0),MATCH('County Scaled Consumption '!F$2,Production_Consumption!$AA$83:$AJ$83,0)))*'CA Population'!$L453*10^6</f>
        <v>6657.0007049331844</v>
      </c>
      <c r="G453" s="143">
        <f>(INDEX(Production_Consumption!$AA$83:$AJ$99,MATCH('County Scaled Consumption '!$B453,Production_Consumption!$AA$83:$AA$99,0),MATCH('County Scaled Consumption '!G$2,Production_Consumption!$AA$83:$AJ$83,0)))*'CA Population'!$L453*10^6</f>
        <v>26167.486864122882</v>
      </c>
      <c r="H453" s="143">
        <f>(INDEX(Production_Consumption!$AA$83:$AJ$99,MATCH('County Scaled Consumption '!$B453,Production_Consumption!$AA$83:$AA$99,0),MATCH('County Scaled Consumption '!H$2,Production_Consumption!$AA$83:$AJ$83,0)))*'CA Population'!$L453*10^6</f>
        <v>707.27168612364721</v>
      </c>
      <c r="I453" s="143">
        <f>(INDEX(Production_Consumption!$AA$83:$AJ$99,MATCH('County Scaled Consumption '!$B453,Production_Consumption!$AA$83:$AA$99,0),MATCH('County Scaled Consumption '!I$2,Production_Consumption!$AA$83:$AJ$83,0)))*'CA Population'!$L453*10^6</f>
        <v>14892.043427211969</v>
      </c>
      <c r="J453" s="143">
        <f>(INDEX(Production_Consumption!$AA$83:$AJ$99,MATCH('County Scaled Consumption '!$B453,Production_Consumption!$AA$83:$AA$99,0),MATCH('County Scaled Consumption '!J$2,Production_Consumption!$AA$83:$AJ$83,0)))*'CA Population'!$L453*10^6</f>
        <v>10389.472771796454</v>
      </c>
      <c r="K453" s="143">
        <f>(INDEX(Production_Consumption!$AA$83:$AJ$99,MATCH('County Scaled Consumption '!$B453,Production_Consumption!$AA$83:$AA$99,0),MATCH('County Scaled Consumption '!K$2,Production_Consumption!$AA$83:$AJ$83,0)))*'CA Population'!$L453*10^6</f>
        <v>133461.99874376666</v>
      </c>
      <c r="L453" s="131">
        <f t="shared" si="7"/>
        <v>0</v>
      </c>
    </row>
    <row r="454" spans="1:12" x14ac:dyDescent="0.2">
      <c r="A454" s="132" t="s">
        <v>343</v>
      </c>
      <c r="B454" s="129">
        <v>2013</v>
      </c>
      <c r="C454" s="143">
        <f>(INDEX(Production_Consumption!$AA$83:$AJ$99,MATCH('County Scaled Consumption '!$B454,Production_Consumption!$AA$83:$AA$99,0),MATCH('County Scaled Consumption '!C$2,Production_Consumption!$AA$83:$AJ$83,0)))*'CA Population'!$L454*10^6</f>
        <v>8352.7551722973876</v>
      </c>
      <c r="D454" s="143">
        <f>(INDEX(Production_Consumption!$AA$83:$AJ$99,MATCH('County Scaled Consumption '!$B454,Production_Consumption!$AA$83:$AA$99,0),MATCH('County Scaled Consumption '!D$2,Production_Consumption!$AA$83:$AJ$83,0)))*'CA Population'!$L454*10^6</f>
        <v>33857.031662203612</v>
      </c>
      <c r="E454" s="143">
        <f>(INDEX(Production_Consumption!$AA$83:$AJ$99,MATCH('County Scaled Consumption '!$B454,Production_Consumption!$AA$83:$AA$99,0),MATCH('County Scaled Consumption '!E$2,Production_Consumption!$AA$83:$AJ$83,0)))*'CA Population'!$L454*10^6</f>
        <v>20098.364922654702</v>
      </c>
      <c r="F454" s="143">
        <f>(INDEX(Production_Consumption!$AA$83:$AJ$99,MATCH('County Scaled Consumption '!$B454,Production_Consumption!$AA$83:$AA$99,0),MATCH('County Scaled Consumption '!F$2,Production_Consumption!$AA$83:$AJ$83,0)))*'CA Population'!$L454*10^6</f>
        <v>5556.4970423060968</v>
      </c>
      <c r="G454" s="143">
        <f>(INDEX(Production_Consumption!$AA$83:$AJ$99,MATCH('County Scaled Consumption '!$B454,Production_Consumption!$AA$83:$AA$99,0),MATCH('County Scaled Consumption '!G$2,Production_Consumption!$AA$83:$AJ$83,0)))*'CA Population'!$L454*10^6</f>
        <v>21841.602518884185</v>
      </c>
      <c r="H454" s="143">
        <f>(INDEX(Production_Consumption!$AA$83:$AJ$99,MATCH('County Scaled Consumption '!$B454,Production_Consumption!$AA$83:$AA$99,0),MATCH('County Scaled Consumption '!H$2,Production_Consumption!$AA$83:$AJ$83,0)))*'CA Population'!$L454*10^6</f>
        <v>590.34889828697067</v>
      </c>
      <c r="I454" s="143">
        <f>(INDEX(Production_Consumption!$AA$83:$AJ$99,MATCH('County Scaled Consumption '!$B454,Production_Consumption!$AA$83:$AA$99,0),MATCH('County Scaled Consumption '!I$2,Production_Consumption!$AA$83:$AJ$83,0)))*'CA Population'!$L454*10^6</f>
        <v>12430.161708692171</v>
      </c>
      <c r="J454" s="143">
        <f>(INDEX(Production_Consumption!$AA$83:$AJ$99,MATCH('County Scaled Consumption '!$B454,Production_Consumption!$AA$83:$AA$99,0),MATCH('County Scaled Consumption '!J$2,Production_Consumption!$AA$83:$AJ$83,0)))*'CA Population'!$L454*10^6</f>
        <v>8671.9345973369764</v>
      </c>
      <c r="K454" s="143">
        <f>(INDEX(Production_Consumption!$AA$83:$AJ$99,MATCH('County Scaled Consumption '!$B454,Production_Consumption!$AA$83:$AA$99,0),MATCH('County Scaled Consumption '!K$2,Production_Consumption!$AA$83:$AJ$83,0)))*'CA Population'!$L454*10^6</f>
        <v>111398.69652266208</v>
      </c>
      <c r="L454" s="131">
        <f t="shared" si="7"/>
        <v>0</v>
      </c>
    </row>
    <row r="455" spans="1:12" x14ac:dyDescent="0.2">
      <c r="A455" s="132" t="s">
        <v>344</v>
      </c>
      <c r="B455" s="129">
        <v>2013</v>
      </c>
      <c r="C455" s="143">
        <f>(INDEX(Production_Consumption!$AA$83:$AJ$99,MATCH('County Scaled Consumption '!$B455,Production_Consumption!$AA$83:$AA$99,0),MATCH('County Scaled Consumption '!C$2,Production_Consumption!$AA$83:$AJ$83,0)))*'CA Population'!$L455*10^6</f>
        <v>3246.6939989911561</v>
      </c>
      <c r="D455" s="143">
        <f>(INDEX(Production_Consumption!$AA$83:$AJ$99,MATCH('County Scaled Consumption '!$B455,Production_Consumption!$AA$83:$AA$99,0),MATCH('County Scaled Consumption '!D$2,Production_Consumption!$AA$83:$AJ$83,0)))*'CA Population'!$L455*10^6</f>
        <v>13160.139289835797</v>
      </c>
      <c r="E455" s="143">
        <f>(INDEX(Production_Consumption!$AA$83:$AJ$99,MATCH('County Scaled Consumption '!$B455,Production_Consumption!$AA$83:$AA$99,0),MATCH('County Scaled Consumption '!E$2,Production_Consumption!$AA$83:$AJ$83,0)))*'CA Population'!$L455*10^6</f>
        <v>7812.181661966486</v>
      </c>
      <c r="F455" s="143">
        <f>(INDEX(Production_Consumption!$AA$83:$AJ$99,MATCH('County Scaled Consumption '!$B455,Production_Consumption!$AA$83:$AA$99,0),MATCH('County Scaled Consumption '!F$2,Production_Consumption!$AA$83:$AJ$83,0)))*'CA Population'!$L455*10^6</f>
        <v>2159.7958075557267</v>
      </c>
      <c r="G455" s="143">
        <f>(INDEX(Production_Consumption!$AA$83:$AJ$99,MATCH('County Scaled Consumption '!$B455,Production_Consumption!$AA$83:$AA$99,0),MATCH('County Scaled Consumption '!G$2,Production_Consumption!$AA$83:$AJ$83,0)))*'CA Population'!$L455*10^6</f>
        <v>8489.7735374311342</v>
      </c>
      <c r="H455" s="143">
        <f>(INDEX(Production_Consumption!$AA$83:$AJ$99,MATCH('County Scaled Consumption '!$B455,Production_Consumption!$AA$83:$AA$99,0),MATCH('County Scaled Consumption '!H$2,Production_Consumption!$AA$83:$AJ$83,0)))*'CA Population'!$L455*10^6</f>
        <v>229.4670663562826</v>
      </c>
      <c r="I455" s="143">
        <f>(INDEX(Production_Consumption!$AA$83:$AJ$99,MATCH('County Scaled Consumption '!$B455,Production_Consumption!$AA$83:$AA$99,0),MATCH('County Scaled Consumption '!I$2,Production_Consumption!$AA$83:$AJ$83,0)))*'CA Population'!$L455*10^6</f>
        <v>4831.5712113707896</v>
      </c>
      <c r="J455" s="143">
        <f>(INDEX(Production_Consumption!$AA$83:$AJ$99,MATCH('County Scaled Consumption '!$B455,Production_Consumption!$AA$83:$AA$99,0),MATCH('County Scaled Consumption '!J$2,Production_Consumption!$AA$83:$AJ$83,0)))*'CA Population'!$L455*10^6</f>
        <v>3370.7582032568789</v>
      </c>
      <c r="K455" s="143">
        <f>(INDEX(Production_Consumption!$AA$83:$AJ$99,MATCH('County Scaled Consumption '!$B455,Production_Consumption!$AA$83:$AA$99,0),MATCH('County Scaled Consumption '!K$2,Production_Consumption!$AA$83:$AJ$83,0)))*'CA Population'!$L455*10^6</f>
        <v>43300.380776764243</v>
      </c>
      <c r="L455" s="131">
        <f t="shared" si="7"/>
        <v>0</v>
      </c>
    </row>
    <row r="456" spans="1:12" x14ac:dyDescent="0.2">
      <c r="A456" s="132" t="s">
        <v>345</v>
      </c>
      <c r="B456" s="129">
        <v>2013</v>
      </c>
      <c r="C456" s="143">
        <f>(INDEX(Production_Consumption!$AA$83:$AJ$99,MATCH('County Scaled Consumption '!$B456,Production_Consumption!$AA$83:$AA$99,0),MATCH('County Scaled Consumption '!C$2,Production_Consumption!$AA$83:$AJ$83,0)))*'CA Population'!$L456*10^6</f>
        <v>8861.7218325623398</v>
      </c>
      <c r="D456" s="143">
        <f>(INDEX(Production_Consumption!$AA$83:$AJ$99,MATCH('County Scaled Consumption '!$B456,Production_Consumption!$AA$83:$AA$99,0),MATCH('County Scaled Consumption '!D$2,Production_Consumption!$AA$83:$AJ$83,0)))*'CA Population'!$L456*10^6</f>
        <v>35920.075529303678</v>
      </c>
      <c r="E456" s="143">
        <f>(INDEX(Production_Consumption!$AA$83:$AJ$99,MATCH('County Scaled Consumption '!$B456,Production_Consumption!$AA$83:$AA$99,0),MATCH('County Scaled Consumption '!E$2,Production_Consumption!$AA$83:$AJ$83,0)))*'CA Population'!$L456*10^6</f>
        <v>21323.038393917992</v>
      </c>
      <c r="F456" s="143">
        <f>(INDEX(Production_Consumption!$AA$83:$AJ$99,MATCH('County Scaled Consumption '!$B456,Production_Consumption!$AA$83:$AA$99,0),MATCH('County Scaled Consumption '!F$2,Production_Consumption!$AA$83:$AJ$83,0)))*'CA Population'!$L456*10^6</f>
        <v>5895.0765509901476</v>
      </c>
      <c r="G456" s="143">
        <f>(INDEX(Production_Consumption!$AA$83:$AJ$99,MATCH('County Scaled Consumption '!$B456,Production_Consumption!$AA$83:$AA$99,0),MATCH('County Scaled Consumption '!G$2,Production_Consumption!$AA$83:$AJ$83,0)))*'CA Population'!$L456*10^6</f>
        <v>23172.498404081482</v>
      </c>
      <c r="H456" s="143">
        <f>(INDEX(Production_Consumption!$AA$83:$AJ$99,MATCH('County Scaled Consumption '!$B456,Production_Consumption!$AA$83:$AA$99,0),MATCH('County Scaled Consumption '!H$2,Production_Consumption!$AA$83:$AJ$83,0)))*'CA Population'!$L456*10^6</f>
        <v>626.32120933335921</v>
      </c>
      <c r="I456" s="143">
        <f>(INDEX(Production_Consumption!$AA$83:$AJ$99,MATCH('County Scaled Consumption '!$B456,Production_Consumption!$AA$83:$AA$99,0),MATCH('County Scaled Consumption '!I$2,Production_Consumption!$AA$83:$AJ$83,0)))*'CA Population'!$L456*10^6</f>
        <v>13187.580998606094</v>
      </c>
      <c r="J456" s="143">
        <f>(INDEX(Production_Consumption!$AA$83:$AJ$99,MATCH('County Scaled Consumption '!$B456,Production_Consumption!$AA$83:$AA$99,0),MATCH('County Scaled Consumption '!J$2,Production_Consumption!$AA$83:$AJ$83,0)))*'CA Population'!$L456*10^6</f>
        <v>9200.350131971727</v>
      </c>
      <c r="K456" s="143">
        <f>(INDEX(Production_Consumption!$AA$83:$AJ$99,MATCH('County Scaled Consumption '!$B456,Production_Consumption!$AA$83:$AA$99,0),MATCH('County Scaled Consumption '!K$2,Production_Consumption!$AA$83:$AJ$83,0)))*'CA Population'!$L456*10^6</f>
        <v>118186.6630507668</v>
      </c>
      <c r="L456" s="131">
        <f t="shared" si="7"/>
        <v>0</v>
      </c>
    </row>
    <row r="457" spans="1:12" x14ac:dyDescent="0.2">
      <c r="A457" s="132" t="s">
        <v>346</v>
      </c>
      <c r="B457" s="129">
        <v>2013</v>
      </c>
      <c r="C457" s="143">
        <f>(INDEX(Production_Consumption!$AA$83:$AJ$99,MATCH('County Scaled Consumption '!$B457,Production_Consumption!$AA$83:$AA$99,0),MATCH('County Scaled Consumption '!C$2,Production_Consumption!$AA$83:$AJ$83,0)))*'CA Population'!$L457*10^6</f>
        <v>5133.8596318673444</v>
      </c>
      <c r="D457" s="143">
        <f>(INDEX(Production_Consumption!$AA$83:$AJ$99,MATCH('County Scaled Consumption '!$B457,Production_Consumption!$AA$83:$AA$99,0),MATCH('County Scaled Consumption '!D$2,Production_Consumption!$AA$83:$AJ$83,0)))*'CA Population'!$L457*10^6</f>
        <v>20809.570557260089</v>
      </c>
      <c r="E457" s="143">
        <f>(INDEX(Production_Consumption!$AA$83:$AJ$99,MATCH('County Scaled Consumption '!$B457,Production_Consumption!$AA$83:$AA$99,0),MATCH('County Scaled Consumption '!E$2,Production_Consumption!$AA$83:$AJ$83,0)))*'CA Population'!$L457*10^6</f>
        <v>12353.071796617236</v>
      </c>
      <c r="F457" s="143">
        <f>(INDEX(Production_Consumption!$AA$83:$AJ$99,MATCH('County Scaled Consumption '!$B457,Production_Consumption!$AA$83:$AA$99,0),MATCH('County Scaled Consumption '!F$2,Production_Consumption!$AA$83:$AJ$83,0)))*'CA Population'!$L457*10^6</f>
        <v>3415.193582435571</v>
      </c>
      <c r="G457" s="143">
        <f>(INDEX(Production_Consumption!$AA$83:$AJ$99,MATCH('County Scaled Consumption '!$B457,Production_Consumption!$AA$83:$AA$99,0),MATCH('County Scaled Consumption '!G$2,Production_Consumption!$AA$83:$AJ$83,0)))*'CA Population'!$L457*10^6</f>
        <v>13424.519114230219</v>
      </c>
      <c r="H457" s="143">
        <f>(INDEX(Production_Consumption!$AA$83:$AJ$99,MATCH('County Scaled Consumption '!$B457,Production_Consumption!$AA$83:$AA$99,0),MATCH('County Scaled Consumption '!H$2,Production_Consumption!$AA$83:$AJ$83,0)))*'CA Population'!$L457*10^6</f>
        <v>362.8465476498863</v>
      </c>
      <c r="I457" s="143">
        <f>(INDEX(Production_Consumption!$AA$83:$AJ$99,MATCH('County Scaled Consumption '!$B457,Production_Consumption!$AA$83:$AA$99,0),MATCH('County Scaled Consumption '!I$2,Production_Consumption!$AA$83:$AJ$83,0)))*'CA Population'!$L457*10^6</f>
        <v>7639.9588037112298</v>
      </c>
      <c r="J457" s="143">
        <f>(INDEX(Production_Consumption!$AA$83:$AJ$99,MATCH('County Scaled Consumption '!$B457,Production_Consumption!$AA$83:$AA$99,0),MATCH('County Scaled Consumption '!J$2,Production_Consumption!$AA$83:$AJ$83,0)))*'CA Population'!$L457*10^6</f>
        <v>5330.0371004669269</v>
      </c>
      <c r="K457" s="143">
        <f>(INDEX(Production_Consumption!$AA$83:$AJ$99,MATCH('County Scaled Consumption '!$B457,Production_Consumption!$AA$83:$AA$99,0),MATCH('County Scaled Consumption '!K$2,Production_Consumption!$AA$83:$AJ$83,0)))*'CA Population'!$L457*10^6</f>
        <v>68469.057134238494</v>
      </c>
      <c r="L457" s="131">
        <f t="shared" si="7"/>
        <v>0</v>
      </c>
    </row>
    <row r="458" spans="1:12" x14ac:dyDescent="0.2">
      <c r="A458" s="132" t="s">
        <v>347</v>
      </c>
      <c r="B458" s="129">
        <v>2013</v>
      </c>
      <c r="C458" s="143">
        <f>(INDEX(Production_Consumption!$AA$83:$AJ$99,MATCH('County Scaled Consumption '!$B458,Production_Consumption!$AA$83:$AA$99,0),MATCH('County Scaled Consumption '!C$2,Production_Consumption!$AA$83:$AJ$83,0)))*'CA Population'!$L458*10^6</f>
        <v>22096.218250084123</v>
      </c>
      <c r="D458" s="143">
        <f>(INDEX(Production_Consumption!$AA$83:$AJ$99,MATCH('County Scaled Consumption '!$B458,Production_Consumption!$AA$83:$AA$99,0),MATCH('County Scaled Consumption '!D$2,Production_Consumption!$AA$83:$AJ$83,0)))*'CA Population'!$L458*10^6</f>
        <v>89564.74186975295</v>
      </c>
      <c r="E458" s="143">
        <f>(INDEX(Production_Consumption!$AA$83:$AJ$99,MATCH('County Scaled Consumption '!$B458,Production_Consumption!$AA$83:$AA$99,0),MATCH('County Scaled Consumption '!E$2,Production_Consumption!$AA$83:$AJ$83,0)))*'CA Population'!$L458*10^6</f>
        <v>53167.828894794038</v>
      </c>
      <c r="F458" s="143">
        <f>(INDEX(Production_Consumption!$AA$83:$AJ$99,MATCH('County Scaled Consumption '!$B458,Production_Consumption!$AA$83:$AA$99,0),MATCH('County Scaled Consumption '!F$2,Production_Consumption!$AA$83:$AJ$83,0)))*'CA Population'!$L458*10^6</f>
        <v>14699.050650968979</v>
      </c>
      <c r="G458" s="143">
        <f>(INDEX(Production_Consumption!$AA$83:$AJ$99,MATCH('County Scaled Consumption '!$B458,Production_Consumption!$AA$83:$AA$99,0),MATCH('County Scaled Consumption '!G$2,Production_Consumption!$AA$83:$AJ$83,0)))*'CA Population'!$L458*10^6</f>
        <v>57779.356180520066</v>
      </c>
      <c r="H458" s="143">
        <f>(INDEX(Production_Consumption!$AA$83:$AJ$99,MATCH('County Scaled Consumption '!$B458,Production_Consumption!$AA$83:$AA$99,0),MATCH('County Scaled Consumption '!H$2,Production_Consumption!$AA$83:$AJ$83,0)))*'CA Population'!$L458*10^6</f>
        <v>1561.6976472037297</v>
      </c>
      <c r="I458" s="143">
        <f>(INDEX(Production_Consumption!$AA$83:$AJ$99,MATCH('County Scaled Consumption '!$B458,Production_Consumption!$AA$83:$AA$99,0),MATCH('County Scaled Consumption '!I$2,Production_Consumption!$AA$83:$AJ$83,0)))*'CA Population'!$L458*10^6</f>
        <v>32882.511259282714</v>
      </c>
      <c r="J458" s="143">
        <f>(INDEX(Production_Consumption!$AA$83:$AJ$99,MATCH('County Scaled Consumption '!$B458,Production_Consumption!$AA$83:$AA$99,0),MATCH('County Scaled Consumption '!J$2,Production_Consumption!$AA$83:$AJ$83,0)))*'CA Population'!$L458*10^6</f>
        <v>22940.569376285195</v>
      </c>
      <c r="K458" s="143">
        <f>(INDEX(Production_Consumption!$AA$83:$AJ$99,MATCH('County Scaled Consumption '!$B458,Production_Consumption!$AA$83:$AA$99,0),MATCH('County Scaled Consumption '!K$2,Production_Consumption!$AA$83:$AJ$83,0)))*'CA Population'!$L458*10^6</f>
        <v>294691.97412889177</v>
      </c>
      <c r="L458" s="131">
        <f t="shared" si="7"/>
        <v>0</v>
      </c>
    </row>
    <row r="459" spans="1:12" x14ac:dyDescent="0.2">
      <c r="A459" s="132" t="s">
        <v>348</v>
      </c>
      <c r="B459" s="129">
        <v>2013</v>
      </c>
      <c r="C459" s="143">
        <f>(INDEX(Production_Consumption!$AA$83:$AJ$99,MATCH('County Scaled Consumption '!$B459,Production_Consumption!$AA$83:$AA$99,0),MATCH('County Scaled Consumption '!C$2,Production_Consumption!$AA$83:$AJ$83,0)))*'CA Population'!$L459*10^6</f>
        <v>3194.3096116216257</v>
      </c>
      <c r="D459" s="143">
        <f>(INDEX(Production_Consumption!$AA$83:$AJ$99,MATCH('County Scaled Consumption '!$B459,Production_Consumption!$AA$83:$AA$99,0),MATCH('County Scaled Consumption '!D$2,Production_Consumption!$AA$83:$AJ$83,0)))*'CA Population'!$L459*10^6</f>
        <v>12947.804578092113</v>
      </c>
      <c r="E459" s="143">
        <f>(INDEX(Production_Consumption!$AA$83:$AJ$99,MATCH('County Scaled Consumption '!$B459,Production_Consumption!$AA$83:$AA$99,0),MATCH('County Scaled Consumption '!E$2,Production_Consumption!$AA$83:$AJ$83,0)))*'CA Population'!$L459*10^6</f>
        <v>7686.1345659023791</v>
      </c>
      <c r="F459" s="143">
        <f>(INDEX(Production_Consumption!$AA$83:$AJ$99,MATCH('County Scaled Consumption '!$B459,Production_Consumption!$AA$83:$AA$99,0),MATCH('County Scaled Consumption '!F$2,Production_Consumption!$AA$83:$AJ$83,0)))*'CA Population'!$L459*10^6</f>
        <v>2124.948180937005</v>
      </c>
      <c r="G459" s="143">
        <f>(INDEX(Production_Consumption!$AA$83:$AJ$99,MATCH('County Scaled Consumption '!$B459,Production_Consumption!$AA$83:$AA$99,0),MATCH('County Scaled Consumption '!G$2,Production_Consumption!$AA$83:$AJ$83,0)))*'CA Population'!$L459*10^6</f>
        <v>8352.793709396039</v>
      </c>
      <c r="H459" s="143">
        <f>(INDEX(Production_Consumption!$AA$83:$AJ$99,MATCH('County Scaled Consumption '!$B459,Production_Consumption!$AA$83:$AA$99,0),MATCH('County Scaled Consumption '!H$2,Production_Consumption!$AA$83:$AJ$83,0)))*'CA Population'!$L459*10^6</f>
        <v>225.76468735281247</v>
      </c>
      <c r="I459" s="143">
        <f>(INDEX(Production_Consumption!$AA$83:$AJ$99,MATCH('County Scaled Consumption '!$B459,Production_Consumption!$AA$83:$AA$99,0),MATCH('County Scaled Consumption '!I$2,Production_Consumption!$AA$83:$AJ$83,0)))*'CA Population'!$L459*10^6</f>
        <v>4753.6153282421164</v>
      </c>
      <c r="J459" s="143">
        <f>(INDEX(Production_Consumption!$AA$83:$AJ$99,MATCH('County Scaled Consumption '!$B459,Production_Consumption!$AA$83:$AA$99,0),MATCH('County Scaled Consumption '!J$2,Production_Consumption!$AA$83:$AJ$83,0)))*'CA Population'!$L459*10^6</f>
        <v>3316.3720789398667</v>
      </c>
      <c r="K459" s="143">
        <f>(INDEX(Production_Consumption!$AA$83:$AJ$99,MATCH('County Scaled Consumption '!$B459,Production_Consumption!$AA$83:$AA$99,0),MATCH('County Scaled Consumption '!K$2,Production_Consumption!$AA$83:$AJ$83,0)))*'CA Population'!$L459*10^6</f>
        <v>42601.742740483947</v>
      </c>
      <c r="L459" s="131">
        <f t="shared" si="7"/>
        <v>0</v>
      </c>
    </row>
    <row r="460" spans="1:12" x14ac:dyDescent="0.2">
      <c r="A460" s="132" t="s">
        <v>349</v>
      </c>
      <c r="B460" s="129">
        <v>2013</v>
      </c>
      <c r="C460" s="143">
        <f>(INDEX(Production_Consumption!$AA$83:$AJ$99,MATCH('County Scaled Consumption '!$B460,Production_Consumption!$AA$83:$AA$99,0),MATCH('County Scaled Consumption '!C$2,Production_Consumption!$AA$83:$AJ$83,0)))*'CA Population'!$L460*10^6</f>
        <v>2120.3407628962555</v>
      </c>
      <c r="D460" s="143">
        <f>(INDEX(Production_Consumption!$AA$83:$AJ$99,MATCH('County Scaled Consumption '!$B460,Production_Consumption!$AA$83:$AA$99,0),MATCH('County Scaled Consumption '!D$2,Production_Consumption!$AA$83:$AJ$83,0)))*'CA Population'!$L460*10^6</f>
        <v>8594.5826093564756</v>
      </c>
      <c r="E460" s="143">
        <f>(INDEX(Production_Consumption!$AA$83:$AJ$99,MATCH('County Scaled Consumption '!$B460,Production_Consumption!$AA$83:$AA$99,0),MATCH('County Scaled Consumption '!E$2,Production_Consumption!$AA$83:$AJ$83,0)))*'CA Population'!$L460*10^6</f>
        <v>5101.9551673687847</v>
      </c>
      <c r="F460" s="143">
        <f>(INDEX(Production_Consumption!$AA$83:$AJ$99,MATCH('County Scaled Consumption '!$B460,Production_Consumption!$AA$83:$AA$99,0),MATCH('County Scaled Consumption '!F$2,Production_Consumption!$AA$83:$AJ$83,0)))*'CA Population'!$L460*10^6</f>
        <v>1410.5126912840662</v>
      </c>
      <c r="G460" s="143">
        <f>(INDEX(Production_Consumption!$AA$83:$AJ$99,MATCH('County Scaled Consumption '!$B460,Production_Consumption!$AA$83:$AA$99,0),MATCH('County Scaled Consumption '!G$2,Production_Consumption!$AA$83:$AJ$83,0)))*'CA Population'!$L460*10^6</f>
        <v>5544.4747502433793</v>
      </c>
      <c r="H460" s="143">
        <f>(INDEX(Production_Consumption!$AA$83:$AJ$99,MATCH('County Scaled Consumption '!$B460,Production_Consumption!$AA$83:$AA$99,0),MATCH('County Scaled Consumption '!H$2,Production_Consumption!$AA$83:$AJ$83,0)))*'CA Population'!$L460*10^6</f>
        <v>149.85963404270032</v>
      </c>
      <c r="I460" s="143">
        <f>(INDEX(Production_Consumption!$AA$83:$AJ$99,MATCH('County Scaled Consumption '!$B460,Production_Consumption!$AA$83:$AA$99,0),MATCH('County Scaled Consumption '!I$2,Production_Consumption!$AA$83:$AJ$83,0)))*'CA Population'!$L460*10^6</f>
        <v>3155.3874160881251</v>
      </c>
      <c r="J460" s="143">
        <f>(INDEX(Production_Consumption!$AA$83:$AJ$99,MATCH('County Scaled Consumption '!$B460,Production_Consumption!$AA$83:$AA$99,0),MATCH('County Scaled Consumption '!J$2,Production_Consumption!$AA$83:$AJ$83,0)))*'CA Population'!$L460*10^6</f>
        <v>2201.3642254100123</v>
      </c>
      <c r="K460" s="143">
        <f>(INDEX(Production_Consumption!$AA$83:$AJ$99,MATCH('County Scaled Consumption '!$B460,Production_Consumption!$AA$83:$AA$99,0),MATCH('County Scaled Consumption '!K$2,Production_Consumption!$AA$83:$AJ$83,0)))*'CA Population'!$L460*10^6</f>
        <v>28278.477256689795</v>
      </c>
      <c r="L460" s="131">
        <f t="shared" si="7"/>
        <v>0</v>
      </c>
    </row>
    <row r="461" spans="1:12" x14ac:dyDescent="0.2">
      <c r="A461" s="132" t="s">
        <v>350</v>
      </c>
      <c r="B461" s="129">
        <v>2013</v>
      </c>
      <c r="C461" s="143">
        <f>(INDEX(Production_Consumption!$AA$83:$AJ$99,MATCH('County Scaled Consumption '!$B461,Production_Consumption!$AA$83:$AA$99,0),MATCH('County Scaled Consumption '!C$2,Production_Consumption!$AA$83:$AJ$83,0)))*'CA Population'!$L461*10^6</f>
        <v>38.111745959050126</v>
      </c>
      <c r="D461" s="143">
        <f>(INDEX(Production_Consumption!$AA$83:$AJ$99,MATCH('County Scaled Consumption '!$B461,Production_Consumption!$AA$83:$AA$99,0),MATCH('County Scaled Consumption '!D$2,Production_Consumption!$AA$83:$AJ$83,0)))*'CA Population'!$L461*10^6</f>
        <v>154.48203173929679</v>
      </c>
      <c r="E461" s="143">
        <f>(INDEX(Production_Consumption!$AA$83:$AJ$99,MATCH('County Scaled Consumption '!$B461,Production_Consumption!$AA$83:$AA$99,0),MATCH('County Scaled Consumption '!E$2,Production_Consumption!$AA$83:$AJ$83,0)))*'CA Population'!$L461*10^6</f>
        <v>91.704325378163773</v>
      </c>
      <c r="F461" s="143">
        <f>(INDEX(Production_Consumption!$AA$83:$AJ$99,MATCH('County Scaled Consumption '!$B461,Production_Consumption!$AA$83:$AA$99,0),MATCH('County Scaled Consumption '!F$2,Production_Consumption!$AA$83:$AJ$83,0)))*'CA Population'!$L461*10^6</f>
        <v>25.353048105723126</v>
      </c>
      <c r="G461" s="143">
        <f>(INDEX(Production_Consumption!$AA$83:$AJ$99,MATCH('County Scaled Consumption '!$B461,Production_Consumption!$AA$83:$AA$99,0),MATCH('County Scaled Consumption '!G$2,Production_Consumption!$AA$83:$AJ$83,0)))*'CA Population'!$L461*10^6</f>
        <v>99.658327027117849</v>
      </c>
      <c r="H461" s="143">
        <f>(INDEX(Production_Consumption!$AA$83:$AJ$99,MATCH('County Scaled Consumption '!$B461,Production_Consumption!$AA$83:$AA$99,0),MATCH('County Scaled Consumption '!H$2,Production_Consumption!$AA$83:$AJ$83,0)))*'CA Population'!$L461*10^6</f>
        <v>2.693629440180255</v>
      </c>
      <c r="I461" s="143">
        <f>(INDEX(Production_Consumption!$AA$83:$AJ$99,MATCH('County Scaled Consumption '!$B461,Production_Consumption!$AA$83:$AA$99,0),MATCH('County Scaled Consumption '!I$2,Production_Consumption!$AA$83:$AJ$83,0)))*'CA Population'!$L461*10^6</f>
        <v>56.716036265826489</v>
      </c>
      <c r="J461" s="143">
        <f>(INDEX(Production_Consumption!$AA$83:$AJ$99,MATCH('County Scaled Consumption '!$B461,Production_Consumption!$AA$83:$AA$99,0),MATCH('County Scaled Consumption '!J$2,Production_Consumption!$AA$83:$AJ$83,0)))*'CA Population'!$L461*10^6</f>
        <v>39.568089993029353</v>
      </c>
      <c r="K461" s="143">
        <f>(INDEX(Production_Consumption!$AA$83:$AJ$99,MATCH('County Scaled Consumption '!$B461,Production_Consumption!$AA$83:$AA$99,0),MATCH('County Scaled Consumption '!K$2,Production_Consumption!$AA$83:$AJ$83,0)))*'CA Population'!$L461*10^6</f>
        <v>508.28723390838775</v>
      </c>
      <c r="L461" s="131">
        <f t="shared" si="7"/>
        <v>0</v>
      </c>
    </row>
    <row r="462" spans="1:12" x14ac:dyDescent="0.2">
      <c r="A462" s="132" t="s">
        <v>351</v>
      </c>
      <c r="B462" s="129">
        <v>2013</v>
      </c>
      <c r="C462" s="143">
        <f>(INDEX(Production_Consumption!$AA$83:$AJ$99,MATCH('County Scaled Consumption '!$B462,Production_Consumption!$AA$83:$AA$99,0),MATCH('County Scaled Consumption '!C$2,Production_Consumption!$AA$83:$AJ$83,0)))*'CA Population'!$L462*10^6</f>
        <v>531.37138806047335</v>
      </c>
      <c r="D462" s="143">
        <f>(INDEX(Production_Consumption!$AA$83:$AJ$99,MATCH('County Scaled Consumption '!$B462,Production_Consumption!$AA$83:$AA$99,0),MATCH('County Scaled Consumption '!D$2,Production_Consumption!$AA$83:$AJ$83,0)))*'CA Population'!$L462*10^6</f>
        <v>2153.859120595328</v>
      </c>
      <c r="E462" s="143">
        <f>(INDEX(Production_Consumption!$AA$83:$AJ$99,MATCH('County Scaled Consumption '!$B462,Production_Consumption!$AA$83:$AA$99,0),MATCH('County Scaled Consumption '!E$2,Production_Consumption!$AA$83:$AJ$83,0)))*'CA Population'!$L462*10^6</f>
        <v>1278.5836345493599</v>
      </c>
      <c r="F462" s="143">
        <f>(INDEX(Production_Consumption!$AA$83:$AJ$99,MATCH('County Scaled Consumption '!$B462,Production_Consumption!$AA$83:$AA$99,0),MATCH('County Scaled Consumption '!F$2,Production_Consumption!$AA$83:$AJ$83,0)))*'CA Population'!$L462*10^6</f>
        <v>353.48378890794379</v>
      </c>
      <c r="G462" s="143">
        <f>(INDEX(Production_Consumption!$AA$83:$AJ$99,MATCH('County Scaled Consumption '!$B462,Production_Consumption!$AA$83:$AA$99,0),MATCH('County Scaled Consumption '!G$2,Production_Consumption!$AA$83:$AJ$83,0)))*'CA Population'!$L462*10^6</f>
        <v>1389.4819623609824</v>
      </c>
      <c r="H462" s="143">
        <f>(INDEX(Production_Consumption!$AA$83:$AJ$99,MATCH('County Scaled Consumption '!$B462,Production_Consumption!$AA$83:$AA$99,0),MATCH('County Scaled Consumption '!H$2,Production_Consumption!$AA$83:$AJ$83,0)))*'CA Population'!$L462*10^6</f>
        <v>37.555813267832022</v>
      </c>
      <c r="I462" s="143">
        <f>(INDEX(Production_Consumption!$AA$83:$AJ$99,MATCH('County Scaled Consumption '!$B462,Production_Consumption!$AA$83:$AA$99,0),MATCH('County Scaled Consumption '!I$2,Production_Consumption!$AA$83:$AJ$83,0)))*'CA Population'!$L462*10^6</f>
        <v>790.76090998932261</v>
      </c>
      <c r="J462" s="143">
        <f>(INDEX(Production_Consumption!$AA$83:$AJ$99,MATCH('County Scaled Consumption '!$B462,Production_Consumption!$AA$83:$AA$99,0),MATCH('County Scaled Consumption '!J$2,Production_Consumption!$AA$83:$AJ$83,0)))*'CA Population'!$L462*10^6</f>
        <v>551.67640246890858</v>
      </c>
      <c r="K462" s="143">
        <f>(INDEX(Production_Consumption!$AA$83:$AJ$99,MATCH('County Scaled Consumption '!$B462,Production_Consumption!$AA$83:$AA$99,0),MATCH('County Scaled Consumption '!K$2,Production_Consumption!$AA$83:$AJ$83,0)))*'CA Population'!$L462*10^6</f>
        <v>7086.7730202001503</v>
      </c>
      <c r="L462" s="131">
        <f t="shared" si="7"/>
        <v>0</v>
      </c>
    </row>
    <row r="463" spans="1:12" x14ac:dyDescent="0.2">
      <c r="A463" s="132" t="s">
        <v>352</v>
      </c>
      <c r="B463" s="129">
        <v>2013</v>
      </c>
      <c r="C463" s="143">
        <f>(INDEX(Production_Consumption!$AA$83:$AJ$99,MATCH('County Scaled Consumption '!$B463,Production_Consumption!$AA$83:$AA$99,0),MATCH('County Scaled Consumption '!C$2,Production_Consumption!$AA$83:$AJ$83,0)))*'CA Population'!$L463*10^6</f>
        <v>4972.8182418661945</v>
      </c>
      <c r="D463" s="143">
        <f>(INDEX(Production_Consumption!$AA$83:$AJ$99,MATCH('County Scaled Consumption '!$B463,Production_Consumption!$AA$83:$AA$99,0),MATCH('County Scaled Consumption '!D$2,Production_Consumption!$AA$83:$AJ$83,0)))*'CA Population'!$L463*10^6</f>
        <v>20156.805891263713</v>
      </c>
      <c r="E463" s="143">
        <f>(INDEX(Production_Consumption!$AA$83:$AJ$99,MATCH('County Scaled Consumption '!$B463,Production_Consumption!$AA$83:$AA$99,0),MATCH('County Scaled Consumption '!E$2,Production_Consumption!$AA$83:$AJ$83,0)))*'CA Population'!$L463*10^6</f>
        <v>11965.574670563627</v>
      </c>
      <c r="F463" s="143">
        <f>(INDEX(Production_Consumption!$AA$83:$AJ$99,MATCH('County Scaled Consumption '!$B463,Production_Consumption!$AA$83:$AA$99,0),MATCH('County Scaled Consumption '!F$2,Production_Consumption!$AA$83:$AJ$83,0)))*'CA Population'!$L463*10^6</f>
        <v>3308.0641396622436</v>
      </c>
      <c r="G463" s="143">
        <f>(INDEX(Production_Consumption!$AA$83:$AJ$99,MATCH('County Scaled Consumption '!$B463,Production_Consumption!$AA$83:$AA$99,0),MATCH('County Scaled Consumption '!G$2,Production_Consumption!$AA$83:$AJ$83,0)))*'CA Population'!$L463*10^6</f>
        <v>13003.412310913454</v>
      </c>
      <c r="H463" s="143">
        <f>(INDEX(Production_Consumption!$AA$83:$AJ$99,MATCH('County Scaled Consumption '!$B463,Production_Consumption!$AA$83:$AA$99,0),MATCH('County Scaled Consumption '!H$2,Production_Consumption!$AA$83:$AJ$83,0)))*'CA Population'!$L463*10^6</f>
        <v>351.46460178834707</v>
      </c>
      <c r="I463" s="143">
        <f>(INDEX(Production_Consumption!$AA$83:$AJ$99,MATCH('County Scaled Consumption '!$B463,Production_Consumption!$AA$83:$AA$99,0),MATCH('County Scaled Consumption '!I$2,Production_Consumption!$AA$83:$AJ$83,0)))*'CA Population'!$L463*10^6</f>
        <v>7400.3048837512752</v>
      </c>
      <c r="J463" s="143">
        <f>(INDEX(Production_Consumption!$AA$83:$AJ$99,MATCH('County Scaled Consumption '!$B463,Production_Consumption!$AA$83:$AA$99,0),MATCH('County Scaled Consumption '!J$2,Production_Consumption!$AA$83:$AJ$83,0)))*'CA Population'!$L463*10^6</f>
        <v>5162.8419208229752</v>
      </c>
      <c r="K463" s="143">
        <f>(INDEX(Production_Consumption!$AA$83:$AJ$99,MATCH('County Scaled Consumption '!$B463,Production_Consumption!$AA$83:$AA$99,0),MATCH('County Scaled Consumption '!K$2,Production_Consumption!$AA$83:$AJ$83,0)))*'CA Population'!$L463*10^6</f>
        <v>66321.286660631813</v>
      </c>
      <c r="L463" s="131">
        <f t="shared" si="7"/>
        <v>0</v>
      </c>
    </row>
    <row r="464" spans="1:12" x14ac:dyDescent="0.2">
      <c r="A464" s="132" t="s">
        <v>353</v>
      </c>
      <c r="B464" s="129">
        <v>2013</v>
      </c>
      <c r="C464" s="143">
        <f>(INDEX(Production_Consumption!$AA$83:$AJ$99,MATCH('County Scaled Consumption '!$B464,Production_Consumption!$AA$83:$AA$99,0),MATCH('County Scaled Consumption '!C$2,Production_Consumption!$AA$83:$AJ$83,0)))*'CA Population'!$L464*10^6</f>
        <v>5845.6424232717627</v>
      </c>
      <c r="D464" s="143">
        <f>(INDEX(Production_Consumption!$AA$83:$AJ$99,MATCH('County Scaled Consumption '!$B464,Production_Consumption!$AA$83:$AA$99,0),MATCH('County Scaled Consumption '!D$2,Production_Consumption!$AA$83:$AJ$83,0)))*'CA Population'!$L464*10^6</f>
        <v>23694.708695286325</v>
      </c>
      <c r="E464" s="143">
        <f>(INDEX(Production_Consumption!$AA$83:$AJ$99,MATCH('County Scaled Consumption '!$B464,Production_Consumption!$AA$83:$AA$99,0),MATCH('County Scaled Consumption '!E$2,Production_Consumption!$AA$83:$AJ$83,0)))*'CA Population'!$L464*10^6</f>
        <v>14065.76060315113</v>
      </c>
      <c r="F464" s="143">
        <f>(INDEX(Production_Consumption!$AA$83:$AJ$99,MATCH('County Scaled Consumption '!$B464,Production_Consumption!$AA$83:$AA$99,0),MATCH('County Scaled Consumption '!F$2,Production_Consumption!$AA$83:$AJ$83,0)))*'CA Population'!$L464*10^6</f>
        <v>3888.6923135273414</v>
      </c>
      <c r="G464" s="143">
        <f>(INDEX(Production_Consumption!$AA$83:$AJ$99,MATCH('County Scaled Consumption '!$B464,Production_Consumption!$AA$83:$AA$99,0),MATCH('County Scaled Consumption '!G$2,Production_Consumption!$AA$83:$AJ$83,0)))*'CA Population'!$L464*10^6</f>
        <v>15285.758488418793</v>
      </c>
      <c r="H464" s="143">
        <f>(INDEX(Production_Consumption!$AA$83:$AJ$99,MATCH('County Scaled Consumption '!$B464,Production_Consumption!$AA$83:$AA$99,0),MATCH('County Scaled Consumption '!H$2,Production_Consumption!$AA$83:$AJ$83,0)))*'CA Population'!$L464*10^6</f>
        <v>413.15332404372248</v>
      </c>
      <c r="I464" s="143">
        <f>(INDEX(Production_Consumption!$AA$83:$AJ$99,MATCH('County Scaled Consumption '!$B464,Production_Consumption!$AA$83:$AA$99,0),MATCH('County Scaled Consumption '!I$2,Production_Consumption!$AA$83:$AJ$83,0)))*'CA Population'!$L464*10^6</f>
        <v>8699.199140117229</v>
      </c>
      <c r="J464" s="143">
        <f>(INDEX(Production_Consumption!$AA$83:$AJ$99,MATCH('County Scaled Consumption '!$B464,Production_Consumption!$AA$83:$AA$99,0),MATCH('County Scaled Consumption '!J$2,Production_Consumption!$AA$83:$AJ$83,0)))*'CA Population'!$L464*10^6</f>
        <v>6069.0188720194792</v>
      </c>
      <c r="K464" s="143">
        <f>(INDEX(Production_Consumption!$AA$83:$AJ$99,MATCH('County Scaled Consumption '!$B464,Production_Consumption!$AA$83:$AA$99,0),MATCH('County Scaled Consumption '!K$2,Production_Consumption!$AA$83:$AJ$83,0)))*'CA Population'!$L464*10^6</f>
        <v>77961.933859835772</v>
      </c>
      <c r="L464" s="131">
        <f t="shared" si="7"/>
        <v>0</v>
      </c>
    </row>
    <row r="465" spans="1:12" x14ac:dyDescent="0.2">
      <c r="A465" s="132" t="s">
        <v>354</v>
      </c>
      <c r="B465" s="129">
        <v>2013</v>
      </c>
      <c r="C465" s="143">
        <f>(INDEX(Production_Consumption!$AA$83:$AJ$99,MATCH('County Scaled Consumption '!$B465,Production_Consumption!$AA$83:$AA$99,0),MATCH('County Scaled Consumption '!C$2,Production_Consumption!$AA$83:$AJ$83,0)))*'CA Population'!$L465*10^6</f>
        <v>6234.0384558074757</v>
      </c>
      <c r="D465" s="143">
        <f>(INDEX(Production_Consumption!$AA$83:$AJ$99,MATCH('County Scaled Consumption '!$B465,Production_Consumption!$AA$83:$AA$99,0),MATCH('County Scaled Consumption '!D$2,Production_Consumption!$AA$83:$AJ$83,0)))*'CA Population'!$L465*10^6</f>
        <v>25269.03195746558</v>
      </c>
      <c r="E465" s="143">
        <f>(INDEX(Production_Consumption!$AA$83:$AJ$99,MATCH('County Scaled Consumption '!$B465,Production_Consumption!$AA$83:$AA$99,0),MATCH('County Scaled Consumption '!E$2,Production_Consumption!$AA$83:$AJ$83,0)))*'CA Population'!$L465*10^6</f>
        <v>15000.317529026761</v>
      </c>
      <c r="F465" s="143">
        <f>(INDEX(Production_Consumption!$AA$83:$AJ$99,MATCH('County Scaled Consumption '!$B465,Production_Consumption!$AA$83:$AA$99,0),MATCH('County Scaled Consumption '!F$2,Production_Consumption!$AA$83:$AJ$83,0)))*'CA Population'!$L465*10^6</f>
        <v>4147.0647141916997</v>
      </c>
      <c r="G465" s="143">
        <f>(INDEX(Production_Consumption!$AA$83:$AJ$99,MATCH('County Scaled Consumption '!$B465,Production_Consumption!$AA$83:$AA$99,0),MATCH('County Scaled Consumption '!G$2,Production_Consumption!$AA$83:$AJ$83,0)))*'CA Population'!$L465*10^6</f>
        <v>16301.374484287062</v>
      </c>
      <c r="H465" s="143">
        <f>(INDEX(Production_Consumption!$AA$83:$AJ$99,MATCH('County Scaled Consumption '!$B465,Production_Consumption!$AA$83:$AA$99,0),MATCH('County Scaled Consumption '!H$2,Production_Consumption!$AA$83:$AJ$83,0)))*'CA Population'!$L465*10^6</f>
        <v>440.60404720952835</v>
      </c>
      <c r="I465" s="143">
        <f>(INDEX(Production_Consumption!$AA$83:$AJ$99,MATCH('County Scaled Consumption '!$B465,Production_Consumption!$AA$83:$AA$99,0),MATCH('County Scaled Consumption '!I$2,Production_Consumption!$AA$83:$AJ$83,0)))*'CA Population'!$L465*10^6</f>
        <v>9277.1911190327937</v>
      </c>
      <c r="J465" s="143">
        <f>(INDEX(Production_Consumption!$AA$83:$AJ$99,MATCH('County Scaled Consumption '!$B465,Production_Consumption!$AA$83:$AA$99,0),MATCH('County Scaled Consumption '!J$2,Production_Consumption!$AA$83:$AJ$83,0)))*'CA Population'!$L465*10^6</f>
        <v>6472.2564771615043</v>
      </c>
      <c r="K465" s="143">
        <f>(INDEX(Production_Consumption!$AA$83:$AJ$99,MATCH('County Scaled Consumption '!$B465,Production_Consumption!$AA$83:$AA$99,0),MATCH('County Scaled Consumption '!K$2,Production_Consumption!$AA$83:$AJ$83,0)))*'CA Population'!$L465*10^6</f>
        <v>83141.878784182394</v>
      </c>
      <c r="L465" s="131">
        <f t="shared" si="7"/>
        <v>0</v>
      </c>
    </row>
    <row r="466" spans="1:12" x14ac:dyDescent="0.2">
      <c r="A466" s="132" t="s">
        <v>355</v>
      </c>
      <c r="B466" s="129">
        <v>2013</v>
      </c>
      <c r="C466" s="143">
        <f>(INDEX(Production_Consumption!$AA$83:$AJ$99,MATCH('County Scaled Consumption '!$B466,Production_Consumption!$AA$83:$AA$99,0),MATCH('County Scaled Consumption '!C$2,Production_Consumption!$AA$83:$AJ$83,0)))*'CA Population'!$L466*10^6</f>
        <v>1124.5158113286016</v>
      </c>
      <c r="D466" s="143">
        <f>(INDEX(Production_Consumption!$AA$83:$AJ$99,MATCH('County Scaled Consumption '!$B466,Production_Consumption!$AA$83:$AA$99,0),MATCH('County Scaled Consumption '!D$2,Production_Consumption!$AA$83:$AJ$83,0)))*'CA Population'!$L466*10^6</f>
        <v>4558.1088686847388</v>
      </c>
      <c r="E466" s="143">
        <f>(INDEX(Production_Consumption!$AA$83:$AJ$99,MATCH('County Scaled Consumption '!$B466,Production_Consumption!$AA$83:$AA$99,0),MATCH('County Scaled Consumption '!E$2,Production_Consumption!$AA$83:$AJ$83,0)))*'CA Population'!$L466*10^6</f>
        <v>2705.8052907303249</v>
      </c>
      <c r="F466" s="143">
        <f>(INDEX(Production_Consumption!$AA$83:$AJ$99,MATCH('County Scaled Consumption '!$B466,Production_Consumption!$AA$83:$AA$99,0),MATCH('County Scaled Consumption '!F$2,Production_Consumption!$AA$83:$AJ$83,0)))*'CA Population'!$L466*10^6</f>
        <v>748.06080757605025</v>
      </c>
      <c r="G466" s="143">
        <f>(INDEX(Production_Consumption!$AA$83:$AJ$99,MATCH('County Scaled Consumption '!$B466,Production_Consumption!$AA$83:$AA$99,0),MATCH('County Scaled Consumption '!G$2,Production_Consumption!$AA$83:$AJ$83,0)))*'CA Population'!$L466*10^6</f>
        <v>2940.4941089018439</v>
      </c>
      <c r="H466" s="143">
        <f>(INDEX(Production_Consumption!$AA$83:$AJ$99,MATCH('County Scaled Consumption '!$B466,Production_Consumption!$AA$83:$AA$99,0),MATCH('County Scaled Consumption '!H$2,Production_Consumption!$AA$83:$AJ$83,0)))*'CA Population'!$L466*10^6</f>
        <v>79.477568374786685</v>
      </c>
      <c r="I466" s="143">
        <f>(INDEX(Production_Consumption!$AA$83:$AJ$99,MATCH('County Scaled Consumption '!$B466,Production_Consumption!$AA$83:$AA$99,0),MATCH('County Scaled Consumption '!I$2,Production_Consumption!$AA$83:$AJ$83,0)))*'CA Population'!$L466*10^6</f>
        <v>1673.4494296151061</v>
      </c>
      <c r="J466" s="143">
        <f>(INDEX(Production_Consumption!$AA$83:$AJ$99,MATCH('County Scaled Consumption '!$B466,Production_Consumption!$AA$83:$AA$99,0),MATCH('County Scaled Consumption '!J$2,Production_Consumption!$AA$83:$AJ$83,0)))*'CA Population'!$L466*10^6</f>
        <v>1167.4863405377162</v>
      </c>
      <c r="K466" s="143">
        <f>(INDEX(Production_Consumption!$AA$83:$AJ$99,MATCH('County Scaled Consumption '!$B466,Production_Consumption!$AA$83:$AA$99,0),MATCH('County Scaled Consumption '!K$2,Production_Consumption!$AA$83:$AJ$83,0)))*'CA Population'!$L466*10^6</f>
        <v>14997.398225749166</v>
      </c>
      <c r="L466" s="131">
        <f t="shared" si="7"/>
        <v>0</v>
      </c>
    </row>
    <row r="467" spans="1:12" x14ac:dyDescent="0.2">
      <c r="A467" s="132" t="s">
        <v>356</v>
      </c>
      <c r="B467" s="129">
        <v>2013</v>
      </c>
      <c r="C467" s="143">
        <f>(INDEX(Production_Consumption!$AA$83:$AJ$99,MATCH('County Scaled Consumption '!$B467,Production_Consumption!$AA$83:$AA$99,0),MATCH('County Scaled Consumption '!C$2,Production_Consumption!$AA$83:$AJ$83,0)))*'CA Population'!$L467*10^6</f>
        <v>748.0334038905072</v>
      </c>
      <c r="D467" s="143">
        <f>(INDEX(Production_Consumption!$AA$83:$AJ$99,MATCH('County Scaled Consumption '!$B467,Production_Consumption!$AA$83:$AA$99,0),MATCH('County Scaled Consumption '!D$2,Production_Consumption!$AA$83:$AJ$83,0)))*'CA Population'!$L467*10^6</f>
        <v>3032.0762571735945</v>
      </c>
      <c r="E467" s="143">
        <f>(INDEX(Production_Consumption!$AA$83:$AJ$99,MATCH('County Scaled Consumption '!$B467,Production_Consumption!$AA$83:$AA$99,0),MATCH('County Scaled Consumption '!E$2,Production_Consumption!$AA$83:$AJ$83,0)))*'CA Population'!$L467*10^6</f>
        <v>1799.9148802528432</v>
      </c>
      <c r="F467" s="143">
        <f>(INDEX(Production_Consumption!$AA$83:$AJ$99,MATCH('County Scaled Consumption '!$B467,Production_Consumption!$AA$83:$AA$99,0),MATCH('County Scaled Consumption '!F$2,Production_Consumption!$AA$83:$AJ$83,0)))*'CA Population'!$L467*10^6</f>
        <v>497.61369877677782</v>
      </c>
      <c r="G467" s="143">
        <f>(INDEX(Production_Consumption!$AA$83:$AJ$99,MATCH('County Scaled Consumption '!$B467,Production_Consumption!$AA$83:$AA$99,0),MATCH('County Scaled Consumption '!G$2,Production_Consumption!$AA$83:$AJ$83,0)))*'CA Population'!$L467*10^6</f>
        <v>1956.0310270809305</v>
      </c>
      <c r="H467" s="143">
        <f>(INDEX(Production_Consumption!$AA$83:$AJ$99,MATCH('County Scaled Consumption '!$B467,Production_Consumption!$AA$83:$AA$99,0),MATCH('County Scaled Consumption '!H$2,Production_Consumption!$AA$83:$AJ$83,0)))*'CA Population'!$L467*10^6</f>
        <v>52.868866231494387</v>
      </c>
      <c r="I467" s="143">
        <f>(INDEX(Production_Consumption!$AA$83:$AJ$99,MATCH('County Scaled Consumption '!$B467,Production_Consumption!$AA$83:$AA$99,0),MATCH('County Scaled Consumption '!I$2,Production_Consumption!$AA$83:$AJ$83,0)))*'CA Population'!$L467*10^6</f>
        <v>1113.1867248666199</v>
      </c>
      <c r="J467" s="143">
        <f>(INDEX(Production_Consumption!$AA$83:$AJ$99,MATCH('County Scaled Consumption '!$B467,Production_Consumption!$AA$83:$AA$99,0),MATCH('County Scaled Consumption '!J$2,Production_Consumption!$AA$83:$AJ$83,0)))*'CA Population'!$L467*10^6</f>
        <v>776.61760956147384</v>
      </c>
      <c r="K467" s="143">
        <f>(INDEX(Production_Consumption!$AA$83:$AJ$99,MATCH('County Scaled Consumption '!$B467,Production_Consumption!$AA$83:$AA$99,0),MATCH('County Scaled Consumption '!K$2,Production_Consumption!$AA$83:$AJ$83,0)))*'CA Population'!$L467*10^6</f>
        <v>9976.3424678342399</v>
      </c>
      <c r="L467" s="131">
        <f t="shared" si="7"/>
        <v>0</v>
      </c>
    </row>
    <row r="468" spans="1:12" x14ac:dyDescent="0.2">
      <c r="A468" s="132" t="s">
        <v>357</v>
      </c>
      <c r="B468" s="129">
        <v>2013</v>
      </c>
      <c r="C468" s="143">
        <f>(INDEX(Production_Consumption!$AA$83:$AJ$99,MATCH('County Scaled Consumption '!$B468,Production_Consumption!$AA$83:$AA$99,0),MATCH('County Scaled Consumption '!C$2,Production_Consumption!$AA$83:$AJ$83,0)))*'CA Population'!$L468*10^6</f>
        <v>162.77212558747038</v>
      </c>
      <c r="D468" s="143">
        <f>(INDEX(Production_Consumption!$AA$83:$AJ$99,MATCH('County Scaled Consumption '!$B468,Production_Consumption!$AA$83:$AA$99,0),MATCH('County Scaled Consumption '!D$2,Production_Consumption!$AA$83:$AJ$83,0)))*'CA Population'!$L468*10^6</f>
        <v>659.78002420288783</v>
      </c>
      <c r="E468" s="143">
        <f>(INDEX(Production_Consumption!$AA$83:$AJ$99,MATCH('County Scaled Consumption '!$B468,Production_Consumption!$AA$83:$AA$99,0),MATCH('County Scaled Consumption '!E$2,Production_Consumption!$AA$83:$AJ$83,0)))*'CA Population'!$L468*10^6</f>
        <v>391.66161485771909</v>
      </c>
      <c r="F468" s="143">
        <f>(INDEX(Production_Consumption!$AA$83:$AJ$99,MATCH('County Scaled Consumption '!$B468,Production_Consumption!$AA$83:$AA$99,0),MATCH('County Scaled Consumption '!F$2,Production_Consumption!$AA$83:$AJ$83,0)))*'CA Population'!$L468*10^6</f>
        <v>108.28077870596711</v>
      </c>
      <c r="G468" s="143">
        <f>(INDEX(Production_Consumption!$AA$83:$AJ$99,MATCH('County Scaled Consumption '!$B468,Production_Consumption!$AA$83:$AA$99,0),MATCH('County Scaled Consumption '!G$2,Production_Consumption!$AA$83:$AJ$83,0)))*'CA Population'!$L468*10^6</f>
        <v>425.63250028284773</v>
      </c>
      <c r="H468" s="143">
        <f>(INDEX(Production_Consumption!$AA$83:$AJ$99,MATCH('County Scaled Consumption '!$B468,Production_Consumption!$AA$83:$AA$99,0),MATCH('County Scaled Consumption '!H$2,Production_Consumption!$AA$83:$AJ$83,0)))*'CA Population'!$L468*10^6</f>
        <v>11.504269313566123</v>
      </c>
      <c r="I468" s="143">
        <f>(INDEX(Production_Consumption!$AA$83:$AJ$99,MATCH('County Scaled Consumption '!$B468,Production_Consumption!$AA$83:$AA$99,0),MATCH('County Scaled Consumption '!I$2,Production_Consumption!$AA$83:$AJ$83,0)))*'CA Population'!$L468*10^6</f>
        <v>242.22951600810686</v>
      </c>
      <c r="J468" s="143">
        <f>(INDEX(Production_Consumption!$AA$83:$AJ$99,MATCH('County Scaled Consumption '!$B468,Production_Consumption!$AA$83:$AA$99,0),MATCH('County Scaled Consumption '!J$2,Production_Consumption!$AA$83:$AJ$83,0)))*'CA Population'!$L468*10^6</f>
        <v>168.99205091579663</v>
      </c>
      <c r="K468" s="143">
        <f>(INDEX(Production_Consumption!$AA$83:$AJ$99,MATCH('County Scaled Consumption '!$B468,Production_Consumption!$AA$83:$AA$99,0),MATCH('County Scaled Consumption '!K$2,Production_Consumption!$AA$83:$AJ$83,0)))*'CA Population'!$L468*10^6</f>
        <v>2170.8528798743614</v>
      </c>
      <c r="L468" s="131">
        <f t="shared" si="7"/>
        <v>0</v>
      </c>
    </row>
    <row r="469" spans="1:12" x14ac:dyDescent="0.2">
      <c r="A469" s="132" t="s">
        <v>358</v>
      </c>
      <c r="B469" s="129">
        <v>2013</v>
      </c>
      <c r="C469" s="143">
        <f>(INDEX(Production_Consumption!$AA$83:$AJ$99,MATCH('County Scaled Consumption '!$B469,Production_Consumption!$AA$83:$AA$99,0),MATCH('County Scaled Consumption '!C$2,Production_Consumption!$AA$83:$AJ$83,0)))*'CA Population'!$L469*10^6</f>
        <v>5399.9543010874986</v>
      </c>
      <c r="D469" s="143">
        <f>(INDEX(Production_Consumption!$AA$83:$AJ$99,MATCH('County Scaled Consumption '!$B469,Production_Consumption!$AA$83:$AA$99,0),MATCH('County Scaled Consumption '!D$2,Production_Consumption!$AA$83:$AJ$83,0)))*'CA Population'!$L469*10^6</f>
        <v>21888.157856312031</v>
      </c>
      <c r="E469" s="143">
        <f>(INDEX(Production_Consumption!$AA$83:$AJ$99,MATCH('County Scaled Consumption '!$B469,Production_Consumption!$AA$83:$AA$99,0),MATCH('County Scaled Consumption '!E$2,Production_Consumption!$AA$83:$AJ$83,0)))*'CA Population'!$L469*10^6</f>
        <v>12993.347688301106</v>
      </c>
      <c r="F469" s="143">
        <f>(INDEX(Production_Consumption!$AA$83:$AJ$99,MATCH('County Scaled Consumption '!$B469,Production_Consumption!$AA$83:$AA$99,0),MATCH('County Scaled Consumption '!F$2,Production_Consumption!$AA$83:$AJ$83,0)))*'CA Population'!$L469*10^6</f>
        <v>3592.2075391475983</v>
      </c>
      <c r="G469" s="143">
        <f>(INDEX(Production_Consumption!$AA$83:$AJ$99,MATCH('County Scaled Consumption '!$B469,Production_Consumption!$AA$83:$AA$99,0),MATCH('County Scaled Consumption '!G$2,Production_Consumption!$AA$83:$AJ$83,0)))*'CA Population'!$L469*10^6</f>
        <v>14120.329523803381</v>
      </c>
      <c r="H469" s="143">
        <f>(INDEX(Production_Consumption!$AA$83:$AJ$99,MATCH('County Scaled Consumption '!$B469,Production_Consumption!$AA$83:$AA$99,0),MATCH('County Scaled Consumption '!H$2,Production_Consumption!$AA$83:$AJ$83,0)))*'CA Population'!$L469*10^6</f>
        <v>381.65335948308262</v>
      </c>
      <c r="I469" s="143">
        <f>(INDEX(Production_Consumption!$AA$83:$AJ$99,MATCH('County Scaled Consumption '!$B469,Production_Consumption!$AA$83:$AA$99,0),MATCH('County Scaled Consumption '!I$2,Production_Consumption!$AA$83:$AJ$83,0)))*'CA Population'!$L469*10^6</f>
        <v>8035.9478755802838</v>
      </c>
      <c r="J469" s="143">
        <f>(INDEX(Production_Consumption!$AA$83:$AJ$99,MATCH('County Scaled Consumption '!$B469,Production_Consumption!$AA$83:$AA$99,0),MATCH('County Scaled Consumption '!J$2,Production_Consumption!$AA$83:$AJ$83,0)))*'CA Population'!$L469*10^6</f>
        <v>5606.2999048443853</v>
      </c>
      <c r="K469" s="143">
        <f>(INDEX(Production_Consumption!$AA$83:$AJ$99,MATCH('County Scaled Consumption '!$B469,Production_Consumption!$AA$83:$AA$99,0),MATCH('County Scaled Consumption '!K$2,Production_Consumption!$AA$83:$AJ$83,0)))*'CA Population'!$L469*10^6</f>
        <v>72017.898048559364</v>
      </c>
      <c r="L469" s="131">
        <f t="shared" si="7"/>
        <v>0</v>
      </c>
    </row>
    <row r="470" spans="1:12" x14ac:dyDescent="0.2">
      <c r="A470" s="132" t="s">
        <v>359</v>
      </c>
      <c r="B470" s="129">
        <v>2013</v>
      </c>
      <c r="C470" s="143">
        <f>(INDEX(Production_Consumption!$AA$83:$AJ$99,MATCH('County Scaled Consumption '!$B470,Production_Consumption!$AA$83:$AA$99,0),MATCH('County Scaled Consumption '!C$2,Production_Consumption!$AA$83:$AJ$83,0)))*'CA Population'!$L470*10^6</f>
        <v>651.25446329651504</v>
      </c>
      <c r="D470" s="143">
        <f>(INDEX(Production_Consumption!$AA$83:$AJ$99,MATCH('County Scaled Consumption '!$B470,Production_Consumption!$AA$83:$AA$99,0),MATCH('County Scaled Consumption '!D$2,Production_Consumption!$AA$83:$AJ$83,0)))*'CA Population'!$L470*10^6</f>
        <v>2639.7928023929981</v>
      </c>
      <c r="E470" s="143">
        <f>(INDEX(Production_Consumption!$AA$83:$AJ$99,MATCH('County Scaled Consumption '!$B470,Production_Consumption!$AA$83:$AA$99,0),MATCH('County Scaled Consumption '!E$2,Production_Consumption!$AA$83:$AJ$83,0)))*'CA Population'!$L470*10^6</f>
        <v>1567.0457939737364</v>
      </c>
      <c r="F470" s="143">
        <f>(INDEX(Production_Consumption!$AA$83:$AJ$99,MATCH('County Scaled Consumption '!$B470,Production_Consumption!$AA$83:$AA$99,0),MATCH('County Scaled Consumption '!F$2,Production_Consumption!$AA$83:$AJ$83,0)))*'CA Population'!$L470*10^6</f>
        <v>433.233516899601</v>
      </c>
      <c r="G470" s="143">
        <f>(INDEX(Production_Consumption!$AA$83:$AJ$99,MATCH('County Scaled Consumption '!$B470,Production_Consumption!$AA$83:$AA$99,0),MATCH('County Scaled Consumption '!G$2,Production_Consumption!$AA$83:$AJ$83,0)))*'CA Population'!$L470*10^6</f>
        <v>1702.9639720733442</v>
      </c>
      <c r="H470" s="143">
        <f>(INDEX(Production_Consumption!$AA$83:$AJ$99,MATCH('County Scaled Consumption '!$B470,Production_Consumption!$AA$83:$AA$99,0),MATCH('County Scaled Consumption '!H$2,Production_Consumption!$AA$83:$AJ$83,0)))*'CA Population'!$L470*10^6</f>
        <v>46.028806900349259</v>
      </c>
      <c r="I470" s="143">
        <f>(INDEX(Production_Consumption!$AA$83:$AJ$99,MATCH('County Scaled Consumption '!$B470,Production_Consumption!$AA$83:$AA$99,0),MATCH('County Scaled Consumption '!I$2,Production_Consumption!$AA$83:$AJ$83,0)))*'CA Population'!$L470*10^6</f>
        <v>969.16503899594898</v>
      </c>
      <c r="J470" s="143">
        <f>(INDEX(Production_Consumption!$AA$83:$AJ$99,MATCH('County Scaled Consumption '!$B470,Production_Consumption!$AA$83:$AA$99,0),MATCH('County Scaled Consumption '!J$2,Production_Consumption!$AA$83:$AJ$83,0)))*'CA Population'!$L470*10^6</f>
        <v>676.14050638788399</v>
      </c>
      <c r="K470" s="143">
        <f>(INDEX(Production_Consumption!$AA$83:$AJ$99,MATCH('County Scaled Consumption '!$B470,Production_Consumption!$AA$83:$AA$99,0),MATCH('County Scaled Consumption '!K$2,Production_Consumption!$AA$83:$AJ$83,0)))*'CA Population'!$L470*10^6</f>
        <v>8685.6249009203766</v>
      </c>
      <c r="L470" s="131">
        <f t="shared" si="7"/>
        <v>0</v>
      </c>
    </row>
    <row r="471" spans="1:12" x14ac:dyDescent="0.2">
      <c r="A471" s="132" t="s">
        <v>360</v>
      </c>
      <c r="B471" s="129">
        <v>2013</v>
      </c>
      <c r="C471" s="143">
        <f>(INDEX(Production_Consumption!$AA$83:$AJ$99,MATCH('County Scaled Consumption '!$B471,Production_Consumption!$AA$83:$AA$99,0),MATCH('County Scaled Consumption '!C$2,Production_Consumption!$AA$83:$AJ$83,0)))*'CA Population'!$L471*10^6</f>
        <v>9965.2080210818112</v>
      </c>
      <c r="D471" s="143">
        <f>(INDEX(Production_Consumption!$AA$83:$AJ$99,MATCH('County Scaled Consumption '!$B471,Production_Consumption!$AA$83:$AA$99,0),MATCH('County Scaled Consumption '!D$2,Production_Consumption!$AA$83:$AJ$83,0)))*'CA Population'!$L471*10^6</f>
        <v>40392.94299073943</v>
      </c>
      <c r="E471" s="143">
        <f>(INDEX(Production_Consumption!$AA$83:$AJ$99,MATCH('County Scaled Consumption '!$B471,Production_Consumption!$AA$83:$AA$99,0),MATCH('County Scaled Consumption '!E$2,Production_Consumption!$AA$83:$AJ$83,0)))*'CA Population'!$L471*10^6</f>
        <v>23978.242293288793</v>
      </c>
      <c r="F471" s="143">
        <f>(INDEX(Production_Consumption!$AA$83:$AJ$99,MATCH('County Scaled Consumption '!$B471,Production_Consumption!$AA$83:$AA$99,0),MATCH('County Scaled Consumption '!F$2,Production_Consumption!$AA$83:$AJ$83,0)))*'CA Population'!$L471*10^6</f>
        <v>6629.147838398374</v>
      </c>
      <c r="G471" s="143">
        <f>(INDEX(Production_Consumption!$AA$83:$AJ$99,MATCH('County Scaled Consumption '!$B471,Production_Consumption!$AA$83:$AA$99,0),MATCH('County Scaled Consumption '!G$2,Production_Consumption!$AA$83:$AJ$83,0)))*'CA Population'!$L471*10^6</f>
        <v>26058.002195052963</v>
      </c>
      <c r="H471" s="143">
        <f>(INDEX(Production_Consumption!$AA$83:$AJ$99,MATCH('County Scaled Consumption '!$B471,Production_Consumption!$AA$83:$AA$99,0),MATCH('County Scaled Consumption '!H$2,Production_Consumption!$AA$83:$AJ$83,0)))*'CA Population'!$L471*10^6</f>
        <v>704.31246398283338</v>
      </c>
      <c r="I471" s="143">
        <f>(INDEX(Production_Consumption!$AA$83:$AJ$99,MATCH('County Scaled Consumption '!$B471,Production_Consumption!$AA$83:$AA$99,0),MATCH('County Scaled Consumption '!I$2,Production_Consumption!$AA$83:$AJ$83,0)))*'CA Population'!$L471*10^6</f>
        <v>14829.735172129263</v>
      </c>
      <c r="J471" s="143">
        <f>(INDEX(Production_Consumption!$AA$83:$AJ$99,MATCH('County Scaled Consumption '!$B471,Production_Consumption!$AA$83:$AA$99,0),MATCH('County Scaled Consumption '!J$2,Production_Consumption!$AA$83:$AJ$83,0)))*'CA Population'!$L471*10^6</f>
        <v>10346.003255822776</v>
      </c>
      <c r="K471" s="143">
        <f>(INDEX(Production_Consumption!$AA$83:$AJ$99,MATCH('County Scaled Consumption '!$B471,Production_Consumption!$AA$83:$AA$99,0),MATCH('County Scaled Consumption '!K$2,Production_Consumption!$AA$83:$AJ$83,0)))*'CA Population'!$L471*10^6</f>
        <v>132903.59423049621</v>
      </c>
      <c r="L471" s="131">
        <f t="shared" si="7"/>
        <v>0</v>
      </c>
    </row>
    <row r="472" spans="1:12" x14ac:dyDescent="0.2">
      <c r="A472" s="132" t="s">
        <v>361</v>
      </c>
      <c r="B472" s="129">
        <v>2013</v>
      </c>
      <c r="C472" s="143">
        <f>(INDEX(Production_Consumption!$AA$83:$AJ$99,MATCH('County Scaled Consumption '!$B472,Production_Consumption!$AA$83:$AA$99,0),MATCH('County Scaled Consumption '!C$2,Production_Consumption!$AA$83:$AJ$83,0)))*'CA Population'!$L472*10^6</f>
        <v>2463.3464765277063</v>
      </c>
      <c r="D472" s="143">
        <f>(INDEX(Production_Consumption!$AA$83:$AJ$99,MATCH('County Scaled Consumption '!$B472,Production_Consumption!$AA$83:$AA$99,0),MATCH('County Scaled Consumption '!D$2,Production_Consumption!$AA$83:$AJ$83,0)))*'CA Population'!$L472*10^6</f>
        <v>9984.9208950101456</v>
      </c>
      <c r="E472" s="143">
        <f>(INDEX(Production_Consumption!$AA$83:$AJ$99,MATCH('County Scaled Consumption '!$B472,Production_Consumption!$AA$83:$AA$99,0),MATCH('County Scaled Consumption '!E$2,Production_Consumption!$AA$83:$AJ$83,0)))*'CA Population'!$L472*10^6</f>
        <v>5927.2940957722585</v>
      </c>
      <c r="F472" s="143">
        <f>(INDEX(Production_Consumption!$AA$83:$AJ$99,MATCH('County Scaled Consumption '!$B472,Production_Consumption!$AA$83:$AA$99,0),MATCH('County Scaled Consumption '!F$2,Production_Consumption!$AA$83:$AJ$83,0)))*'CA Population'!$L472*10^6</f>
        <v>1638.6901242355746</v>
      </c>
      <c r="G472" s="143">
        <f>(INDEX(Production_Consumption!$AA$83:$AJ$99,MATCH('County Scaled Consumption '!$B472,Production_Consumption!$AA$83:$AA$99,0),MATCH('County Scaled Consumption '!G$2,Production_Consumption!$AA$83:$AJ$83,0)))*'CA Population'!$L472*10^6</f>
        <v>6441.3996934874394</v>
      </c>
      <c r="H472" s="143">
        <f>(INDEX(Production_Consumption!$AA$83:$AJ$99,MATCH('County Scaled Consumption '!$B472,Production_Consumption!$AA$83:$AA$99,0),MATCH('County Scaled Consumption '!H$2,Production_Consumption!$AA$83:$AJ$83,0)))*'CA Population'!$L472*10^6</f>
        <v>174.10229900432262</v>
      </c>
      <c r="I472" s="143">
        <f>(INDEX(Production_Consumption!$AA$83:$AJ$99,MATCH('County Scaled Consumption '!$B472,Production_Consumption!$AA$83:$AA$99,0),MATCH('County Scaled Consumption '!I$2,Production_Consumption!$AA$83:$AJ$83,0)))*'CA Population'!$L472*10^6</f>
        <v>3665.8317424805628</v>
      </c>
      <c r="J472" s="143">
        <f>(INDEX(Production_Consumption!$AA$83:$AJ$99,MATCH('County Scaled Consumption '!$B472,Production_Consumption!$AA$83:$AA$99,0),MATCH('County Scaled Consumption '!J$2,Production_Consumption!$AA$83:$AJ$83,0)))*'CA Population'!$L472*10^6</f>
        <v>2557.4770353472763</v>
      </c>
      <c r="K472" s="143">
        <f>(INDEX(Production_Consumption!$AA$83:$AJ$99,MATCH('County Scaled Consumption '!$B472,Production_Consumption!$AA$83:$AA$99,0),MATCH('County Scaled Consumption '!K$2,Production_Consumption!$AA$83:$AJ$83,0)))*'CA Population'!$L472*10^6</f>
        <v>32853.062361865283</v>
      </c>
      <c r="L472" s="131">
        <f t="shared" si="7"/>
        <v>0</v>
      </c>
    </row>
    <row r="473" spans="1:12" x14ac:dyDescent="0.2">
      <c r="A473" s="132" t="s">
        <v>362</v>
      </c>
      <c r="B473" s="129">
        <v>2013</v>
      </c>
      <c r="C473" s="143">
        <f>(INDEX(Production_Consumption!$AA$83:$AJ$99,MATCH('County Scaled Consumption '!$B473,Production_Consumption!$AA$83:$AA$99,0),MATCH('County Scaled Consumption '!C$2,Production_Consumption!$AA$83:$AJ$83,0)))*'CA Population'!$L473*10^6</f>
        <v>869.6590690662008</v>
      </c>
      <c r="D473" s="143">
        <f>(INDEX(Production_Consumption!$AA$83:$AJ$99,MATCH('County Scaled Consumption '!$B473,Production_Consumption!$AA$83:$AA$99,0),MATCH('County Scaled Consumption '!D$2,Production_Consumption!$AA$83:$AJ$83,0)))*'CA Population'!$L473*10^6</f>
        <v>3525.0733475764523</v>
      </c>
      <c r="E473" s="143">
        <f>(INDEX(Production_Consumption!$AA$83:$AJ$99,MATCH('County Scaled Consumption '!$B473,Production_Consumption!$AA$83:$AA$99,0),MATCH('County Scaled Consumption '!E$2,Production_Consumption!$AA$83:$AJ$83,0)))*'CA Population'!$L473*10^6</f>
        <v>2092.5700523772475</v>
      </c>
      <c r="F473" s="143">
        <f>(INDEX(Production_Consumption!$AA$83:$AJ$99,MATCH('County Scaled Consumption '!$B473,Production_Consumption!$AA$83:$AA$99,0),MATCH('County Scaled Consumption '!F$2,Production_Consumption!$AA$83:$AJ$83,0)))*'CA Population'!$L473*10^6</f>
        <v>578.52264856362683</v>
      </c>
      <c r="G473" s="143">
        <f>(INDEX(Production_Consumption!$AA$83:$AJ$99,MATCH('County Scaled Consumption '!$B473,Production_Consumption!$AA$83:$AA$99,0),MATCH('County Scaled Consumption '!G$2,Production_Consumption!$AA$83:$AJ$83,0)))*'CA Population'!$L473*10^6</f>
        <v>2274.0697316838014</v>
      </c>
      <c r="H473" s="143">
        <f>(INDEX(Production_Consumption!$AA$83:$AJ$99,MATCH('County Scaled Consumption '!$B473,Production_Consumption!$AA$83:$AA$99,0),MATCH('County Scaled Consumption '!H$2,Production_Consumption!$AA$83:$AJ$83,0)))*'CA Population'!$L473*10^6</f>
        <v>61.465021147901673</v>
      </c>
      <c r="I473" s="143">
        <f>(INDEX(Production_Consumption!$AA$83:$AJ$99,MATCH('County Scaled Consumption '!$B473,Production_Consumption!$AA$83:$AA$99,0),MATCH('County Scaled Consumption '!I$2,Production_Consumption!$AA$83:$AJ$83,0)))*'CA Population'!$L473*10^6</f>
        <v>1294.1840909902216</v>
      </c>
      <c r="J473" s="143">
        <f>(INDEX(Production_Consumption!$AA$83:$AJ$99,MATCH('County Scaled Consumption '!$B473,Production_Consumption!$AA$83:$AA$99,0),MATCH('County Scaled Consumption '!J$2,Production_Consumption!$AA$83:$AJ$83,0)))*'CA Population'!$L473*10^6</f>
        <v>902.89089208977282</v>
      </c>
      <c r="K473" s="143">
        <f>(INDEX(Production_Consumption!$AA$83:$AJ$99,MATCH('County Scaled Consumption '!$B473,Production_Consumption!$AA$83:$AA$99,0),MATCH('County Scaled Consumption '!K$2,Production_Consumption!$AA$83:$AJ$83,0)))*'CA Population'!$L473*10^6</f>
        <v>11598.434853495224</v>
      </c>
      <c r="L473" s="131">
        <f t="shared" si="7"/>
        <v>0</v>
      </c>
    </row>
    <row r="474" spans="1:12" x14ac:dyDescent="0.2">
      <c r="A474" s="132" t="s">
        <v>363</v>
      </c>
      <c r="B474" s="129">
        <v>2013</v>
      </c>
      <c r="C474" s="143">
        <f>(INDEX(Production_Consumption!$AA$83:$AJ$99,MATCH('County Scaled Consumption '!$B474,Production_Consumption!$AA$83:$AA$99,0),MATCH('County Scaled Consumption '!C$2,Production_Consumption!$AA$83:$AJ$83,0)))*'CA Population'!$L474*10^6</f>
        <v>453664.48978394957</v>
      </c>
      <c r="D474" s="143">
        <f>(INDEX(Production_Consumption!$AA$83:$AJ$99,MATCH('County Scaled Consumption '!$B474,Production_Consumption!$AA$83:$AA$99,0),MATCH('County Scaled Consumption '!D$2,Production_Consumption!$AA$83:$AJ$83,0)))*'CA Population'!$L474*10^6</f>
        <v>1838882.2224281719</v>
      </c>
      <c r="E474" s="143">
        <f>(INDEX(Production_Consumption!$AA$83:$AJ$99,MATCH('County Scaled Consumption '!$B474,Production_Consumption!$AA$83:$AA$99,0),MATCH('County Scaled Consumption '!E$2,Production_Consumption!$AA$83:$AJ$83,0)))*'CA Population'!$L474*10^6</f>
        <v>1091605.6175533675</v>
      </c>
      <c r="F474" s="143">
        <f>(INDEX(Production_Consumption!$AA$83:$AJ$99,MATCH('County Scaled Consumption '!$B474,Production_Consumption!$AA$83:$AA$99,0),MATCH('County Scaled Consumption '!F$2,Production_Consumption!$AA$83:$AJ$83,0)))*'CA Population'!$L474*10^6</f>
        <v>301790.88740014983</v>
      </c>
      <c r="G474" s="143">
        <f>(INDEX(Production_Consumption!$AA$83:$AJ$99,MATCH('County Scaled Consumption '!$B474,Production_Consumption!$AA$83:$AA$99,0),MATCH('County Scaled Consumption '!G$2,Production_Consumption!$AA$83:$AJ$83,0)))*'CA Population'!$L474*10^6</f>
        <v>1186286.3520358708</v>
      </c>
      <c r="H474" s="143">
        <f>(INDEX(Production_Consumption!$AA$83:$AJ$99,MATCH('County Scaled Consumption '!$B474,Production_Consumption!$AA$83:$AA$99,0),MATCH('County Scaled Consumption '!H$2,Production_Consumption!$AA$83:$AJ$83,0)))*'CA Population'!$L474*10^6</f>
        <v>32063.711459438411</v>
      </c>
      <c r="I474" s="143">
        <f>(INDEX(Production_Consumption!$AA$83:$AJ$99,MATCH('County Scaled Consumption '!$B474,Production_Consumption!$AA$83:$AA$99,0),MATCH('County Scaled Consumption '!I$2,Production_Consumption!$AA$83:$AJ$83,0)))*'CA Population'!$L474*10^6</f>
        <v>675121.30466943933</v>
      </c>
      <c r="J474" s="143">
        <f>(INDEX(Production_Consumption!$AA$83:$AJ$99,MATCH('County Scaled Consumption '!$B474,Production_Consumption!$AA$83:$AA$99,0),MATCH('County Scaled Consumption '!J$2,Production_Consumption!$AA$83:$AJ$83,0)))*'CA Population'!$L474*10^6</f>
        <v>471000.1315001538</v>
      </c>
      <c r="K474" s="143">
        <f>(INDEX(Production_Consumption!$AA$83:$AJ$99,MATCH('County Scaled Consumption '!$B474,Production_Consumption!$AA$83:$AA$99,0),MATCH('County Scaled Consumption '!K$2,Production_Consumption!$AA$83:$AJ$83,0)))*'CA Population'!$L474*10^6</f>
        <v>6050414.7168305395</v>
      </c>
      <c r="L474" s="131">
        <f t="shared" si="7"/>
        <v>0</v>
      </c>
    </row>
    <row r="475" spans="1:12" x14ac:dyDescent="0.2">
      <c r="A475" s="132" t="s">
        <v>305</v>
      </c>
      <c r="B475" s="129">
        <v>2012</v>
      </c>
      <c r="C475" s="143">
        <f>(INDEX(Production_Consumption!$AA$83:$AJ$99,MATCH('County Scaled Consumption '!$B475,Production_Consumption!$AA$83:$AA$99,0),MATCH('County Scaled Consumption '!C$2,Production_Consumption!$AA$83:$AJ$83,0)))*'CA Population'!$L475*10^6</f>
        <v>18190.287430194458</v>
      </c>
      <c r="D475" s="143">
        <f>(INDEX(Production_Consumption!$AA$83:$AJ$99,MATCH('County Scaled Consumption '!$B475,Production_Consumption!$AA$83:$AA$99,0),MATCH('County Scaled Consumption '!D$2,Production_Consumption!$AA$83:$AJ$83,0)))*'CA Population'!$L475*10^6</f>
        <v>81246.659119177581</v>
      </c>
      <c r="E475" s="143">
        <f>(INDEX(Production_Consumption!$AA$83:$AJ$99,MATCH('County Scaled Consumption '!$B475,Production_Consumption!$AA$83:$AA$99,0),MATCH('County Scaled Consumption '!E$2,Production_Consumption!$AA$83:$AJ$83,0)))*'CA Population'!$L475*10^6</f>
        <v>37847.169187038984</v>
      </c>
      <c r="F475" s="143">
        <f>(INDEX(Production_Consumption!$AA$83:$AJ$99,MATCH('County Scaled Consumption '!$B475,Production_Consumption!$AA$83:$AA$99,0),MATCH('County Scaled Consumption '!F$2,Production_Consumption!$AA$83:$AJ$83,0)))*'CA Population'!$L475*10^6</f>
        <v>17139.396688584835</v>
      </c>
      <c r="G475" s="143">
        <f>(INDEX(Production_Consumption!$AA$83:$AJ$99,MATCH('County Scaled Consumption '!$B475,Production_Consumption!$AA$83:$AA$99,0),MATCH('County Scaled Consumption '!G$2,Production_Consumption!$AA$83:$AJ$83,0)))*'CA Population'!$L475*10^6</f>
        <v>46978.33282568118</v>
      </c>
      <c r="H475" s="143">
        <f>(INDEX(Production_Consumption!$AA$83:$AJ$99,MATCH('County Scaled Consumption '!$B475,Production_Consumption!$AA$83:$AA$99,0),MATCH('County Scaled Consumption '!H$2,Production_Consumption!$AA$83:$AJ$83,0)))*'CA Population'!$L475*10^6</f>
        <v>1296.4833488303116</v>
      </c>
      <c r="I475" s="143">
        <f>(INDEX(Production_Consumption!$AA$83:$AJ$99,MATCH('County Scaled Consumption '!$B475,Production_Consumption!$AA$83:$AA$99,0),MATCH('County Scaled Consumption '!I$2,Production_Consumption!$AA$83:$AJ$83,0)))*'CA Population'!$L475*10^6</f>
        <v>25902.03712142953</v>
      </c>
      <c r="J475" s="143">
        <f>(INDEX(Production_Consumption!$AA$83:$AJ$99,MATCH('County Scaled Consumption '!$B475,Production_Consumption!$AA$83:$AA$99,0),MATCH('County Scaled Consumption '!J$2,Production_Consumption!$AA$83:$AJ$83,0)))*'CA Population'!$L475*10^6</f>
        <v>16656.559710525078</v>
      </c>
      <c r="K475" s="143">
        <f>(INDEX(Production_Consumption!$AA$83:$AJ$99,MATCH('County Scaled Consumption '!$B475,Production_Consumption!$AA$83:$AA$99,0),MATCH('County Scaled Consumption '!K$2,Production_Consumption!$AA$83:$AJ$83,0)))*'CA Population'!$L475*10^6</f>
        <v>245256.92543146198</v>
      </c>
      <c r="L475" s="131">
        <f t="shared" si="7"/>
        <v>0</v>
      </c>
    </row>
    <row r="476" spans="1:12" x14ac:dyDescent="0.2">
      <c r="A476" s="132" t="s">
        <v>306</v>
      </c>
      <c r="B476" s="129">
        <v>2012</v>
      </c>
      <c r="C476" s="143">
        <f>(INDEX(Production_Consumption!$AA$83:$AJ$99,MATCH('County Scaled Consumption '!$B476,Production_Consumption!$AA$83:$AA$99,0),MATCH('County Scaled Consumption '!C$2,Production_Consumption!$AA$83:$AJ$83,0)))*'CA Population'!$L476*10^6</f>
        <v>13.719931369929133</v>
      </c>
      <c r="D476" s="143">
        <f>(INDEX(Production_Consumption!$AA$83:$AJ$99,MATCH('County Scaled Consumption '!$B476,Production_Consumption!$AA$83:$AA$99,0),MATCH('County Scaled Consumption '!D$2,Production_Consumption!$AA$83:$AJ$83,0)))*'CA Population'!$L476*10^6</f>
        <v>61.279877595602521</v>
      </c>
      <c r="E476" s="143">
        <f>(INDEX(Production_Consumption!$AA$83:$AJ$99,MATCH('County Scaled Consumption '!$B476,Production_Consumption!$AA$83:$AA$99,0),MATCH('County Scaled Consumption '!E$2,Production_Consumption!$AA$83:$AJ$83,0)))*'CA Population'!$L476*10^6</f>
        <v>28.546034018700521</v>
      </c>
      <c r="F476" s="143">
        <f>(INDEX(Production_Consumption!$AA$83:$AJ$99,MATCH('County Scaled Consumption '!$B476,Production_Consumption!$AA$83:$AA$99,0),MATCH('County Scaled Consumption '!F$2,Production_Consumption!$AA$83:$AJ$83,0)))*'CA Population'!$L476*10^6</f>
        <v>12.927302396499888</v>
      </c>
      <c r="G476" s="143">
        <f>(INDEX(Production_Consumption!$AA$83:$AJ$99,MATCH('County Scaled Consumption '!$B476,Production_Consumption!$AA$83:$AA$99,0),MATCH('County Scaled Consumption '!G$2,Production_Consumption!$AA$83:$AJ$83,0)))*'CA Population'!$L476*10^6</f>
        <v>35.433167546992664</v>
      </c>
      <c r="H476" s="143">
        <f>(INDEX(Production_Consumption!$AA$83:$AJ$99,MATCH('County Scaled Consumption '!$B476,Production_Consumption!$AA$83:$AA$99,0),MATCH('County Scaled Consumption '!H$2,Production_Consumption!$AA$83:$AJ$83,0)))*'CA Population'!$L476*10^6</f>
        <v>0.97786594282626005</v>
      </c>
      <c r="I476" s="143">
        <f>(INDEX(Production_Consumption!$AA$83:$AJ$99,MATCH('County Scaled Consumption '!$B476,Production_Consumption!$AA$83:$AA$99,0),MATCH('County Scaled Consumption '!I$2,Production_Consumption!$AA$83:$AJ$83,0)))*'CA Population'!$L476*10^6</f>
        <v>19.536479179404086</v>
      </c>
      <c r="J476" s="143">
        <f>(INDEX(Production_Consumption!$AA$83:$AJ$99,MATCH('County Scaled Consumption '!$B476,Production_Consumption!$AA$83:$AA$99,0),MATCH('County Scaled Consumption '!J$2,Production_Consumption!$AA$83:$AJ$83,0)))*'CA Population'!$L476*10^6</f>
        <v>12.563125072350095</v>
      </c>
      <c r="K476" s="143">
        <f>(INDEX(Production_Consumption!$AA$83:$AJ$99,MATCH('County Scaled Consumption '!$B476,Production_Consumption!$AA$83:$AA$99,0),MATCH('County Scaled Consumption '!K$2,Production_Consumption!$AA$83:$AJ$83,0)))*'CA Population'!$L476*10^6</f>
        <v>184.98378312230517</v>
      </c>
      <c r="L476" s="131">
        <f t="shared" si="7"/>
        <v>0</v>
      </c>
    </row>
    <row r="477" spans="1:12" x14ac:dyDescent="0.2">
      <c r="A477" s="132" t="s">
        <v>307</v>
      </c>
      <c r="B477" s="129">
        <v>2012</v>
      </c>
      <c r="C477" s="143">
        <f>(INDEX(Production_Consumption!$AA$83:$AJ$99,MATCH('County Scaled Consumption '!$B477,Production_Consumption!$AA$83:$AA$99,0),MATCH('County Scaled Consumption '!C$2,Production_Consumption!$AA$83:$AJ$83,0)))*'CA Population'!$L477*10^6</f>
        <v>432.74263807194143</v>
      </c>
      <c r="D477" s="143">
        <f>(INDEX(Production_Consumption!$AA$83:$AJ$99,MATCH('County Scaled Consumption '!$B477,Production_Consumption!$AA$83:$AA$99,0),MATCH('County Scaled Consumption '!D$2,Production_Consumption!$AA$83:$AJ$83,0)))*'CA Population'!$L477*10^6</f>
        <v>1932.8388150372846</v>
      </c>
      <c r="E477" s="143">
        <f>(INDEX(Production_Consumption!$AA$83:$AJ$99,MATCH('County Scaled Consumption '!$B477,Production_Consumption!$AA$83:$AA$99,0),MATCH('County Scaled Consumption '!E$2,Production_Consumption!$AA$83:$AJ$83,0)))*'CA Population'!$L477*10^6</f>
        <v>900.37520849549651</v>
      </c>
      <c r="F477" s="143">
        <f>(INDEX(Production_Consumption!$AA$83:$AJ$99,MATCH('County Scaled Consumption '!$B477,Production_Consumption!$AA$83:$AA$99,0),MATCH('County Scaled Consumption '!F$2,Production_Consumption!$AA$83:$AJ$83,0)))*'CA Population'!$L477*10^6</f>
        <v>407.74219574277561</v>
      </c>
      <c r="G477" s="143">
        <f>(INDEX(Production_Consumption!$AA$83:$AJ$99,MATCH('County Scaled Consumption '!$B477,Production_Consumption!$AA$83:$AA$99,0),MATCH('County Scaled Consumption '!G$2,Production_Consumption!$AA$83:$AJ$83,0)))*'CA Population'!$L477*10^6</f>
        <v>1117.6034329980694</v>
      </c>
      <c r="H477" s="143">
        <f>(INDEX(Production_Consumption!$AA$83:$AJ$99,MATCH('County Scaled Consumption '!$B477,Production_Consumption!$AA$83:$AA$99,0),MATCH('County Scaled Consumption '!H$2,Production_Consumption!$AA$83:$AJ$83,0)))*'CA Population'!$L477*10^6</f>
        <v>30.843032400790189</v>
      </c>
      <c r="I477" s="143">
        <f>(INDEX(Production_Consumption!$AA$83:$AJ$99,MATCH('County Scaled Consumption '!$B477,Production_Consumption!$AA$83:$AA$99,0),MATCH('County Scaled Consumption '!I$2,Production_Consumption!$AA$83:$AJ$83,0)))*'CA Population'!$L477*10^6</f>
        <v>616.20334029240485</v>
      </c>
      <c r="J477" s="143">
        <f>(INDEX(Production_Consumption!$AA$83:$AJ$99,MATCH('County Scaled Consumption '!$B477,Production_Consumption!$AA$83:$AA$99,0),MATCH('County Scaled Consumption '!J$2,Production_Consumption!$AA$83:$AJ$83,0)))*'CA Population'!$L477*10^6</f>
        <v>396.25561816965643</v>
      </c>
      <c r="K477" s="143">
        <f>(INDEX(Production_Consumption!$AA$83:$AJ$99,MATCH('County Scaled Consumption '!$B477,Production_Consumption!$AA$83:$AA$99,0),MATCH('County Scaled Consumption '!K$2,Production_Consumption!$AA$83:$AJ$83,0)))*'CA Population'!$L477*10^6</f>
        <v>5834.6042812084197</v>
      </c>
      <c r="L477" s="131">
        <f t="shared" si="7"/>
        <v>0</v>
      </c>
    </row>
    <row r="478" spans="1:12" x14ac:dyDescent="0.2">
      <c r="A478" s="132" t="s">
        <v>308</v>
      </c>
      <c r="B478" s="129">
        <v>2012</v>
      </c>
      <c r="C478" s="143">
        <f>(INDEX(Production_Consumption!$AA$83:$AJ$99,MATCH('County Scaled Consumption '!$B478,Production_Consumption!$AA$83:$AA$99,0),MATCH('County Scaled Consumption '!C$2,Production_Consumption!$AA$83:$AJ$83,0)))*'CA Population'!$L478*10^6</f>
        <v>2604.4336272899777</v>
      </c>
      <c r="D478" s="143">
        <f>(INDEX(Production_Consumption!$AA$83:$AJ$99,MATCH('County Scaled Consumption '!$B478,Production_Consumption!$AA$83:$AA$99,0),MATCH('County Scaled Consumption '!D$2,Production_Consumption!$AA$83:$AJ$83,0)))*'CA Population'!$L478*10^6</f>
        <v>11632.665614931957</v>
      </c>
      <c r="E478" s="143">
        <f>(INDEX(Production_Consumption!$AA$83:$AJ$99,MATCH('County Scaled Consumption '!$B478,Production_Consumption!$AA$83:$AA$99,0),MATCH('County Scaled Consumption '!E$2,Production_Consumption!$AA$83:$AJ$83,0)))*'CA Population'!$L478*10^6</f>
        <v>5418.8500597763059</v>
      </c>
      <c r="F478" s="143">
        <f>(INDEX(Production_Consumption!$AA$83:$AJ$99,MATCH('County Scaled Consumption '!$B478,Production_Consumption!$AA$83:$AA$99,0),MATCH('County Scaled Consumption '!F$2,Production_Consumption!$AA$83:$AJ$83,0)))*'CA Population'!$L478*10^6</f>
        <v>2453.9700792806902</v>
      </c>
      <c r="G478" s="143">
        <f>(INDEX(Production_Consumption!$AA$83:$AJ$99,MATCH('County Scaled Consumption '!$B478,Production_Consumption!$AA$83:$AA$99,0),MATCH('County Scaled Consumption '!G$2,Production_Consumption!$AA$83:$AJ$83,0)))*'CA Population'!$L478*10^6</f>
        <v>6726.2241036461028</v>
      </c>
      <c r="H478" s="143">
        <f>(INDEX(Production_Consumption!$AA$83:$AJ$99,MATCH('County Scaled Consumption '!$B478,Production_Consumption!$AA$83:$AA$99,0),MATCH('County Scaled Consumption '!H$2,Production_Consumption!$AA$83:$AJ$83,0)))*'CA Population'!$L478*10^6</f>
        <v>185.62679912964353</v>
      </c>
      <c r="I478" s="143">
        <f>(INDEX(Production_Consumption!$AA$83:$AJ$99,MATCH('County Scaled Consumption '!$B478,Production_Consumption!$AA$83:$AA$99,0),MATCH('County Scaled Consumption '!I$2,Production_Consumption!$AA$83:$AJ$83,0)))*'CA Population'!$L478*10^6</f>
        <v>3708.5800184985424</v>
      </c>
      <c r="J478" s="143">
        <f>(INDEX(Production_Consumption!$AA$83:$AJ$99,MATCH('County Scaled Consumption '!$B478,Production_Consumption!$AA$83:$AA$99,0),MATCH('County Scaled Consumption '!J$2,Production_Consumption!$AA$83:$AJ$83,0)))*'CA Population'!$L478*10^6</f>
        <v>2384.8388537855658</v>
      </c>
      <c r="K478" s="143">
        <f>(INDEX(Production_Consumption!$AA$83:$AJ$99,MATCH('County Scaled Consumption '!$B478,Production_Consumption!$AA$83:$AA$99,0),MATCH('County Scaled Consumption '!K$2,Production_Consumption!$AA$83:$AJ$83,0)))*'CA Population'!$L478*10^6</f>
        <v>35115.189156338791</v>
      </c>
      <c r="L478" s="131">
        <f t="shared" si="7"/>
        <v>0</v>
      </c>
    </row>
    <row r="479" spans="1:12" x14ac:dyDescent="0.2">
      <c r="A479" s="132" t="s">
        <v>309</v>
      </c>
      <c r="B479" s="129">
        <v>2012</v>
      </c>
      <c r="C479" s="143">
        <f>(INDEX(Production_Consumption!$AA$83:$AJ$99,MATCH('County Scaled Consumption '!$B479,Production_Consumption!$AA$83:$AA$99,0),MATCH('County Scaled Consumption '!C$2,Production_Consumption!$AA$83:$AJ$83,0)))*'CA Population'!$L479*10^6</f>
        <v>535.3361900568575</v>
      </c>
      <c r="D479" s="143">
        <f>(INDEX(Production_Consumption!$AA$83:$AJ$99,MATCH('County Scaled Consumption '!$B479,Production_Consumption!$AA$83:$AA$99,0),MATCH('County Scaled Consumption '!D$2,Production_Consumption!$AA$83:$AJ$83,0)))*'CA Population'!$L479*10^6</f>
        <v>2391.071450334076</v>
      </c>
      <c r="E479" s="143">
        <f>(INDEX(Production_Consumption!$AA$83:$AJ$99,MATCH('County Scaled Consumption '!$B479,Production_Consumption!$AA$83:$AA$99,0),MATCH('County Scaled Consumption '!E$2,Production_Consumption!$AA$83:$AJ$83,0)))*'CA Population'!$L479*10^6</f>
        <v>1113.8339311447676</v>
      </c>
      <c r="F479" s="143">
        <f>(INDEX(Production_Consumption!$AA$83:$AJ$99,MATCH('County Scaled Consumption '!$B479,Production_Consumption!$AA$83:$AA$99,0),MATCH('County Scaled Consumption '!F$2,Production_Consumption!$AA$83:$AJ$83,0)))*'CA Population'!$L479*10^6</f>
        <v>504.40870482946741</v>
      </c>
      <c r="G479" s="143">
        <f>(INDEX(Production_Consumption!$AA$83:$AJ$99,MATCH('County Scaled Consumption '!$B479,Production_Consumption!$AA$83:$AA$99,0),MATCH('County Scaled Consumption '!G$2,Production_Consumption!$AA$83:$AJ$83,0)))*'CA Population'!$L479*10^6</f>
        <v>1382.5620846637892</v>
      </c>
      <c r="H479" s="143">
        <f>(INDEX(Production_Consumption!$AA$83:$AJ$99,MATCH('County Scaled Consumption '!$B479,Production_Consumption!$AA$83:$AA$99,0),MATCH('County Scaled Consumption '!H$2,Production_Consumption!$AA$83:$AJ$83,0)))*'CA Population'!$L479*10^6</f>
        <v>38.155222071032178</v>
      </c>
      <c r="I479" s="143">
        <f>(INDEX(Production_Consumption!$AA$83:$AJ$99,MATCH('County Scaled Consumption '!$B479,Production_Consumption!$AA$83:$AA$99,0),MATCH('County Scaled Consumption '!I$2,Production_Consumption!$AA$83:$AJ$83,0)))*'CA Population'!$L479*10^6</f>
        <v>762.29130081146513</v>
      </c>
      <c r="J479" s="143">
        <f>(INDEX(Production_Consumption!$AA$83:$AJ$99,MATCH('County Scaled Consumption '!$B479,Production_Consumption!$AA$83:$AA$99,0),MATCH('County Scaled Consumption '!J$2,Production_Consumption!$AA$83:$AJ$83,0)))*'CA Population'!$L479*10^6</f>
        <v>490.19891791735841</v>
      </c>
      <c r="K479" s="143">
        <f>(INDEX(Production_Consumption!$AA$83:$AJ$99,MATCH('County Scaled Consumption '!$B479,Production_Consumption!$AA$83:$AA$99,0),MATCH('County Scaled Consumption '!K$2,Production_Consumption!$AA$83:$AJ$83,0)))*'CA Population'!$L479*10^6</f>
        <v>7217.8578018288126</v>
      </c>
      <c r="L479" s="131">
        <f t="shared" si="7"/>
        <v>0</v>
      </c>
    </row>
    <row r="480" spans="1:12" x14ac:dyDescent="0.2">
      <c r="A480" s="132" t="s">
        <v>310</v>
      </c>
      <c r="B480" s="129">
        <v>2012</v>
      </c>
      <c r="C480" s="143">
        <f>(INDEX(Production_Consumption!$AA$83:$AJ$99,MATCH('County Scaled Consumption '!$B480,Production_Consumption!$AA$83:$AA$99,0),MATCH('County Scaled Consumption '!C$2,Production_Consumption!$AA$83:$AJ$83,0)))*'CA Population'!$L480*10^6</f>
        <v>251.10063073266525</v>
      </c>
      <c r="D480" s="143">
        <f>(INDEX(Production_Consumption!$AA$83:$AJ$99,MATCH('County Scaled Consumption '!$B480,Production_Consumption!$AA$83:$AA$99,0),MATCH('County Scaled Consumption '!D$2,Production_Consumption!$AA$83:$AJ$83,0)))*'CA Population'!$L480*10^6</f>
        <v>1121.5373824100841</v>
      </c>
      <c r="E480" s="143">
        <f>(INDEX(Production_Consumption!$AA$83:$AJ$99,MATCH('County Scaled Consumption '!$B480,Production_Consumption!$AA$83:$AA$99,0),MATCH('County Scaled Consumption '!E$2,Production_Consumption!$AA$83:$AJ$83,0)))*'CA Population'!$L480*10^6</f>
        <v>522.44628298376426</v>
      </c>
      <c r="F480" s="143">
        <f>(INDEX(Production_Consumption!$AA$83:$AJ$99,MATCH('County Scaled Consumption '!$B480,Production_Consumption!$AA$83:$AA$99,0),MATCH('County Scaled Consumption '!F$2,Production_Consumption!$AA$83:$AJ$83,0)))*'CA Population'!$L480*10^6</f>
        <v>236.59402499254514</v>
      </c>
      <c r="G480" s="143">
        <f>(INDEX(Production_Consumption!$AA$83:$AJ$99,MATCH('County Scaled Consumption '!$B480,Production_Consumption!$AA$83:$AA$99,0),MATCH('County Scaled Consumption '!G$2,Production_Consumption!$AA$83:$AJ$83,0)))*'CA Population'!$L480*10^6</f>
        <v>648.49382114307321</v>
      </c>
      <c r="H480" s="143">
        <f>(INDEX(Production_Consumption!$AA$83:$AJ$99,MATCH('County Scaled Consumption '!$B480,Production_Consumption!$AA$83:$AA$99,0),MATCH('County Scaled Consumption '!H$2,Production_Consumption!$AA$83:$AJ$83,0)))*'CA Population'!$L480*10^6</f>
        <v>17.896791783801362</v>
      </c>
      <c r="I480" s="143">
        <f>(INDEX(Production_Consumption!$AA$83:$AJ$99,MATCH('County Scaled Consumption '!$B480,Production_Consumption!$AA$83:$AA$99,0),MATCH('County Scaled Consumption '!I$2,Production_Consumption!$AA$83:$AJ$83,0)))*'CA Population'!$L480*10^6</f>
        <v>357.55443026456538</v>
      </c>
      <c r="J480" s="143">
        <f>(INDEX(Production_Consumption!$AA$83:$AJ$99,MATCH('County Scaled Consumption '!$B480,Production_Consumption!$AA$83:$AA$99,0),MATCH('County Scaled Consumption '!J$2,Production_Consumption!$AA$83:$AJ$83,0)))*'CA Population'!$L480*10^6</f>
        <v>229.92889283357721</v>
      </c>
      <c r="K480" s="143">
        <f>(INDEX(Production_Consumption!$AA$83:$AJ$99,MATCH('County Scaled Consumption '!$B480,Production_Consumption!$AA$83:$AA$99,0),MATCH('County Scaled Consumption '!K$2,Production_Consumption!$AA$83:$AJ$83,0)))*'CA Population'!$L480*10^6</f>
        <v>3385.5522571440756</v>
      </c>
      <c r="L480" s="131">
        <f t="shared" si="7"/>
        <v>0</v>
      </c>
    </row>
    <row r="481" spans="1:12" x14ac:dyDescent="0.2">
      <c r="A481" s="132" t="s">
        <v>311</v>
      </c>
      <c r="B481" s="129">
        <v>2012</v>
      </c>
      <c r="C481" s="143">
        <f>(INDEX(Production_Consumption!$AA$83:$AJ$99,MATCH('County Scaled Consumption '!$B481,Production_Consumption!$AA$83:$AA$99,0),MATCH('County Scaled Consumption '!C$2,Production_Consumption!$AA$83:$AJ$83,0)))*'CA Population'!$L481*10^6</f>
        <v>12619.395194089104</v>
      </c>
      <c r="D481" s="143">
        <f>(INDEX(Production_Consumption!$AA$83:$AJ$99,MATCH('County Scaled Consumption '!$B481,Production_Consumption!$AA$83:$AA$99,0),MATCH('County Scaled Consumption '!D$2,Production_Consumption!$AA$83:$AJ$83,0)))*'CA Population'!$L481*10^6</f>
        <v>56364.348477663669</v>
      </c>
      <c r="E481" s="143">
        <f>(INDEX(Production_Consumption!$AA$83:$AJ$99,MATCH('County Scaled Consumption '!$B481,Production_Consumption!$AA$83:$AA$99,0),MATCH('County Scaled Consumption '!E$2,Production_Consumption!$AA$83:$AJ$83,0)))*'CA Population'!$L481*10^6</f>
        <v>26256.230792483486</v>
      </c>
      <c r="F481" s="143">
        <f>(INDEX(Production_Consumption!$AA$83:$AJ$99,MATCH('County Scaled Consumption '!$B481,Production_Consumption!$AA$83:$AA$99,0),MATCH('County Scaled Consumption '!F$2,Production_Consumption!$AA$83:$AJ$83,0)))*'CA Population'!$L481*10^6</f>
        <v>11890.346484712038</v>
      </c>
      <c r="G481" s="143">
        <f>(INDEX(Production_Consumption!$AA$83:$AJ$99,MATCH('County Scaled Consumption '!$B481,Production_Consumption!$AA$83:$AA$99,0),MATCH('County Scaled Consumption '!G$2,Production_Consumption!$AA$83:$AJ$83,0)))*'CA Population'!$L481*10^6</f>
        <v>32590.916980380123</v>
      </c>
      <c r="H481" s="143">
        <f>(INDEX(Production_Consumption!$AA$83:$AJ$99,MATCH('County Scaled Consumption '!$B481,Production_Consumption!$AA$83:$AA$99,0),MATCH('County Scaled Consumption '!H$2,Production_Consumption!$AA$83:$AJ$83,0)))*'CA Population'!$L481*10^6</f>
        <v>899.42700489097683</v>
      </c>
      <c r="I481" s="143">
        <f>(INDEX(Production_Consumption!$AA$83:$AJ$99,MATCH('County Scaled Consumption '!$B481,Production_Consumption!$AA$83:$AA$99,0),MATCH('County Scaled Consumption '!I$2,Production_Consumption!$AA$83:$AJ$83,0)))*'CA Population'!$L481*10^6</f>
        <v>17969.372063066468</v>
      </c>
      <c r="J481" s="143">
        <f>(INDEX(Production_Consumption!$AA$83:$AJ$99,MATCH('County Scaled Consumption '!$B481,Production_Consumption!$AA$83:$AA$99,0),MATCH('County Scaled Consumption '!J$2,Production_Consumption!$AA$83:$AJ$83,0)))*'CA Population'!$L481*10^6</f>
        <v>11555.381429110897</v>
      </c>
      <c r="K481" s="143">
        <f>(INDEX(Production_Consumption!$AA$83:$AJ$99,MATCH('County Scaled Consumption '!$B481,Production_Consumption!$AA$83:$AA$99,0),MATCH('County Scaled Consumption '!K$2,Production_Consumption!$AA$83:$AJ$83,0)))*'CA Population'!$L481*10^6</f>
        <v>170145.41842639676</v>
      </c>
      <c r="L481" s="131">
        <f t="shared" si="7"/>
        <v>0</v>
      </c>
    </row>
    <row r="482" spans="1:12" x14ac:dyDescent="0.2">
      <c r="A482" s="132" t="s">
        <v>312</v>
      </c>
      <c r="B482" s="129">
        <v>2012</v>
      </c>
      <c r="C482" s="143">
        <f>(INDEX(Production_Consumption!$AA$83:$AJ$99,MATCH('County Scaled Consumption '!$B482,Production_Consumption!$AA$83:$AA$99,0),MATCH('County Scaled Consumption '!C$2,Production_Consumption!$AA$83:$AJ$83,0)))*'CA Population'!$L482*10^6</f>
        <v>330.73741933616469</v>
      </c>
      <c r="D482" s="143">
        <f>(INDEX(Production_Consumption!$AA$83:$AJ$99,MATCH('County Scaled Consumption '!$B482,Production_Consumption!$AA$83:$AA$99,0),MATCH('County Scaled Consumption '!D$2,Production_Consumption!$AA$83:$AJ$83,0)))*'CA Population'!$L482*10^6</f>
        <v>1477.233961798624</v>
      </c>
      <c r="E482" s="143">
        <f>(INDEX(Production_Consumption!$AA$83:$AJ$99,MATCH('County Scaled Consumption '!$B482,Production_Consumption!$AA$83:$AA$99,0),MATCH('County Scaled Consumption '!E$2,Production_Consumption!$AA$83:$AJ$83,0)))*'CA Population'!$L482*10^6</f>
        <v>688.14058679042387</v>
      </c>
      <c r="F482" s="143">
        <f>(INDEX(Production_Consumption!$AA$83:$AJ$99,MATCH('County Scaled Consumption '!$B482,Production_Consumption!$AA$83:$AA$99,0),MATCH('County Scaled Consumption '!F$2,Production_Consumption!$AA$83:$AJ$83,0)))*'CA Population'!$L482*10^6</f>
        <v>311.63003066965592</v>
      </c>
      <c r="G482" s="143">
        <f>(INDEX(Production_Consumption!$AA$83:$AJ$99,MATCH('County Scaled Consumption '!$B482,Production_Consumption!$AA$83:$AA$99,0),MATCH('County Scaled Consumption '!G$2,Production_Consumption!$AA$83:$AJ$83,0)))*'CA Population'!$L482*10^6</f>
        <v>854.16421390297569</v>
      </c>
      <c r="H482" s="143">
        <f>(INDEX(Production_Consumption!$AA$83:$AJ$99,MATCH('County Scaled Consumption '!$B482,Production_Consumption!$AA$83:$AA$99,0),MATCH('County Scaled Consumption '!H$2,Production_Consumption!$AA$83:$AJ$83,0)))*'CA Population'!$L482*10^6</f>
        <v>23.572775232384657</v>
      </c>
      <c r="I482" s="143">
        <f>(INDEX(Production_Consumption!$AA$83:$AJ$99,MATCH('County Scaled Consumption '!$B482,Production_Consumption!$AA$83:$AA$99,0),MATCH('County Scaled Consumption '!I$2,Production_Consumption!$AA$83:$AJ$83,0)))*'CA Population'!$L482*10^6</f>
        <v>470.95313617040313</v>
      </c>
      <c r="J482" s="143">
        <f>(INDEX(Production_Consumption!$AA$83:$AJ$99,MATCH('County Scaled Consumption '!$B482,Production_Consumption!$AA$83:$AA$99,0),MATCH('County Scaled Consumption '!J$2,Production_Consumption!$AA$83:$AJ$83,0)))*'CA Population'!$L482*10^6</f>
        <v>302.85104591219249</v>
      </c>
      <c r="K482" s="143">
        <f>(INDEX(Production_Consumption!$AA$83:$AJ$99,MATCH('County Scaled Consumption '!$B482,Production_Consumption!$AA$83:$AA$99,0),MATCH('County Scaled Consumption '!K$2,Production_Consumption!$AA$83:$AJ$83,0)))*'CA Population'!$L482*10^6</f>
        <v>4459.2831698128239</v>
      </c>
      <c r="L482" s="131">
        <f t="shared" si="7"/>
        <v>0</v>
      </c>
    </row>
    <row r="483" spans="1:12" x14ac:dyDescent="0.2">
      <c r="A483" s="132" t="s">
        <v>313</v>
      </c>
      <c r="B483" s="129">
        <v>2012</v>
      </c>
      <c r="C483" s="143">
        <f>(INDEX(Production_Consumption!$AA$83:$AJ$99,MATCH('County Scaled Consumption '!$B483,Production_Consumption!$AA$83:$AA$99,0),MATCH('County Scaled Consumption '!C$2,Production_Consumption!$AA$83:$AJ$83,0)))*'CA Population'!$L483*10^6</f>
        <v>2126.4363956942393</v>
      </c>
      <c r="D483" s="143">
        <f>(INDEX(Production_Consumption!$AA$83:$AJ$99,MATCH('County Scaled Consumption '!$B483,Production_Consumption!$AA$83:$AA$99,0),MATCH('County Scaled Consumption '!D$2,Production_Consumption!$AA$83:$AJ$83,0)))*'CA Population'!$L483*10^6</f>
        <v>9497.6978039832775</v>
      </c>
      <c r="E483" s="143">
        <f>(INDEX(Production_Consumption!$AA$83:$AJ$99,MATCH('County Scaled Consumption '!$B483,Production_Consumption!$AA$83:$AA$99,0),MATCH('County Scaled Consumption '!E$2,Production_Consumption!$AA$83:$AJ$83,0)))*'CA Population'!$L483*10^6</f>
        <v>4424.3170066530893</v>
      </c>
      <c r="F483" s="143">
        <f>(INDEX(Production_Consumption!$AA$83:$AJ$99,MATCH('County Scaled Consumption '!$B483,Production_Consumption!$AA$83:$AA$99,0),MATCH('County Scaled Consumption '!F$2,Production_Consumption!$AA$83:$AJ$83,0)))*'CA Population'!$L483*10^6</f>
        <v>2003.5877420139541</v>
      </c>
      <c r="G483" s="143">
        <f>(INDEX(Production_Consumption!$AA$83:$AJ$99,MATCH('County Scaled Consumption '!$B483,Production_Consumption!$AA$83:$AA$99,0),MATCH('County Scaled Consumption '!G$2,Production_Consumption!$AA$83:$AJ$83,0)))*'CA Population'!$L483*10^6</f>
        <v>5491.7459173154994</v>
      </c>
      <c r="H483" s="143">
        <f>(INDEX(Production_Consumption!$AA$83:$AJ$99,MATCH('County Scaled Consumption '!$B483,Production_Consumption!$AA$83:$AA$99,0),MATCH('County Scaled Consumption '!H$2,Production_Consumption!$AA$83:$AJ$83,0)))*'CA Population'!$L483*10^6</f>
        <v>151.55831868759282</v>
      </c>
      <c r="I483" s="143">
        <f>(INDEX(Production_Consumption!$AA$83:$AJ$99,MATCH('County Scaled Consumption '!$B483,Production_Consumption!$AA$83:$AA$99,0),MATCH('County Scaled Consumption '!I$2,Production_Consumption!$AA$83:$AJ$83,0)))*'CA Population'!$L483*10^6</f>
        <v>3027.9364561443986</v>
      </c>
      <c r="J483" s="143">
        <f>(INDEX(Production_Consumption!$AA$83:$AJ$99,MATCH('County Scaled Consumption '!$B483,Production_Consumption!$AA$83:$AA$99,0),MATCH('County Scaled Consumption '!J$2,Production_Consumption!$AA$83:$AJ$83,0)))*'CA Population'!$L483*10^6</f>
        <v>1947.1443170668028</v>
      </c>
      <c r="K483" s="143">
        <f>(INDEX(Production_Consumption!$AA$83:$AJ$99,MATCH('County Scaled Consumption '!$B483,Production_Consumption!$AA$83:$AA$99,0),MATCH('County Scaled Consumption '!K$2,Production_Consumption!$AA$83:$AJ$83,0)))*'CA Population'!$L483*10^6</f>
        <v>28670.423957558851</v>
      </c>
      <c r="L483" s="131">
        <f t="shared" si="7"/>
        <v>0</v>
      </c>
    </row>
    <row r="484" spans="1:12" x14ac:dyDescent="0.2">
      <c r="A484" s="132" t="s">
        <v>314</v>
      </c>
      <c r="B484" s="129">
        <v>2012</v>
      </c>
      <c r="C484" s="143">
        <f>(INDEX(Production_Consumption!$AA$83:$AJ$99,MATCH('County Scaled Consumption '!$B484,Production_Consumption!$AA$83:$AA$99,0),MATCH('County Scaled Consumption '!C$2,Production_Consumption!$AA$83:$AJ$83,0)))*'CA Population'!$L484*10^6</f>
        <v>11156.245703474544</v>
      </c>
      <c r="D484" s="143">
        <f>(INDEX(Production_Consumption!$AA$83:$AJ$99,MATCH('County Scaled Consumption '!$B484,Production_Consumption!$AA$83:$AA$99,0),MATCH('County Scaled Consumption '!D$2,Production_Consumption!$AA$83:$AJ$83,0)))*'CA Population'!$L484*10^6</f>
        <v>49829.212166016674</v>
      </c>
      <c r="E484" s="143">
        <f>(INDEX(Production_Consumption!$AA$83:$AJ$99,MATCH('County Scaled Consumption '!$B484,Production_Consumption!$AA$83:$AA$99,0),MATCH('County Scaled Consumption '!E$2,Production_Consumption!$AA$83:$AJ$83,0)))*'CA Population'!$L484*10^6</f>
        <v>23211.965190319377</v>
      </c>
      <c r="F484" s="143">
        <f>(INDEX(Production_Consumption!$AA$83:$AJ$99,MATCH('County Scaled Consumption '!$B484,Production_Consumption!$AA$83:$AA$99,0),MATCH('County Scaled Consumption '!F$2,Production_Consumption!$AA$83:$AJ$83,0)))*'CA Population'!$L484*10^6</f>
        <v>10511.726183599198</v>
      </c>
      <c r="G484" s="143">
        <f>(INDEX(Production_Consumption!$AA$83:$AJ$99,MATCH('County Scaled Consumption '!$B484,Production_Consumption!$AA$83:$AA$99,0),MATCH('County Scaled Consumption '!G$2,Production_Consumption!$AA$83:$AJ$83,0)))*'CA Population'!$L484*10^6</f>
        <v>28812.179343188101</v>
      </c>
      <c r="H484" s="143">
        <f>(INDEX(Production_Consumption!$AA$83:$AJ$99,MATCH('County Scaled Consumption '!$B484,Production_Consumption!$AA$83:$AA$99,0),MATCH('County Scaled Consumption '!H$2,Production_Consumption!$AA$83:$AJ$83,0)))*'CA Population'!$L484*10^6</f>
        <v>795.14338877380965</v>
      </c>
      <c r="I484" s="143">
        <f>(INDEX(Production_Consumption!$AA$83:$AJ$99,MATCH('County Scaled Consumption '!$B484,Production_Consumption!$AA$83:$AA$99,0),MATCH('County Scaled Consumption '!I$2,Production_Consumption!$AA$83:$AJ$83,0)))*'CA Population'!$L484*10^6</f>
        <v>15885.922168965817</v>
      </c>
      <c r="J484" s="143">
        <f>(INDEX(Production_Consumption!$AA$83:$AJ$99,MATCH('County Scaled Consumption '!$B484,Production_Consumption!$AA$83:$AA$99,0),MATCH('County Scaled Consumption '!J$2,Production_Consumption!$AA$83:$AJ$83,0)))*'CA Population'!$L484*10^6</f>
        <v>10215.598484538412</v>
      </c>
      <c r="K484" s="143">
        <f>(INDEX(Production_Consumption!$AA$83:$AJ$99,MATCH('County Scaled Consumption '!$B484,Production_Consumption!$AA$83:$AA$99,0),MATCH('County Scaled Consumption '!K$2,Production_Consumption!$AA$83:$AJ$83,0)))*'CA Population'!$L484*10^6</f>
        <v>150417.99262887592</v>
      </c>
      <c r="L484" s="131">
        <f t="shared" si="7"/>
        <v>0</v>
      </c>
    </row>
    <row r="485" spans="1:12" x14ac:dyDescent="0.2">
      <c r="A485" s="132" t="s">
        <v>315</v>
      </c>
      <c r="B485" s="129">
        <v>2012</v>
      </c>
      <c r="C485" s="143">
        <f>(INDEX(Production_Consumption!$AA$83:$AJ$99,MATCH('County Scaled Consumption '!$B485,Production_Consumption!$AA$83:$AA$99,0),MATCH('County Scaled Consumption '!C$2,Production_Consumption!$AA$83:$AJ$83,0)))*'CA Population'!$L485*10^6</f>
        <v>332.32591910884088</v>
      </c>
      <c r="D485" s="143">
        <f>(INDEX(Production_Consumption!$AA$83:$AJ$99,MATCH('County Scaled Consumption '!$B485,Production_Consumption!$AA$83:$AA$99,0),MATCH('County Scaled Consumption '!D$2,Production_Consumption!$AA$83:$AJ$83,0)))*'CA Population'!$L485*10^6</f>
        <v>1484.3289733555764</v>
      </c>
      <c r="E485" s="143">
        <f>(INDEX(Production_Consumption!$AA$83:$AJ$99,MATCH('County Scaled Consumption '!$B485,Production_Consumption!$AA$83:$AA$99,0),MATCH('County Scaled Consumption '!E$2,Production_Consumption!$AA$83:$AJ$83,0)))*'CA Population'!$L485*10^6</f>
        <v>691.44565933975878</v>
      </c>
      <c r="F485" s="143">
        <f>(INDEX(Production_Consumption!$AA$83:$AJ$99,MATCH('County Scaled Consumption '!$B485,Production_Consumption!$AA$83:$AA$99,0),MATCH('County Scaled Consumption '!F$2,Production_Consumption!$AA$83:$AJ$83,0)))*'CA Population'!$L485*10^6</f>
        <v>313.12675950630046</v>
      </c>
      <c r="G485" s="143">
        <f>(INDEX(Production_Consumption!$AA$83:$AJ$99,MATCH('County Scaled Consumption '!$B485,Production_Consumption!$AA$83:$AA$99,0),MATCH('County Scaled Consumption '!G$2,Production_Consumption!$AA$83:$AJ$83,0)))*'CA Population'!$L485*10^6</f>
        <v>858.26668184366531</v>
      </c>
      <c r="H485" s="143">
        <f>(INDEX(Production_Consumption!$AA$83:$AJ$99,MATCH('County Scaled Consumption '!$B485,Production_Consumption!$AA$83:$AA$99,0),MATCH('County Scaled Consumption '!H$2,Production_Consumption!$AA$83:$AJ$83,0)))*'CA Population'!$L485*10^6</f>
        <v>23.685992987343102</v>
      </c>
      <c r="I485" s="143">
        <f>(INDEX(Production_Consumption!$AA$83:$AJ$99,MATCH('County Scaled Consumption '!$B485,Production_Consumption!$AA$83:$AA$99,0),MATCH('County Scaled Consumption '!I$2,Production_Consumption!$AA$83:$AJ$83,0)))*'CA Population'!$L485*10^6</f>
        <v>473.21507844246105</v>
      </c>
      <c r="J485" s="143">
        <f>(INDEX(Production_Consumption!$AA$83:$AJ$99,MATCH('County Scaled Consumption '!$B485,Production_Consumption!$AA$83:$AA$99,0),MATCH('County Scaled Consumption '!J$2,Production_Consumption!$AA$83:$AJ$83,0)))*'CA Population'!$L485*10^6</f>
        <v>304.30561013583508</v>
      </c>
      <c r="K485" s="143">
        <f>(INDEX(Production_Consumption!$AA$83:$AJ$99,MATCH('County Scaled Consumption '!$B485,Production_Consumption!$AA$83:$AA$99,0),MATCH('County Scaled Consumption '!K$2,Production_Consumption!$AA$83:$AJ$83,0)))*'CA Population'!$L485*10^6</f>
        <v>4480.7006747197811</v>
      </c>
      <c r="L485" s="131">
        <f t="shared" si="7"/>
        <v>0</v>
      </c>
    </row>
    <row r="486" spans="1:12" x14ac:dyDescent="0.2">
      <c r="A486" s="132" t="s">
        <v>316</v>
      </c>
      <c r="B486" s="129">
        <v>2012</v>
      </c>
      <c r="C486" s="143">
        <f>(INDEX(Production_Consumption!$AA$83:$AJ$99,MATCH('County Scaled Consumption '!$B486,Production_Consumption!$AA$83:$AA$99,0),MATCH('County Scaled Consumption '!C$2,Production_Consumption!$AA$83:$AJ$83,0)))*'CA Population'!$L486*10^6</f>
        <v>1591.0766723074162</v>
      </c>
      <c r="D486" s="143">
        <f>(INDEX(Production_Consumption!$AA$83:$AJ$99,MATCH('County Scaled Consumption '!$B486,Production_Consumption!$AA$83:$AA$99,0),MATCH('County Scaled Consumption '!D$2,Production_Consumption!$AA$83:$AJ$83,0)))*'CA Population'!$L486*10^6</f>
        <v>7106.5212423668754</v>
      </c>
      <c r="E486" s="143">
        <f>(INDEX(Production_Consumption!$AA$83:$AJ$99,MATCH('County Scaled Consumption '!$B486,Production_Consumption!$AA$83:$AA$99,0),MATCH('County Scaled Consumption '!E$2,Production_Consumption!$AA$83:$AJ$83,0)))*'CA Population'!$L486*10^6</f>
        <v>3310.4341114705535</v>
      </c>
      <c r="F486" s="143">
        <f>(INDEX(Production_Consumption!$AA$83:$AJ$99,MATCH('County Scaled Consumption '!$B486,Production_Consumption!$AA$83:$AA$99,0),MATCH('County Scaled Consumption '!F$2,Production_Consumption!$AA$83:$AJ$83,0)))*'CA Population'!$L486*10^6</f>
        <v>1499.1568634239436</v>
      </c>
      <c r="G486" s="143">
        <f>(INDEX(Production_Consumption!$AA$83:$AJ$99,MATCH('County Scaled Consumption '!$B486,Production_Consumption!$AA$83:$AA$99,0),MATCH('County Scaled Consumption '!G$2,Production_Consumption!$AA$83:$AJ$83,0)))*'CA Population'!$L486*10^6</f>
        <v>4109.1230553488849</v>
      </c>
      <c r="H486" s="143">
        <f>(INDEX(Production_Consumption!$AA$83:$AJ$99,MATCH('County Scaled Consumption '!$B486,Production_Consumption!$AA$83:$AA$99,0),MATCH('County Scaled Consumption '!H$2,Production_Consumption!$AA$83:$AJ$83,0)))*'CA Population'!$L486*10^6</f>
        <v>113.40141931648716</v>
      </c>
      <c r="I486" s="143">
        <f>(INDEX(Production_Consumption!$AA$83:$AJ$99,MATCH('County Scaled Consumption '!$B486,Production_Consumption!$AA$83:$AA$99,0),MATCH('County Scaled Consumption '!I$2,Production_Consumption!$AA$83:$AJ$83,0)))*'CA Population'!$L486*10^6</f>
        <v>2265.6116450770505</v>
      </c>
      <c r="J486" s="143">
        <f>(INDEX(Production_Consumption!$AA$83:$AJ$99,MATCH('County Scaled Consumption '!$B486,Production_Consumption!$AA$83:$AA$99,0),MATCH('County Scaled Consumption '!J$2,Production_Consumption!$AA$83:$AJ$83,0)))*'CA Population'!$L486*10^6</f>
        <v>1456.9238500498348</v>
      </c>
      <c r="K486" s="143">
        <f>(INDEX(Production_Consumption!$AA$83:$AJ$99,MATCH('County Scaled Consumption '!$B486,Production_Consumption!$AA$83:$AA$99,0),MATCH('County Scaled Consumption '!K$2,Production_Consumption!$AA$83:$AJ$83,0)))*'CA Population'!$L486*10^6</f>
        <v>21452.248859361047</v>
      </c>
      <c r="L486" s="131">
        <f t="shared" si="7"/>
        <v>0</v>
      </c>
    </row>
    <row r="487" spans="1:12" x14ac:dyDescent="0.2">
      <c r="A487" s="132" t="s">
        <v>317</v>
      </c>
      <c r="B487" s="129">
        <v>2012</v>
      </c>
      <c r="C487" s="143">
        <f>(INDEX(Production_Consumption!$AA$83:$AJ$99,MATCH('County Scaled Consumption '!$B487,Production_Consumption!$AA$83:$AA$99,0),MATCH('County Scaled Consumption '!C$2,Production_Consumption!$AA$83:$AJ$83,0)))*'CA Population'!$L487*10^6</f>
        <v>2107.4802984069697</v>
      </c>
      <c r="D487" s="143">
        <f>(INDEX(Production_Consumption!$AA$83:$AJ$99,MATCH('County Scaled Consumption '!$B487,Production_Consumption!$AA$83:$AA$99,0),MATCH('County Scaled Consumption '!D$2,Production_Consumption!$AA$83:$AJ$83,0)))*'CA Population'!$L487*10^6</f>
        <v>9413.0306660703136</v>
      </c>
      <c r="E487" s="143">
        <f>(INDEX(Production_Consumption!$AA$83:$AJ$99,MATCH('County Scaled Consumption '!$B487,Production_Consumption!$AA$83:$AA$99,0),MATCH('County Scaled Consumption '!E$2,Production_Consumption!$AA$83:$AJ$83,0)))*'CA Population'!$L487*10^6</f>
        <v>4384.8764742310241</v>
      </c>
      <c r="F487" s="143">
        <f>(INDEX(Production_Consumption!$AA$83:$AJ$99,MATCH('County Scaled Consumption '!$B487,Production_Consumption!$AA$83:$AA$99,0),MATCH('County Scaled Consumption '!F$2,Production_Consumption!$AA$83:$AJ$83,0)))*'CA Population'!$L487*10^6</f>
        <v>1985.7267778966625</v>
      </c>
      <c r="G487" s="143">
        <f>(INDEX(Production_Consumption!$AA$83:$AJ$99,MATCH('County Scaled Consumption '!$B487,Production_Consumption!$AA$83:$AA$99,0),MATCH('County Scaled Consumption '!G$2,Production_Consumption!$AA$83:$AJ$83,0)))*'CA Population'!$L487*10^6</f>
        <v>5442.7897998899371</v>
      </c>
      <c r="H487" s="143">
        <f>(INDEX(Production_Consumption!$AA$83:$AJ$99,MATCH('County Scaled Consumption '!$B487,Production_Consumption!$AA$83:$AA$99,0),MATCH('County Scaled Consumption '!H$2,Production_Consumption!$AA$83:$AJ$83,0)))*'CA Population'!$L487*10^6</f>
        <v>150.20725347842202</v>
      </c>
      <c r="I487" s="143">
        <f>(INDEX(Production_Consumption!$AA$83:$AJ$99,MATCH('County Scaled Consumption '!$B487,Production_Consumption!$AA$83:$AA$99,0),MATCH('County Scaled Consumption '!I$2,Production_Consumption!$AA$83:$AJ$83,0)))*'CA Population'!$L487*10^6</f>
        <v>3000.9439450311734</v>
      </c>
      <c r="J487" s="143">
        <f>(INDEX(Production_Consumption!$AA$83:$AJ$99,MATCH('County Scaled Consumption '!$B487,Production_Consumption!$AA$83:$AA$99,0),MATCH('County Scaled Consumption '!J$2,Production_Consumption!$AA$83:$AJ$83,0)))*'CA Population'!$L487*10^6</f>
        <v>1929.7865173313344</v>
      </c>
      <c r="K487" s="143">
        <f>(INDEX(Production_Consumption!$AA$83:$AJ$99,MATCH('County Scaled Consumption '!$B487,Production_Consumption!$AA$83:$AA$99,0),MATCH('County Scaled Consumption '!K$2,Production_Consumption!$AA$83:$AJ$83,0)))*'CA Population'!$L487*10^6</f>
        <v>28414.841732335837</v>
      </c>
      <c r="L487" s="131">
        <f t="shared" si="7"/>
        <v>0</v>
      </c>
    </row>
    <row r="488" spans="1:12" x14ac:dyDescent="0.2">
      <c r="A488" s="132" t="s">
        <v>318</v>
      </c>
      <c r="B488" s="129">
        <v>2012</v>
      </c>
      <c r="C488" s="143">
        <f>(INDEX(Production_Consumption!$AA$83:$AJ$99,MATCH('County Scaled Consumption '!$B488,Production_Consumption!$AA$83:$AA$99,0),MATCH('County Scaled Consumption '!C$2,Production_Consumption!$AA$83:$AJ$83,0)))*'CA Population'!$L488*10^6</f>
        <v>218.1892687758112</v>
      </c>
      <c r="D488" s="143">
        <f>(INDEX(Production_Consumption!$AA$83:$AJ$99,MATCH('County Scaled Consumption '!$B488,Production_Consumption!$AA$83:$AA$99,0),MATCH('County Scaled Consumption '!D$2,Production_Consumption!$AA$83:$AJ$83,0)))*'CA Population'!$L488*10^6</f>
        <v>974.53925407826534</v>
      </c>
      <c r="E488" s="143">
        <f>(INDEX(Production_Consumption!$AA$83:$AJ$99,MATCH('County Scaled Consumption '!$B488,Production_Consumption!$AA$83:$AA$99,0),MATCH('County Scaled Consumption '!E$2,Production_Consumption!$AA$83:$AJ$83,0)))*'CA Population'!$L488*10^6</f>
        <v>453.97007616532045</v>
      </c>
      <c r="F488" s="143">
        <f>(INDEX(Production_Consumption!$AA$83:$AJ$99,MATCH('County Scaled Consumption '!$B488,Production_Consumption!$AA$83:$AA$99,0),MATCH('County Scaled Consumption '!F$2,Production_Consumption!$AA$83:$AJ$83,0)))*'CA Population'!$L488*10^6</f>
        <v>205.58402087332539</v>
      </c>
      <c r="G488" s="143">
        <f>(INDEX(Production_Consumption!$AA$83:$AJ$99,MATCH('County Scaled Consumption '!$B488,Production_Consumption!$AA$83:$AA$99,0),MATCH('County Scaled Consumption '!G$2,Production_Consumption!$AA$83:$AJ$83,0)))*'CA Population'!$L488*10^6</f>
        <v>563.49676314226838</v>
      </c>
      <c r="H488" s="143">
        <f>(INDEX(Production_Consumption!$AA$83:$AJ$99,MATCH('County Scaled Consumption '!$B488,Production_Consumption!$AA$83:$AA$99,0),MATCH('County Scaled Consumption '!H$2,Production_Consumption!$AA$83:$AJ$83,0)))*'CA Population'!$L488*10^6</f>
        <v>15.551087631069755</v>
      </c>
      <c r="I488" s="143">
        <f>(INDEX(Production_Consumption!$AA$83:$AJ$99,MATCH('County Scaled Consumption '!$B488,Production_Consumption!$AA$83:$AA$99,0),MATCH('County Scaled Consumption '!I$2,Production_Consumption!$AA$83:$AJ$83,0)))*'CA Population'!$L488*10^6</f>
        <v>310.69033741311313</v>
      </c>
      <c r="J488" s="143">
        <f>(INDEX(Production_Consumption!$AA$83:$AJ$99,MATCH('County Scaled Consumption '!$B488,Production_Consumption!$AA$83:$AA$99,0),MATCH('County Scaled Consumption '!J$2,Production_Consumption!$AA$83:$AJ$83,0)))*'CA Population'!$L488*10^6</f>
        <v>199.79247702966362</v>
      </c>
      <c r="K488" s="143">
        <f>(INDEX(Production_Consumption!$AA$83:$AJ$99,MATCH('County Scaled Consumption '!$B488,Production_Consumption!$AA$83:$AA$99,0),MATCH('County Scaled Consumption '!K$2,Production_Consumption!$AA$83:$AJ$83,0)))*'CA Population'!$L488*10^6</f>
        <v>2941.8132851088371</v>
      </c>
      <c r="L488" s="131">
        <f t="shared" si="7"/>
        <v>0</v>
      </c>
    </row>
    <row r="489" spans="1:12" x14ac:dyDescent="0.2">
      <c r="A489" s="132" t="s">
        <v>319</v>
      </c>
      <c r="B489" s="129">
        <v>2012</v>
      </c>
      <c r="C489" s="143">
        <f>(INDEX(Production_Consumption!$AA$83:$AJ$99,MATCH('County Scaled Consumption '!$B489,Production_Consumption!$AA$83:$AA$99,0),MATCH('County Scaled Consumption '!C$2,Production_Consumption!$AA$83:$AJ$83,0)))*'CA Population'!$L489*10^6</f>
        <v>10063.734393152778</v>
      </c>
      <c r="D489" s="143">
        <f>(INDEX(Production_Consumption!$AA$83:$AJ$99,MATCH('County Scaled Consumption '!$B489,Production_Consumption!$AA$83:$AA$99,0),MATCH('County Scaled Consumption '!D$2,Production_Consumption!$AA$83:$AJ$83,0)))*'CA Population'!$L489*10^6</f>
        <v>44949.525995350727</v>
      </c>
      <c r="E489" s="143">
        <f>(INDEX(Production_Consumption!$AA$83:$AJ$99,MATCH('County Scaled Consumption '!$B489,Production_Consumption!$AA$83:$AA$99,0),MATCH('County Scaled Consumption '!E$2,Production_Consumption!$AA$83:$AJ$83,0)))*'CA Population'!$L489*10^6</f>
        <v>20938.858700981204</v>
      </c>
      <c r="F489" s="143">
        <f>(INDEX(Production_Consumption!$AA$83:$AJ$99,MATCH('County Scaled Consumption '!$B489,Production_Consumption!$AA$83:$AA$99,0),MATCH('County Scaled Consumption '!F$2,Production_Consumption!$AA$83:$AJ$83,0)))*'CA Population'!$L489*10^6</f>
        <v>9482.3315241564687</v>
      </c>
      <c r="G489" s="143">
        <f>(INDEX(Production_Consumption!$AA$83:$AJ$99,MATCH('County Scaled Consumption '!$B489,Production_Consumption!$AA$83:$AA$99,0),MATCH('County Scaled Consumption '!G$2,Production_Consumption!$AA$83:$AJ$83,0)))*'CA Population'!$L489*10^6</f>
        <v>25990.653836838894</v>
      </c>
      <c r="H489" s="143">
        <f>(INDEX(Production_Consumption!$AA$83:$AJ$99,MATCH('County Scaled Consumption '!$B489,Production_Consumption!$AA$83:$AA$99,0),MATCH('County Scaled Consumption '!H$2,Production_Consumption!$AA$83:$AJ$83,0)))*'CA Population'!$L489*10^6</f>
        <v>717.27641016357586</v>
      </c>
      <c r="I489" s="143">
        <f>(INDEX(Production_Consumption!$AA$83:$AJ$99,MATCH('County Scaled Consumption '!$B489,Production_Consumption!$AA$83:$AA$99,0),MATCH('County Scaled Consumption '!I$2,Production_Consumption!$AA$83:$AJ$83,0)))*'CA Population'!$L489*10^6</f>
        <v>14330.242049884075</v>
      </c>
      <c r="J489" s="143">
        <f>(INDEX(Production_Consumption!$AA$83:$AJ$99,MATCH('County Scaled Consumption '!$B489,Production_Consumption!$AA$83:$AA$99,0),MATCH('County Scaled Consumption '!J$2,Production_Consumption!$AA$83:$AJ$83,0)))*'CA Population'!$L489*10^6</f>
        <v>9215.2030842660606</v>
      </c>
      <c r="K489" s="143">
        <f>(INDEX(Production_Consumption!$AA$83:$AJ$99,MATCH('County Scaled Consumption '!$B489,Production_Consumption!$AA$83:$AA$99,0),MATCH('County Scaled Consumption '!K$2,Production_Consumption!$AA$83:$AJ$83,0)))*'CA Population'!$L489*10^6</f>
        <v>135687.82599479379</v>
      </c>
      <c r="L489" s="131">
        <f t="shared" si="7"/>
        <v>0</v>
      </c>
    </row>
    <row r="490" spans="1:12" x14ac:dyDescent="0.2">
      <c r="A490" s="132" t="s">
        <v>320</v>
      </c>
      <c r="B490" s="129">
        <v>2012</v>
      </c>
      <c r="C490" s="143">
        <f>(INDEX(Production_Consumption!$AA$83:$AJ$99,MATCH('County Scaled Consumption '!$B490,Production_Consumption!$AA$83:$AA$99,0),MATCH('County Scaled Consumption '!C$2,Production_Consumption!$AA$83:$AJ$83,0)))*'CA Population'!$L490*10^6</f>
        <v>1781.6025117086961</v>
      </c>
      <c r="D490" s="143">
        <f>(INDEX(Production_Consumption!$AA$83:$AJ$99,MATCH('County Scaled Consumption '!$B490,Production_Consumption!$AA$83:$AA$99,0),MATCH('County Scaled Consumption '!D$2,Production_Consumption!$AA$83:$AJ$83,0)))*'CA Population'!$L490*10^6</f>
        <v>7957.5021840718464</v>
      </c>
      <c r="E490" s="143">
        <f>(INDEX(Production_Consumption!$AA$83:$AJ$99,MATCH('County Scaled Consumption '!$B490,Production_Consumption!$AA$83:$AA$99,0),MATCH('County Scaled Consumption '!E$2,Production_Consumption!$AA$83:$AJ$83,0)))*'CA Population'!$L490*10^6</f>
        <v>3706.8469612396775</v>
      </c>
      <c r="F490" s="143">
        <f>(INDEX(Production_Consumption!$AA$83:$AJ$99,MATCH('County Scaled Consumption '!$B490,Production_Consumption!$AA$83:$AA$99,0),MATCH('County Scaled Consumption '!F$2,Production_Consumption!$AA$83:$AJ$83,0)))*'CA Population'!$L490*10^6</f>
        <v>1678.6756287791118</v>
      </c>
      <c r="G490" s="143">
        <f>(INDEX(Production_Consumption!$AA$83:$AJ$99,MATCH('County Scaled Consumption '!$B490,Production_Consumption!$AA$83:$AA$99,0),MATCH('County Scaled Consumption '!G$2,Production_Consumption!$AA$83:$AJ$83,0)))*'CA Population'!$L490*10^6</f>
        <v>4601.1760990203302</v>
      </c>
      <c r="H490" s="143">
        <f>(INDEX(Production_Consumption!$AA$83:$AJ$99,MATCH('County Scaled Consumption '!$B490,Production_Consumption!$AA$83:$AA$99,0),MATCH('County Scaled Consumption '!H$2,Production_Consumption!$AA$83:$AJ$83,0)))*'CA Population'!$L490*10^6</f>
        <v>126.98084071120655</v>
      </c>
      <c r="I490" s="143">
        <f>(INDEX(Production_Consumption!$AA$83:$AJ$99,MATCH('County Scaled Consumption '!$B490,Production_Consumption!$AA$83:$AA$99,0),MATCH('County Scaled Consumption '!I$2,Production_Consumption!$AA$83:$AJ$83,0)))*'CA Population'!$L490*10^6</f>
        <v>2536.9106767004732</v>
      </c>
      <c r="J490" s="143">
        <f>(INDEX(Production_Consumption!$AA$83:$AJ$99,MATCH('County Scaled Consumption '!$B490,Production_Consumption!$AA$83:$AA$99,0),MATCH('County Scaled Consumption '!J$2,Production_Consumption!$AA$83:$AJ$83,0)))*'CA Population'!$L490*10^6</f>
        <v>1631.3853604885078</v>
      </c>
      <c r="K490" s="143">
        <f>(INDEX(Production_Consumption!$AA$83:$AJ$99,MATCH('County Scaled Consumption '!$B490,Production_Consumption!$AA$83:$AA$99,0),MATCH('County Scaled Consumption '!K$2,Production_Consumption!$AA$83:$AJ$83,0)))*'CA Population'!$L490*10^6</f>
        <v>24021.08026271985</v>
      </c>
      <c r="L490" s="131">
        <f t="shared" si="7"/>
        <v>0</v>
      </c>
    </row>
    <row r="491" spans="1:12" x14ac:dyDescent="0.2">
      <c r="A491" s="132" t="s">
        <v>321</v>
      </c>
      <c r="B491" s="129">
        <v>2012</v>
      </c>
      <c r="C491" s="143">
        <f>(INDEX(Production_Consumption!$AA$83:$AJ$99,MATCH('County Scaled Consumption '!$B491,Production_Consumption!$AA$83:$AA$99,0),MATCH('County Scaled Consumption '!C$2,Production_Consumption!$AA$83:$AJ$83,0)))*'CA Population'!$L491*10^6</f>
        <v>762.82112416907</v>
      </c>
      <c r="D491" s="143">
        <f>(INDEX(Production_Consumption!$AA$83:$AJ$99,MATCH('County Scaled Consumption '!$B491,Production_Consumption!$AA$83:$AA$99,0),MATCH('County Scaled Consumption '!D$2,Production_Consumption!$AA$83:$AJ$83,0)))*'CA Population'!$L491*10^6</f>
        <v>3407.1296609308024</v>
      </c>
      <c r="E491" s="143">
        <f>(INDEX(Production_Consumption!$AA$83:$AJ$99,MATCH('County Scaled Consumption '!$B491,Production_Consumption!$AA$83:$AA$99,0),MATCH('County Scaled Consumption '!E$2,Production_Consumption!$AA$83:$AJ$83,0)))*'CA Population'!$L491*10^6</f>
        <v>1587.1448022284185</v>
      </c>
      <c r="F491" s="143">
        <f>(INDEX(Production_Consumption!$AA$83:$AJ$99,MATCH('County Scaled Consumption '!$B491,Production_Consumption!$AA$83:$AA$99,0),MATCH('County Scaled Consumption '!F$2,Production_Consumption!$AA$83:$AJ$83,0)))*'CA Population'!$L491*10^6</f>
        <v>718.75136111723089</v>
      </c>
      <c r="G491" s="143">
        <f>(INDEX(Production_Consumption!$AA$83:$AJ$99,MATCH('County Scaled Consumption '!$B491,Production_Consumption!$AA$83:$AA$99,0),MATCH('County Scaled Consumption '!G$2,Production_Consumption!$AA$83:$AJ$83,0)))*'CA Population'!$L491*10^6</f>
        <v>1970.0658824219445</v>
      </c>
      <c r="H491" s="143">
        <f>(INDEX(Production_Consumption!$AA$83:$AJ$99,MATCH('County Scaled Consumption '!$B491,Production_Consumption!$AA$83:$AA$99,0),MATCH('County Scaled Consumption '!H$2,Production_Consumption!$AA$83:$AJ$83,0)))*'CA Population'!$L491*10^6</f>
        <v>54.368843231118014</v>
      </c>
      <c r="I491" s="143">
        <f>(INDEX(Production_Consumption!$AA$83:$AJ$99,MATCH('County Scaled Consumption '!$B491,Production_Consumption!$AA$83:$AA$99,0),MATCH('County Scaled Consumption '!I$2,Production_Consumption!$AA$83:$AJ$83,0)))*'CA Population'!$L491*10^6</f>
        <v>1086.2181892981025</v>
      </c>
      <c r="J491" s="143">
        <f>(INDEX(Production_Consumption!$AA$83:$AJ$99,MATCH('County Scaled Consumption '!$B491,Production_Consumption!$AA$83:$AA$99,0),MATCH('County Scaled Consumption '!J$2,Production_Consumption!$AA$83:$AJ$83,0)))*'CA Population'!$L491*10^6</f>
        <v>698.50328929278237</v>
      </c>
      <c r="K491" s="143">
        <f>(INDEX(Production_Consumption!$AA$83:$AJ$99,MATCH('County Scaled Consumption '!$B491,Production_Consumption!$AA$83:$AA$99,0),MATCH('County Scaled Consumption '!K$2,Production_Consumption!$AA$83:$AJ$83,0)))*'CA Population'!$L491*10^6</f>
        <v>10285.003152689469</v>
      </c>
      <c r="L491" s="131">
        <f t="shared" si="7"/>
        <v>0</v>
      </c>
    </row>
    <row r="492" spans="1:12" x14ac:dyDescent="0.2">
      <c r="A492" s="132" t="s">
        <v>322</v>
      </c>
      <c r="B492" s="129">
        <v>2012</v>
      </c>
      <c r="C492" s="143">
        <f>(INDEX(Production_Consumption!$AA$83:$AJ$99,MATCH('County Scaled Consumption '!$B492,Production_Consumption!$AA$83:$AA$99,0),MATCH('County Scaled Consumption '!C$2,Production_Consumption!$AA$83:$AJ$83,0)))*'CA Population'!$L492*10^6</f>
        <v>394.45391021795393</v>
      </c>
      <c r="D492" s="143">
        <f>(INDEX(Production_Consumption!$AA$83:$AJ$99,MATCH('County Scaled Consumption '!$B492,Production_Consumption!$AA$83:$AA$99,0),MATCH('County Scaled Consumption '!D$2,Production_Consumption!$AA$83:$AJ$83,0)))*'CA Population'!$L492*10^6</f>
        <v>1761.8227586941537</v>
      </c>
      <c r="E492" s="143">
        <f>(INDEX(Production_Consumption!$AA$83:$AJ$99,MATCH('County Scaled Consumption '!$B492,Production_Consumption!$AA$83:$AA$99,0),MATCH('County Scaled Consumption '!E$2,Production_Consumption!$AA$83:$AJ$83,0)))*'CA Population'!$L492*10^6</f>
        <v>820.71071904708174</v>
      </c>
      <c r="F492" s="143">
        <f>(INDEX(Production_Consumption!$AA$83:$AJ$99,MATCH('County Scaled Consumption '!$B492,Production_Consumption!$AA$83:$AA$99,0),MATCH('County Scaled Consumption '!F$2,Production_Consumption!$AA$83:$AJ$83,0)))*'CA Population'!$L492*10^6</f>
        <v>371.66548733950742</v>
      </c>
      <c r="G492" s="143">
        <f>(INDEX(Production_Consumption!$AA$83:$AJ$99,MATCH('County Scaled Consumption '!$B492,Production_Consumption!$AA$83:$AA$99,0),MATCH('County Scaled Consumption '!G$2,Production_Consumption!$AA$83:$AJ$83,0)))*'CA Population'!$L492*10^6</f>
        <v>1018.7187613017452</v>
      </c>
      <c r="H492" s="143">
        <f>(INDEX(Production_Consumption!$AA$83:$AJ$99,MATCH('County Scaled Consumption '!$B492,Production_Consumption!$AA$83:$AA$99,0),MATCH('County Scaled Consumption '!H$2,Production_Consumption!$AA$83:$AJ$83,0)))*'CA Population'!$L492*10^6</f>
        <v>28.114065181273336</v>
      </c>
      <c r="I492" s="143">
        <f>(INDEX(Production_Consumption!$AA$83:$AJ$99,MATCH('County Scaled Consumption '!$B492,Production_Consumption!$AA$83:$AA$99,0),MATCH('County Scaled Consumption '!I$2,Production_Consumption!$AA$83:$AJ$83,0)))*'CA Population'!$L492*10^6</f>
        <v>561.68215397183803</v>
      </c>
      <c r="J492" s="143">
        <f>(INDEX(Production_Consumption!$AA$83:$AJ$99,MATCH('County Scaled Consumption '!$B492,Production_Consumption!$AA$83:$AA$99,0),MATCH('County Scaled Consumption '!J$2,Production_Consumption!$AA$83:$AJ$83,0)))*'CA Population'!$L492*10^6</f>
        <v>361.19523310496754</v>
      </c>
      <c r="K492" s="143">
        <f>(INDEX(Production_Consumption!$AA$83:$AJ$99,MATCH('County Scaled Consumption '!$B492,Production_Consumption!$AA$83:$AA$99,0),MATCH('County Scaled Consumption '!K$2,Production_Consumption!$AA$83:$AJ$83,0)))*'CA Population'!$L492*10^6</f>
        <v>5318.3630888585212</v>
      </c>
      <c r="L492" s="131">
        <f t="shared" si="7"/>
        <v>0</v>
      </c>
    </row>
    <row r="493" spans="1:12" x14ac:dyDescent="0.2">
      <c r="A493" s="132" t="s">
        <v>323</v>
      </c>
      <c r="B493" s="129">
        <v>2012</v>
      </c>
      <c r="C493" s="143">
        <f>(INDEX(Production_Consumption!$AA$83:$AJ$99,MATCH('County Scaled Consumption '!$B493,Production_Consumption!$AA$83:$AA$99,0),MATCH('County Scaled Consumption '!C$2,Production_Consumption!$AA$83:$AJ$83,0)))*'CA Population'!$L493*10^6</f>
        <v>117159.36536712773</v>
      </c>
      <c r="D493" s="143">
        <f>(INDEX(Production_Consumption!$AA$83:$AJ$99,MATCH('County Scaled Consumption '!$B493,Production_Consumption!$AA$83:$AA$99,0),MATCH('County Scaled Consumption '!D$2,Production_Consumption!$AA$83:$AJ$83,0)))*'CA Population'!$L493*10^6</f>
        <v>523290.63282429124</v>
      </c>
      <c r="E493" s="143">
        <f>(INDEX(Production_Consumption!$AA$83:$AJ$99,MATCH('County Scaled Consumption '!$B493,Production_Consumption!$AA$83:$AA$99,0),MATCH('County Scaled Consumption '!E$2,Production_Consumption!$AA$83:$AJ$83,0)))*'CA Population'!$L493*10^6</f>
        <v>243764.72004150169</v>
      </c>
      <c r="F493" s="143">
        <f>(INDEX(Production_Consumption!$AA$83:$AJ$99,MATCH('County Scaled Consumption '!$B493,Production_Consumption!$AA$83:$AA$99,0),MATCH('County Scaled Consumption '!F$2,Production_Consumption!$AA$83:$AJ$83,0)))*'CA Population'!$L493*10^6</f>
        <v>110390.82513214492</v>
      </c>
      <c r="G493" s="143">
        <f>(INDEX(Production_Consumption!$AA$83:$AJ$99,MATCH('County Scaled Consumption '!$B493,Production_Consumption!$AA$83:$AA$99,0),MATCH('County Scaled Consumption '!G$2,Production_Consumption!$AA$83:$AJ$83,0)))*'CA Population'!$L493*10^6</f>
        <v>302576.39858545508</v>
      </c>
      <c r="H493" s="143">
        <f>(INDEX(Production_Consumption!$AA$83:$AJ$99,MATCH('County Scaled Consumption '!$B493,Production_Consumption!$AA$83:$AA$99,0),MATCH('County Scaled Consumption '!H$2,Production_Consumption!$AA$83:$AJ$83,0)))*'CA Population'!$L493*10^6</f>
        <v>8350.3444869086397</v>
      </c>
      <c r="I493" s="143">
        <f>(INDEX(Production_Consumption!$AA$83:$AJ$99,MATCH('County Scaled Consumption '!$B493,Production_Consumption!$AA$83:$AA$99,0),MATCH('County Scaled Consumption '!I$2,Production_Consumption!$AA$83:$AJ$83,0)))*'CA Population'!$L493*10^6</f>
        <v>166828.93233589912</v>
      </c>
      <c r="J493" s="143">
        <f>(INDEX(Production_Consumption!$AA$83:$AJ$99,MATCH('County Scaled Consumption '!$B493,Production_Consumption!$AA$83:$AA$99,0),MATCH('County Scaled Consumption '!J$2,Production_Consumption!$AA$83:$AJ$83,0)))*'CA Population'!$L493*10^6</f>
        <v>107280.98565641663</v>
      </c>
      <c r="K493" s="143">
        <f>(INDEX(Production_Consumption!$AA$83:$AJ$99,MATCH('County Scaled Consumption '!$B493,Production_Consumption!$AA$83:$AA$99,0),MATCH('County Scaled Consumption '!K$2,Production_Consumption!$AA$83:$AJ$83,0)))*'CA Population'!$L493*10^6</f>
        <v>1579642.2044297452</v>
      </c>
      <c r="L493" s="131">
        <f t="shared" si="7"/>
        <v>0</v>
      </c>
    </row>
    <row r="494" spans="1:12" x14ac:dyDescent="0.2">
      <c r="A494" s="132" t="s">
        <v>324</v>
      </c>
      <c r="B494" s="129">
        <v>2012</v>
      </c>
      <c r="C494" s="143">
        <f>(INDEX(Production_Consumption!$AA$83:$AJ$99,MATCH('County Scaled Consumption '!$B494,Production_Consumption!$AA$83:$AA$99,0),MATCH('County Scaled Consumption '!C$2,Production_Consumption!$AA$83:$AJ$83,0)))*'CA Population'!$L494*10^6</f>
        <v>1784.1558780099608</v>
      </c>
      <c r="D494" s="143">
        <f>(INDEX(Production_Consumption!$AA$83:$AJ$99,MATCH('County Scaled Consumption '!$B494,Production_Consumption!$AA$83:$AA$99,0),MATCH('County Scaled Consumption '!D$2,Production_Consumption!$AA$83:$AJ$83,0)))*'CA Population'!$L494*10^6</f>
        <v>7968.9067582041325</v>
      </c>
      <c r="E494" s="143">
        <f>(INDEX(Production_Consumption!$AA$83:$AJ$99,MATCH('County Scaled Consumption '!$B494,Production_Consumption!$AA$83:$AA$99,0),MATCH('County Scaled Consumption '!E$2,Production_Consumption!$AA$83:$AJ$83,0)))*'CA Population'!$L494*10^6</f>
        <v>3712.1595593374973</v>
      </c>
      <c r="F494" s="143">
        <f>(INDEX(Production_Consumption!$AA$83:$AJ$99,MATCH('County Scaled Consumption '!$B494,Production_Consumption!$AA$83:$AA$99,0),MATCH('County Scaled Consumption '!F$2,Production_Consumption!$AA$83:$AJ$83,0)))*'CA Population'!$L494*10^6</f>
        <v>1681.0814817980145</v>
      </c>
      <c r="G494" s="143">
        <f>(INDEX(Production_Consumption!$AA$83:$AJ$99,MATCH('County Scaled Consumption '!$B494,Production_Consumption!$AA$83:$AA$99,0),MATCH('County Scaled Consumption '!G$2,Production_Consumption!$AA$83:$AJ$83,0)))*'CA Population'!$L494*10^6</f>
        <v>4607.7704363768471</v>
      </c>
      <c r="H494" s="143">
        <f>(INDEX(Production_Consumption!$AA$83:$AJ$99,MATCH('County Scaled Consumption '!$B494,Production_Consumption!$AA$83:$AA$99,0),MATCH('County Scaled Consumption '!H$2,Production_Consumption!$AA$83:$AJ$83,0)))*'CA Population'!$L494*10^6</f>
        <v>127.1628277691768</v>
      </c>
      <c r="I494" s="143">
        <f>(INDEX(Production_Consumption!$AA$83:$AJ$99,MATCH('County Scaled Consumption '!$B494,Production_Consumption!$AA$83:$AA$99,0),MATCH('County Scaled Consumption '!I$2,Production_Consumption!$AA$83:$AJ$83,0)))*'CA Population'!$L494*10^6</f>
        <v>2540.5465394637076</v>
      </c>
      <c r="J494" s="143">
        <f>(INDEX(Production_Consumption!$AA$83:$AJ$99,MATCH('County Scaled Consumption '!$B494,Production_Consumption!$AA$83:$AA$99,0),MATCH('County Scaled Consumption '!J$2,Production_Consumption!$AA$83:$AJ$83,0)))*'CA Population'!$L494*10^6</f>
        <v>1633.7234377961408</v>
      </c>
      <c r="K494" s="143">
        <f>(INDEX(Production_Consumption!$AA$83:$AJ$99,MATCH('County Scaled Consumption '!$B494,Production_Consumption!$AA$83:$AA$99,0),MATCH('County Scaled Consumption '!K$2,Production_Consumption!$AA$83:$AJ$83,0)))*'CA Population'!$L494*10^6</f>
        <v>24055.50691875548</v>
      </c>
      <c r="L494" s="131">
        <f t="shared" si="7"/>
        <v>0</v>
      </c>
    </row>
    <row r="495" spans="1:12" x14ac:dyDescent="0.2">
      <c r="A495" s="132" t="s">
        <v>325</v>
      </c>
      <c r="B495" s="129">
        <v>2012</v>
      </c>
      <c r="C495" s="143">
        <f>(INDEX(Production_Consumption!$AA$83:$AJ$99,MATCH('County Scaled Consumption '!$B495,Production_Consumption!$AA$83:$AA$99,0),MATCH('County Scaled Consumption '!C$2,Production_Consumption!$AA$83:$AJ$83,0)))*'CA Population'!$L495*10^6</f>
        <v>3020.0557678119644</v>
      </c>
      <c r="D495" s="143">
        <f>(INDEX(Production_Consumption!$AA$83:$AJ$99,MATCH('County Scaled Consumption '!$B495,Production_Consumption!$AA$83:$AA$99,0),MATCH('County Scaled Consumption '!D$2,Production_Consumption!$AA$83:$AJ$83,0)))*'CA Population'!$L495*10^6</f>
        <v>13489.035972077643</v>
      </c>
      <c r="E495" s="143">
        <f>(INDEX(Production_Consumption!$AA$83:$AJ$99,MATCH('County Scaled Consumption '!$B495,Production_Consumption!$AA$83:$AA$99,0),MATCH('County Scaled Consumption '!E$2,Production_Consumption!$AA$83:$AJ$83,0)))*'CA Population'!$L495*10^6</f>
        <v>6283.6039307956362</v>
      </c>
      <c r="F495" s="143">
        <f>(INDEX(Production_Consumption!$AA$83:$AJ$99,MATCH('County Scaled Consumption '!$B495,Production_Consumption!$AA$83:$AA$99,0),MATCH('County Scaled Consumption '!F$2,Production_Consumption!$AA$83:$AJ$83,0)))*'CA Population'!$L495*10^6</f>
        <v>2845.5808642285197</v>
      </c>
      <c r="G495" s="143">
        <f>(INDEX(Production_Consumption!$AA$83:$AJ$99,MATCH('County Scaled Consumption '!$B495,Production_Consumption!$AA$83:$AA$99,0),MATCH('County Scaled Consumption '!G$2,Production_Consumption!$AA$83:$AJ$83,0)))*'CA Population'!$L495*10^6</f>
        <v>7799.6120488389624</v>
      </c>
      <c r="H495" s="143">
        <f>(INDEX(Production_Consumption!$AA$83:$AJ$99,MATCH('County Scaled Consumption '!$B495,Production_Consumption!$AA$83:$AA$99,0),MATCH('County Scaled Consumption '!H$2,Production_Consumption!$AA$83:$AJ$83,0)))*'CA Population'!$L495*10^6</f>
        <v>215.24959572699271</v>
      </c>
      <c r="I495" s="143">
        <f>(INDEX(Production_Consumption!$AA$83:$AJ$99,MATCH('County Scaled Consumption '!$B495,Production_Consumption!$AA$83:$AA$99,0),MATCH('County Scaled Consumption '!I$2,Production_Consumption!$AA$83:$AJ$83,0)))*'CA Population'!$L495*10^6</f>
        <v>4300.4046476365447</v>
      </c>
      <c r="J495" s="143">
        <f>(INDEX(Production_Consumption!$AA$83:$AJ$99,MATCH('County Scaled Consumption '!$B495,Production_Consumption!$AA$83:$AA$99,0),MATCH('County Scaled Consumption '!J$2,Production_Consumption!$AA$83:$AJ$83,0)))*'CA Population'!$L495*10^6</f>
        <v>2765.4175019892964</v>
      </c>
      <c r="K495" s="143">
        <f>(INDEX(Production_Consumption!$AA$83:$AJ$99,MATCH('County Scaled Consumption '!$B495,Production_Consumption!$AA$83:$AA$99,0),MATCH('County Scaled Consumption '!K$2,Production_Consumption!$AA$83:$AJ$83,0)))*'CA Population'!$L495*10^6</f>
        <v>40718.960329105561</v>
      </c>
      <c r="L495" s="131">
        <f t="shared" si="7"/>
        <v>0</v>
      </c>
    </row>
    <row r="496" spans="1:12" x14ac:dyDescent="0.2">
      <c r="A496" s="132" t="s">
        <v>326</v>
      </c>
      <c r="B496" s="129">
        <v>2012</v>
      </c>
      <c r="C496" s="143">
        <f>(INDEX(Production_Consumption!$AA$83:$AJ$99,MATCH('County Scaled Consumption '!$B496,Production_Consumption!$AA$83:$AA$99,0),MATCH('County Scaled Consumption '!C$2,Production_Consumption!$AA$83:$AJ$83,0)))*'CA Population'!$L496*10^6</f>
        <v>214.72986927087197</v>
      </c>
      <c r="D496" s="143">
        <f>(INDEX(Production_Consumption!$AA$83:$AJ$99,MATCH('County Scaled Consumption '!$B496,Production_Consumption!$AA$83:$AA$99,0),MATCH('County Scaled Consumption '!D$2,Production_Consumption!$AA$83:$AJ$83,0)))*'CA Population'!$L496*10^6</f>
        <v>959.08789557645832</v>
      </c>
      <c r="E496" s="143">
        <f>(INDEX(Production_Consumption!$AA$83:$AJ$99,MATCH('County Scaled Consumption '!$B496,Production_Consumption!$AA$83:$AA$99,0),MATCH('County Scaled Consumption '!E$2,Production_Consumption!$AA$83:$AJ$83,0)))*'CA Population'!$L496*10^6</f>
        <v>446.77236261343552</v>
      </c>
      <c r="F496" s="143">
        <f>(INDEX(Production_Consumption!$AA$83:$AJ$99,MATCH('County Scaled Consumption '!$B496,Production_Consumption!$AA$83:$AA$99,0),MATCH('County Scaled Consumption '!F$2,Production_Consumption!$AA$83:$AJ$83,0)))*'CA Population'!$L496*10^6</f>
        <v>202.32447807352185</v>
      </c>
      <c r="G496" s="143">
        <f>(INDEX(Production_Consumption!$AA$83:$AJ$99,MATCH('County Scaled Consumption '!$B496,Production_Consumption!$AA$83:$AA$99,0),MATCH('County Scaled Consumption '!G$2,Production_Consumption!$AA$83:$AJ$83,0)))*'CA Population'!$L496*10^6</f>
        <v>554.56249962698894</v>
      </c>
      <c r="H496" s="143">
        <f>(INDEX(Production_Consumption!$AA$83:$AJ$99,MATCH('County Scaled Consumption '!$B496,Production_Consumption!$AA$83:$AA$99,0),MATCH('County Scaled Consumption '!H$2,Production_Consumption!$AA$83:$AJ$83,0)))*'CA Population'!$L496*10^6</f>
        <v>15.304524520271372</v>
      </c>
      <c r="I496" s="143">
        <f>(INDEX(Production_Consumption!$AA$83:$AJ$99,MATCH('County Scaled Consumption '!$B496,Production_Consumption!$AA$83:$AA$99,0),MATCH('County Scaled Consumption '!I$2,Production_Consumption!$AA$83:$AJ$83,0)))*'CA Population'!$L496*10^6</f>
        <v>305.76432979840928</v>
      </c>
      <c r="J496" s="143">
        <f>(INDEX(Production_Consumption!$AA$83:$AJ$99,MATCH('County Scaled Consumption '!$B496,Production_Consumption!$AA$83:$AA$99,0),MATCH('County Scaled Consumption '!J$2,Production_Consumption!$AA$83:$AJ$83,0)))*'CA Population'!$L496*10^6</f>
        <v>196.62475938706422</v>
      </c>
      <c r="K496" s="143">
        <f>(INDEX(Production_Consumption!$AA$83:$AJ$99,MATCH('County Scaled Consumption '!$B496,Production_Consumption!$AA$83:$AA$99,0),MATCH('County Scaled Consumption '!K$2,Production_Consumption!$AA$83:$AJ$83,0)))*'CA Population'!$L496*10^6</f>
        <v>2895.1707188670212</v>
      </c>
      <c r="L496" s="131">
        <f t="shared" si="7"/>
        <v>0</v>
      </c>
    </row>
    <row r="497" spans="1:12" x14ac:dyDescent="0.2">
      <c r="A497" s="132" t="s">
        <v>327</v>
      </c>
      <c r="B497" s="129">
        <v>2012</v>
      </c>
      <c r="C497" s="143">
        <f>(INDEX(Production_Consumption!$AA$83:$AJ$99,MATCH('County Scaled Consumption '!$B497,Production_Consumption!$AA$83:$AA$99,0),MATCH('County Scaled Consumption '!C$2,Production_Consumption!$AA$83:$AJ$83,0)))*'CA Population'!$L497*10^6</f>
        <v>1031.8894523304502</v>
      </c>
      <c r="D497" s="143">
        <f>(INDEX(Production_Consumption!$AA$83:$AJ$99,MATCH('County Scaled Consumption '!$B497,Production_Consumption!$AA$83:$AA$99,0),MATCH('County Scaled Consumption '!D$2,Production_Consumption!$AA$83:$AJ$83,0)))*'CA Population'!$L497*10^6</f>
        <v>4608.919507396191</v>
      </c>
      <c r="E497" s="143">
        <f>(INDEX(Production_Consumption!$AA$83:$AJ$99,MATCH('County Scaled Consumption '!$B497,Production_Consumption!$AA$83:$AA$99,0),MATCH('County Scaled Consumption '!E$2,Production_Consumption!$AA$83:$AJ$83,0)))*'CA Population'!$L497*10^6</f>
        <v>2146.9751280479936</v>
      </c>
      <c r="F497" s="143">
        <f>(INDEX(Production_Consumption!$AA$83:$AJ$99,MATCH('County Scaled Consumption '!$B497,Production_Consumption!$AA$83:$AA$99,0),MATCH('County Scaled Consumption '!F$2,Production_Consumption!$AA$83:$AJ$83,0)))*'CA Population'!$L497*10^6</f>
        <v>972.27505228426583</v>
      </c>
      <c r="G497" s="143">
        <f>(INDEX(Production_Consumption!$AA$83:$AJ$99,MATCH('County Scaled Consumption '!$B497,Production_Consumption!$AA$83:$AA$99,0),MATCH('County Scaled Consumption '!G$2,Production_Consumption!$AA$83:$AJ$83,0)))*'CA Population'!$L497*10^6</f>
        <v>2664.9631742719284</v>
      </c>
      <c r="H497" s="143">
        <f>(INDEX(Production_Consumption!$AA$83:$AJ$99,MATCH('County Scaled Consumption '!$B497,Production_Consumption!$AA$83:$AA$99,0),MATCH('County Scaled Consumption '!H$2,Production_Consumption!$AA$83:$AJ$83,0)))*'CA Population'!$L497*10^6</f>
        <v>73.546253621004865</v>
      </c>
      <c r="I497" s="143">
        <f>(INDEX(Production_Consumption!$AA$83:$AJ$99,MATCH('County Scaled Consumption '!$B497,Production_Consumption!$AA$83:$AA$99,0),MATCH('County Scaled Consumption '!I$2,Production_Consumption!$AA$83:$AJ$83,0)))*'CA Population'!$L497*10^6</f>
        <v>1469.3576999288341</v>
      </c>
      <c r="J497" s="143">
        <f>(INDEX(Production_Consumption!$AA$83:$AJ$99,MATCH('County Scaled Consumption '!$B497,Production_Consumption!$AA$83:$AA$99,0),MATCH('County Scaled Consumption '!J$2,Production_Consumption!$AA$83:$AJ$83,0)))*'CA Population'!$L497*10^6</f>
        <v>944.88491967822802</v>
      </c>
      <c r="K497" s="143">
        <f>(INDEX(Production_Consumption!$AA$83:$AJ$99,MATCH('County Scaled Consumption '!$B497,Production_Consumption!$AA$83:$AA$99,0),MATCH('County Scaled Consumption '!K$2,Production_Consumption!$AA$83:$AJ$83,0)))*'CA Population'!$L497*10^6</f>
        <v>13912.811187558897</v>
      </c>
      <c r="L497" s="131">
        <f t="shared" si="7"/>
        <v>0</v>
      </c>
    </row>
    <row r="498" spans="1:12" x14ac:dyDescent="0.2">
      <c r="A498" s="132" t="s">
        <v>328</v>
      </c>
      <c r="B498" s="129">
        <v>2012</v>
      </c>
      <c r="C498" s="143">
        <f>(INDEX(Production_Consumption!$AA$83:$AJ$99,MATCH('County Scaled Consumption '!$B498,Production_Consumption!$AA$83:$AA$99,0),MATCH('County Scaled Consumption '!C$2,Production_Consumption!$AA$83:$AJ$83,0)))*'CA Population'!$L498*10^6</f>
        <v>3086.737458269416</v>
      </c>
      <c r="D498" s="143">
        <f>(INDEX(Production_Consumption!$AA$83:$AJ$99,MATCH('County Scaled Consumption '!$B498,Production_Consumption!$AA$83:$AA$99,0),MATCH('County Scaled Consumption '!D$2,Production_Consumption!$AA$83:$AJ$83,0)))*'CA Population'!$L498*10^6</f>
        <v>13786.868790546152</v>
      </c>
      <c r="E498" s="143">
        <f>(INDEX(Production_Consumption!$AA$83:$AJ$99,MATCH('County Scaled Consumption '!$B498,Production_Consumption!$AA$83:$AA$99,0),MATCH('County Scaled Consumption '!E$2,Production_Consumption!$AA$83:$AJ$83,0)))*'CA Population'!$L498*10^6</f>
        <v>6422.3435318110533</v>
      </c>
      <c r="F498" s="143">
        <f>(INDEX(Production_Consumption!$AA$83:$AJ$99,MATCH('County Scaled Consumption '!$B498,Production_Consumption!$AA$83:$AA$99,0),MATCH('County Scaled Consumption '!F$2,Production_Consumption!$AA$83:$AJ$83,0)))*'CA Population'!$L498*10^6</f>
        <v>2908.4102147267745</v>
      </c>
      <c r="G498" s="143">
        <f>(INDEX(Production_Consumption!$AA$83:$AJ$99,MATCH('County Scaled Consumption '!$B498,Production_Consumption!$AA$83:$AA$99,0),MATCH('County Scaled Consumption '!G$2,Production_Consumption!$AA$83:$AJ$83,0)))*'CA Population'!$L498*10^6</f>
        <v>7971.8245363936849</v>
      </c>
      <c r="H498" s="143">
        <f>(INDEX(Production_Consumption!$AA$83:$AJ$99,MATCH('County Scaled Consumption '!$B498,Production_Consumption!$AA$83:$AA$99,0),MATCH('County Scaled Consumption '!H$2,Production_Consumption!$AA$83:$AJ$83,0)))*'CA Population'!$L498*10^6</f>
        <v>220.00222548513716</v>
      </c>
      <c r="I498" s="143">
        <f>(INDEX(Production_Consumption!$AA$83:$AJ$99,MATCH('County Scaled Consumption '!$B498,Production_Consumption!$AA$83:$AA$99,0),MATCH('County Scaled Consumption '!I$2,Production_Consumption!$AA$83:$AJ$83,0)))*'CA Population'!$L498*10^6</f>
        <v>4395.3559576791549</v>
      </c>
      <c r="J498" s="143">
        <f>(INDEX(Production_Consumption!$AA$83:$AJ$99,MATCH('County Scaled Consumption '!$B498,Production_Consumption!$AA$83:$AA$99,0),MATCH('County Scaled Consumption '!J$2,Production_Consumption!$AA$83:$AJ$83,0)))*'CA Population'!$L498*10^6</f>
        <v>2826.4768757328711</v>
      </c>
      <c r="K498" s="143">
        <f>(INDEX(Production_Consumption!$AA$83:$AJ$99,MATCH('County Scaled Consumption '!$B498,Production_Consumption!$AA$83:$AA$99,0),MATCH('County Scaled Consumption '!K$2,Production_Consumption!$AA$83:$AJ$83,0)))*'CA Population'!$L498*10^6</f>
        <v>41618.019590644239</v>
      </c>
      <c r="L498" s="131">
        <f t="shared" si="7"/>
        <v>0</v>
      </c>
    </row>
    <row r="499" spans="1:12" x14ac:dyDescent="0.2">
      <c r="A499" s="132" t="s">
        <v>329</v>
      </c>
      <c r="B499" s="129">
        <v>2012</v>
      </c>
      <c r="C499" s="143">
        <f>(INDEX(Production_Consumption!$AA$83:$AJ$99,MATCH('County Scaled Consumption '!$B499,Production_Consumption!$AA$83:$AA$99,0),MATCH('County Scaled Consumption '!C$2,Production_Consumption!$AA$83:$AJ$83,0)))*'CA Population'!$L499*10^6</f>
        <v>113.65421706873541</v>
      </c>
      <c r="D499" s="143">
        <f>(INDEX(Production_Consumption!$AA$83:$AJ$99,MATCH('County Scaled Consumption '!$B499,Production_Consumption!$AA$83:$AA$99,0),MATCH('County Scaled Consumption '!D$2,Production_Consumption!$AA$83:$AJ$83,0)))*'CA Population'!$L499*10^6</f>
        <v>507.63493798964384</v>
      </c>
      <c r="E499" s="143">
        <f>(INDEX(Production_Consumption!$AA$83:$AJ$99,MATCH('County Scaled Consumption '!$B499,Production_Consumption!$AA$83:$AA$99,0),MATCH('County Scaled Consumption '!E$2,Production_Consumption!$AA$83:$AJ$83,0)))*'CA Population'!$L499*10^6</f>
        <v>236.47182040019578</v>
      </c>
      <c r="F499" s="143">
        <f>(INDEX(Production_Consumption!$AA$83:$AJ$99,MATCH('County Scaled Consumption '!$B499,Production_Consumption!$AA$83:$AA$99,0),MATCH('County Scaled Consumption '!F$2,Production_Consumption!$AA$83:$AJ$83,0)))*'CA Population'!$L499*10^6</f>
        <v>107.08817654184598</v>
      </c>
      <c r="G499" s="143">
        <f>(INDEX(Production_Consumption!$AA$83:$AJ$99,MATCH('County Scaled Consumption '!$B499,Production_Consumption!$AA$83:$AA$99,0),MATCH('County Scaled Consumption '!G$2,Production_Consumption!$AA$83:$AJ$83,0)))*'CA Population'!$L499*10^6</f>
        <v>293.5239839934838</v>
      </c>
      <c r="H499" s="143">
        <f>(INDEX(Production_Consumption!$AA$83:$AJ$99,MATCH('County Scaled Consumption '!$B499,Production_Consumption!$AA$83:$AA$99,0),MATCH('County Scaled Consumption '!H$2,Production_Consumption!$AA$83:$AJ$83,0)))*'CA Population'!$L499*10^6</f>
        <v>8.1005207047674475</v>
      </c>
      <c r="I499" s="143">
        <f>(INDEX(Production_Consumption!$AA$83:$AJ$99,MATCH('County Scaled Consumption '!$B499,Production_Consumption!$AA$83:$AA$99,0),MATCH('County Scaled Consumption '!I$2,Production_Consumption!$AA$83:$AJ$83,0)))*'CA Population'!$L499*10^6</f>
        <v>161.83778078375991</v>
      </c>
      <c r="J499" s="143">
        <f>(INDEX(Production_Consumption!$AA$83:$AJ$99,MATCH('County Scaled Consumption '!$B499,Production_Consumption!$AA$83:$AA$99,0),MATCH('County Scaled Consumption '!J$2,Production_Consumption!$AA$83:$AJ$83,0)))*'CA Population'!$L499*10^6</f>
        <v>104.07137656417629</v>
      </c>
      <c r="K499" s="143">
        <f>(INDEX(Production_Consumption!$AA$83:$AJ$99,MATCH('County Scaled Consumption '!$B499,Production_Consumption!$AA$83:$AA$99,0),MATCH('County Scaled Consumption '!K$2,Production_Consumption!$AA$83:$AJ$83,0)))*'CA Population'!$L499*10^6</f>
        <v>1532.3828140466085</v>
      </c>
      <c r="L499" s="131">
        <f t="shared" si="7"/>
        <v>0</v>
      </c>
    </row>
    <row r="500" spans="1:12" x14ac:dyDescent="0.2">
      <c r="A500" s="132" t="s">
        <v>330</v>
      </c>
      <c r="B500" s="129">
        <v>2012</v>
      </c>
      <c r="C500" s="143">
        <f>(INDEX(Production_Consumption!$AA$83:$AJ$99,MATCH('County Scaled Consumption '!$B500,Production_Consumption!$AA$83:$AA$99,0),MATCH('County Scaled Consumption '!C$2,Production_Consumption!$AA$83:$AJ$83,0)))*'CA Population'!$L500*10^6</f>
        <v>167.38080938013886</v>
      </c>
      <c r="D500" s="143">
        <f>(INDEX(Production_Consumption!$AA$83:$AJ$99,MATCH('County Scaled Consumption '!$B500,Production_Consumption!$AA$83:$AA$99,0),MATCH('County Scaled Consumption '!D$2,Production_Consumption!$AA$83:$AJ$83,0)))*'CA Population'!$L500*10^6</f>
        <v>747.60399553811817</v>
      </c>
      <c r="E500" s="143">
        <f>(INDEX(Production_Consumption!$AA$83:$AJ$99,MATCH('County Scaled Consumption '!$B500,Production_Consumption!$AA$83:$AA$99,0),MATCH('County Scaled Consumption '!E$2,Production_Consumption!$AA$83:$AJ$83,0)))*'CA Population'!$L500*10^6</f>
        <v>348.25671862436951</v>
      </c>
      <c r="F500" s="143">
        <f>(INDEX(Production_Consumption!$AA$83:$AJ$99,MATCH('County Scaled Consumption '!$B500,Production_Consumption!$AA$83:$AA$99,0),MATCH('County Scaled Consumption '!F$2,Production_Consumption!$AA$83:$AJ$83,0)))*'CA Population'!$L500*10^6</f>
        <v>157.71087186124433</v>
      </c>
      <c r="G500" s="143">
        <f>(INDEX(Production_Consumption!$AA$83:$AJ$99,MATCH('County Scaled Consumption '!$B500,Production_Consumption!$AA$83:$AA$99,0),MATCH('County Scaled Consumption '!G$2,Production_Consumption!$AA$83:$AJ$83,0)))*'CA Population'!$L500*10^6</f>
        <v>432.27856634302793</v>
      </c>
      <c r="H500" s="143">
        <f>(INDEX(Production_Consumption!$AA$83:$AJ$99,MATCH('County Scaled Consumption '!$B500,Production_Consumption!$AA$83:$AA$99,0),MATCH('County Scaled Consumption '!H$2,Production_Consumption!$AA$83:$AJ$83,0)))*'CA Population'!$L500*10^6</f>
        <v>11.929796772473024</v>
      </c>
      <c r="I500" s="143">
        <f>(INDEX(Production_Consumption!$AA$83:$AJ$99,MATCH('County Scaled Consumption '!$B500,Production_Consumption!$AA$83:$AA$99,0),MATCH('County Scaled Consumption '!I$2,Production_Consumption!$AA$83:$AJ$83,0)))*'CA Population'!$L500*10^6</f>
        <v>238.34169496314161</v>
      </c>
      <c r="J500" s="143">
        <f>(INDEX(Production_Consumption!$AA$83:$AJ$99,MATCH('County Scaled Consumption '!$B500,Production_Consumption!$AA$83:$AA$99,0),MATCH('County Scaled Consumption '!J$2,Production_Consumption!$AA$83:$AJ$83,0)))*'CA Population'!$L500*10^6</f>
        <v>153.2679709727102</v>
      </c>
      <c r="K500" s="143">
        <f>(INDEX(Production_Consumption!$AA$83:$AJ$99,MATCH('County Scaled Consumption '!$B500,Production_Consumption!$AA$83:$AA$99,0),MATCH('County Scaled Consumption '!K$2,Production_Consumption!$AA$83:$AJ$83,0)))*'CA Population'!$L500*10^6</f>
        <v>2256.7704244552237</v>
      </c>
      <c r="L500" s="131">
        <f t="shared" si="7"/>
        <v>0</v>
      </c>
    </row>
    <row r="501" spans="1:12" x14ac:dyDescent="0.2">
      <c r="A501" s="132" t="s">
        <v>331</v>
      </c>
      <c r="B501" s="129">
        <v>2012</v>
      </c>
      <c r="C501" s="143">
        <f>(INDEX(Production_Consumption!$AA$83:$AJ$99,MATCH('County Scaled Consumption '!$B501,Production_Consumption!$AA$83:$AA$99,0),MATCH('County Scaled Consumption '!C$2,Production_Consumption!$AA$83:$AJ$83,0)))*'CA Population'!$L501*10^6</f>
        <v>4972.8397216902395</v>
      </c>
      <c r="D501" s="143">
        <f>(INDEX(Production_Consumption!$AA$83:$AJ$99,MATCH('County Scaled Consumption '!$B501,Production_Consumption!$AA$83:$AA$99,0),MATCH('County Scaled Consumption '!D$2,Production_Consumption!$AA$83:$AJ$83,0)))*'CA Population'!$L501*10^6</f>
        <v>22211.117623783131</v>
      </c>
      <c r="E501" s="143">
        <f>(INDEX(Production_Consumption!$AA$83:$AJ$99,MATCH('County Scaled Consumption '!$B501,Production_Consumption!$AA$83:$AA$99,0),MATCH('County Scaled Consumption '!E$2,Production_Consumption!$AA$83:$AJ$83,0)))*'CA Population'!$L501*10^6</f>
        <v>10346.615302759203</v>
      </c>
      <c r="F501" s="143">
        <f>(INDEX(Production_Consumption!$AA$83:$AJ$99,MATCH('County Scaled Consumption '!$B501,Production_Consumption!$AA$83:$AA$99,0),MATCH('County Scaled Consumption '!F$2,Production_Consumption!$AA$83:$AJ$83,0)))*'CA Population'!$L501*10^6</f>
        <v>4685.5484271965506</v>
      </c>
      <c r="G501" s="143">
        <f>(INDEX(Production_Consumption!$AA$83:$AJ$99,MATCH('County Scaled Consumption '!$B501,Production_Consumption!$AA$83:$AA$99,0),MATCH('County Scaled Consumption '!G$2,Production_Consumption!$AA$83:$AJ$83,0)))*'CA Population'!$L501*10^6</f>
        <v>12842.882248608565</v>
      </c>
      <c r="H501" s="143">
        <f>(INDEX(Production_Consumption!$AA$83:$AJ$99,MATCH('County Scaled Consumption '!$B501,Production_Consumption!$AA$83:$AA$99,0),MATCH('County Scaled Consumption '!H$2,Production_Consumption!$AA$83:$AJ$83,0)))*'CA Population'!$L501*10^6</f>
        <v>354.43111717253583</v>
      </c>
      <c r="I501" s="143">
        <f>(INDEX(Production_Consumption!$AA$83:$AJ$99,MATCH('County Scaled Consumption '!$B501,Production_Consumption!$AA$83:$AA$99,0),MATCH('County Scaled Consumption '!I$2,Production_Consumption!$AA$83:$AJ$83,0)))*'CA Population'!$L501*10^6</f>
        <v>7081.068925625158</v>
      </c>
      <c r="J501" s="143">
        <f>(INDEX(Production_Consumption!$AA$83:$AJ$99,MATCH('County Scaled Consumption '!$B501,Production_Consumption!$AA$83:$AA$99,0),MATCH('County Scaled Consumption '!J$2,Production_Consumption!$AA$83:$AJ$83,0)))*'CA Population'!$L501*10^6</f>
        <v>4553.5510130374514</v>
      </c>
      <c r="K501" s="143">
        <f>(INDEX(Production_Consumption!$AA$83:$AJ$99,MATCH('County Scaled Consumption '!$B501,Production_Consumption!$AA$83:$AA$99,0),MATCH('County Scaled Consumption '!K$2,Production_Consumption!$AA$83:$AJ$83,0)))*'CA Population'!$L501*10^6</f>
        <v>67048.054379872832</v>
      </c>
      <c r="L501" s="131">
        <f t="shared" si="7"/>
        <v>0</v>
      </c>
    </row>
    <row r="502" spans="1:12" x14ac:dyDescent="0.2">
      <c r="A502" s="132" t="s">
        <v>332</v>
      </c>
      <c r="B502" s="129">
        <v>2012</v>
      </c>
      <c r="C502" s="143">
        <f>(INDEX(Production_Consumption!$AA$83:$AJ$99,MATCH('County Scaled Consumption '!$B502,Production_Consumption!$AA$83:$AA$99,0),MATCH('County Scaled Consumption '!C$2,Production_Consumption!$AA$83:$AJ$83,0)))*'CA Population'!$L502*10^6</f>
        <v>1628.2005003281076</v>
      </c>
      <c r="D502" s="143">
        <f>(INDEX(Production_Consumption!$AA$83:$AJ$99,MATCH('County Scaled Consumption '!$B502,Production_Consumption!$AA$83:$AA$99,0),MATCH('County Scaled Consumption '!D$2,Production_Consumption!$AA$83:$AJ$83,0)))*'CA Population'!$L502*10^6</f>
        <v>7272.3342902349086</v>
      </c>
      <c r="E502" s="143">
        <f>(INDEX(Production_Consumption!$AA$83:$AJ$99,MATCH('County Scaled Consumption '!$B502,Production_Consumption!$AA$83:$AA$99,0),MATCH('County Scaled Consumption '!E$2,Production_Consumption!$AA$83:$AJ$83,0)))*'CA Population'!$L502*10^6</f>
        <v>3387.674881049456</v>
      </c>
      <c r="F502" s="143">
        <f>(INDEX(Production_Consumption!$AA$83:$AJ$99,MATCH('County Scaled Consumption '!$B502,Production_Consumption!$AA$83:$AA$99,0),MATCH('County Scaled Consumption '!F$2,Production_Consumption!$AA$83:$AJ$83,0)))*'CA Population'!$L502*10^6</f>
        <v>1534.1359706803391</v>
      </c>
      <c r="G502" s="143">
        <f>(INDEX(Production_Consumption!$AA$83:$AJ$99,MATCH('County Scaled Consumption '!$B502,Production_Consumption!$AA$83:$AA$99,0),MATCH('County Scaled Consumption '!G$2,Production_Consumption!$AA$83:$AJ$83,0)))*'CA Population'!$L502*10^6</f>
        <v>4204.999250555371</v>
      </c>
      <c r="H502" s="143">
        <f>(INDEX(Production_Consumption!$AA$83:$AJ$99,MATCH('County Scaled Consumption '!$B502,Production_Consumption!$AA$83:$AA$99,0),MATCH('County Scaled Consumption '!H$2,Production_Consumption!$AA$83:$AJ$83,0)))*'CA Population'!$L502*10^6</f>
        <v>116.04736018236783</v>
      </c>
      <c r="I502" s="143">
        <f>(INDEX(Production_Consumption!$AA$83:$AJ$99,MATCH('County Scaled Consumption '!$B502,Production_Consumption!$AA$83:$AA$99,0),MATCH('County Scaled Consumption '!I$2,Production_Consumption!$AA$83:$AJ$83,0)))*'CA Population'!$L502*10^6</f>
        <v>2318.4740737314414</v>
      </c>
      <c r="J502" s="143">
        <f>(INDEX(Production_Consumption!$AA$83:$AJ$99,MATCH('County Scaled Consumption '!$B502,Production_Consumption!$AA$83:$AA$99,0),MATCH('County Scaled Consumption '!J$2,Production_Consumption!$AA$83:$AJ$83,0)))*'CA Population'!$L502*10^6</f>
        <v>1490.9175546838526</v>
      </c>
      <c r="K502" s="143">
        <f>(INDEX(Production_Consumption!$AA$83:$AJ$99,MATCH('County Scaled Consumption '!$B502,Production_Consumption!$AA$83:$AA$99,0),MATCH('County Scaled Consumption '!K$2,Production_Consumption!$AA$83:$AJ$83,0)))*'CA Population'!$L502*10^6</f>
        <v>21952.783881445845</v>
      </c>
      <c r="L502" s="131">
        <f t="shared" si="7"/>
        <v>0</v>
      </c>
    </row>
    <row r="503" spans="1:12" x14ac:dyDescent="0.2">
      <c r="A503" s="132" t="s">
        <v>333</v>
      </c>
      <c r="B503" s="129">
        <v>2012</v>
      </c>
      <c r="C503" s="143">
        <f>(INDEX(Production_Consumption!$AA$83:$AJ$99,MATCH('County Scaled Consumption '!$B503,Production_Consumption!$AA$83:$AA$99,0),MATCH('County Scaled Consumption '!C$2,Production_Consumption!$AA$83:$AJ$83,0)))*'CA Population'!$L503*10^6</f>
        <v>1154.1921681615338</v>
      </c>
      <c r="D503" s="143">
        <f>(INDEX(Production_Consumption!$AA$83:$AJ$99,MATCH('County Scaled Consumption '!$B503,Production_Consumption!$AA$83:$AA$99,0),MATCH('County Scaled Consumption '!D$2,Production_Consumption!$AA$83:$AJ$83,0)))*'CA Population'!$L503*10^6</f>
        <v>5155.1828416403523</v>
      </c>
      <c r="E503" s="143">
        <f>(INDEX(Production_Consumption!$AA$83:$AJ$99,MATCH('County Scaled Consumption '!$B503,Production_Consumption!$AA$83:$AA$99,0),MATCH('County Scaled Consumption '!E$2,Production_Consumption!$AA$83:$AJ$83,0)))*'CA Population'!$L503*10^6</f>
        <v>2401.4412323279021</v>
      </c>
      <c r="F503" s="143">
        <f>(INDEX(Production_Consumption!$AA$83:$AJ$99,MATCH('County Scaled Consumption '!$B503,Production_Consumption!$AA$83:$AA$99,0),MATCH('County Scaled Consumption '!F$2,Production_Consumption!$AA$83:$AJ$83,0)))*'CA Population'!$L503*10^6</f>
        <v>1087.5120858256207</v>
      </c>
      <c r="G503" s="143">
        <f>(INDEX(Production_Consumption!$AA$83:$AJ$99,MATCH('County Scaled Consumption '!$B503,Production_Consumption!$AA$83:$AA$99,0),MATCH('County Scaled Consumption '!G$2,Production_Consumption!$AA$83:$AJ$83,0)))*'CA Population'!$L503*10^6</f>
        <v>2980.8228170536108</v>
      </c>
      <c r="H503" s="143">
        <f>(INDEX(Production_Consumption!$AA$83:$AJ$99,MATCH('County Scaled Consumption '!$B503,Production_Consumption!$AA$83:$AA$99,0),MATCH('County Scaled Consumption '!H$2,Production_Consumption!$AA$83:$AJ$83,0)))*'CA Population'!$L503*10^6</f>
        <v>82.263182102768297</v>
      </c>
      <c r="I503" s="143">
        <f>(INDEX(Production_Consumption!$AA$83:$AJ$99,MATCH('County Scaled Consumption '!$B503,Production_Consumption!$AA$83:$AA$99,0),MATCH('County Scaled Consumption '!I$2,Production_Consumption!$AA$83:$AJ$83,0)))*'CA Population'!$L503*10^6</f>
        <v>1643.510499749354</v>
      </c>
      <c r="J503" s="143">
        <f>(INDEX(Production_Consumption!$AA$83:$AJ$99,MATCH('County Scaled Consumption '!$B503,Production_Consumption!$AA$83:$AA$99,0),MATCH('County Scaled Consumption '!J$2,Production_Consumption!$AA$83:$AJ$83,0)))*'CA Population'!$L503*10^6</f>
        <v>1056.875590348903</v>
      </c>
      <c r="K503" s="143">
        <f>(INDEX(Production_Consumption!$AA$83:$AJ$99,MATCH('County Scaled Consumption '!$B503,Production_Consumption!$AA$83:$AA$99,0),MATCH('County Scaled Consumption '!K$2,Production_Consumption!$AA$83:$AJ$83,0)))*'CA Population'!$L503*10^6</f>
        <v>15561.800417210045</v>
      </c>
      <c r="L503" s="131">
        <f t="shared" si="7"/>
        <v>0</v>
      </c>
    </row>
    <row r="504" spans="1:12" x14ac:dyDescent="0.2">
      <c r="A504" s="132" t="s">
        <v>334</v>
      </c>
      <c r="B504" s="129">
        <v>2012</v>
      </c>
      <c r="C504" s="143">
        <f>(INDEX(Production_Consumption!$AA$83:$AJ$99,MATCH('County Scaled Consumption '!$B504,Production_Consumption!$AA$83:$AA$99,0),MATCH('County Scaled Consumption '!C$2,Production_Consumption!$AA$83:$AJ$83,0)))*'CA Population'!$L504*10^6</f>
        <v>36151.677926478762</v>
      </c>
      <c r="D504" s="143">
        <f>(INDEX(Production_Consumption!$AA$83:$AJ$99,MATCH('County Scaled Consumption '!$B504,Production_Consumption!$AA$83:$AA$99,0),MATCH('County Scaled Consumption '!D$2,Production_Consumption!$AA$83:$AJ$83,0)))*'CA Population'!$L504*10^6</f>
        <v>161470.95335081892</v>
      </c>
      <c r="E504" s="143">
        <f>(INDEX(Production_Consumption!$AA$83:$AJ$99,MATCH('County Scaled Consumption '!$B504,Production_Consumption!$AA$83:$AA$99,0),MATCH('County Scaled Consumption '!E$2,Production_Consumption!$AA$83:$AJ$83,0)))*'CA Population'!$L504*10^6</f>
        <v>75218.089660728219</v>
      </c>
      <c r="F504" s="143">
        <f>(INDEX(Production_Consumption!$AA$83:$AJ$99,MATCH('County Scaled Consumption '!$B504,Production_Consumption!$AA$83:$AA$99,0),MATCH('County Scaled Consumption '!F$2,Production_Consumption!$AA$83:$AJ$83,0)))*'CA Population'!$L504*10^6</f>
        <v>34063.120295249333</v>
      </c>
      <c r="G504" s="143">
        <f>(INDEX(Production_Consumption!$AA$83:$AJ$99,MATCH('County Scaled Consumption '!$B504,Production_Consumption!$AA$83:$AA$99,0),MATCH('County Scaled Consumption '!G$2,Production_Consumption!$AA$83:$AJ$83,0)))*'CA Population'!$L504*10^6</f>
        <v>93365.515215434687</v>
      </c>
      <c r="H504" s="143">
        <f>(INDEX(Production_Consumption!$AA$83:$AJ$99,MATCH('County Scaled Consumption '!$B504,Production_Consumption!$AA$83:$AA$99,0),MATCH('County Scaled Consumption '!H$2,Production_Consumption!$AA$83:$AJ$83,0)))*'CA Population'!$L504*10^6</f>
        <v>2576.6524384961294</v>
      </c>
      <c r="I504" s="143">
        <f>(INDEX(Production_Consumption!$AA$83:$AJ$99,MATCH('County Scaled Consumption '!$B504,Production_Consumption!$AA$83:$AA$99,0),MATCH('County Scaled Consumption '!I$2,Production_Consumption!$AA$83:$AJ$83,0)))*'CA Population'!$L504*10^6</f>
        <v>51478.136739019479</v>
      </c>
      <c r="J504" s="143">
        <f>(INDEX(Production_Consumption!$AA$83:$AJ$99,MATCH('County Scaled Consumption '!$B504,Production_Consumption!$AA$83:$AA$99,0),MATCH('County Scaled Consumption '!J$2,Production_Consumption!$AA$83:$AJ$83,0)))*'CA Population'!$L504*10^6</f>
        <v>33103.522103698167</v>
      </c>
      <c r="K504" s="143">
        <f>(INDEX(Production_Consumption!$AA$83:$AJ$99,MATCH('County Scaled Consumption '!$B504,Production_Consumption!$AA$83:$AA$99,0),MATCH('County Scaled Consumption '!K$2,Production_Consumption!$AA$83:$AJ$83,0)))*'CA Population'!$L504*10^6</f>
        <v>487427.66772992373</v>
      </c>
      <c r="L504" s="131">
        <f t="shared" si="7"/>
        <v>0</v>
      </c>
    </row>
    <row r="505" spans="1:12" x14ac:dyDescent="0.2">
      <c r="A505" s="132" t="s">
        <v>335</v>
      </c>
      <c r="B505" s="129">
        <v>2012</v>
      </c>
      <c r="C505" s="143">
        <f>(INDEX(Production_Consumption!$AA$83:$AJ$99,MATCH('County Scaled Consumption '!$B505,Production_Consumption!$AA$83:$AA$99,0),MATCH('County Scaled Consumption '!C$2,Production_Consumption!$AA$83:$AJ$83,0)))*'CA Population'!$L505*10^6</f>
        <v>4231.8575277292221</v>
      </c>
      <c r="D505" s="143">
        <f>(INDEX(Production_Consumption!$AA$83:$AJ$99,MATCH('County Scaled Consumption '!$B505,Production_Consumption!$AA$83:$AA$99,0),MATCH('County Scaled Consumption '!D$2,Production_Consumption!$AA$83:$AJ$83,0)))*'CA Population'!$L505*10^6</f>
        <v>18901.531232850135</v>
      </c>
      <c r="E505" s="143">
        <f>(INDEX(Production_Consumption!$AA$83:$AJ$99,MATCH('County Scaled Consumption '!$B505,Production_Consumption!$AA$83:$AA$99,0),MATCH('County Scaled Consumption '!E$2,Production_Consumption!$AA$83:$AJ$83,0)))*'CA Population'!$L505*10^6</f>
        <v>8804.9091275794199</v>
      </c>
      <c r="F505" s="143">
        <f>(INDEX(Production_Consumption!$AA$83:$AJ$99,MATCH('County Scaled Consumption '!$B505,Production_Consumption!$AA$83:$AA$99,0),MATCH('County Scaled Consumption '!F$2,Production_Consumption!$AA$83:$AJ$83,0)))*'CA Population'!$L505*10^6</f>
        <v>3987.3743158631146</v>
      </c>
      <c r="G505" s="143">
        <f>(INDEX(Production_Consumption!$AA$83:$AJ$99,MATCH('County Scaled Consumption '!$B505,Production_Consumption!$AA$83:$AA$99,0),MATCH('County Scaled Consumption '!G$2,Production_Consumption!$AA$83:$AJ$83,0)))*'CA Population'!$L505*10^6</f>
        <v>10929.217703208249</v>
      </c>
      <c r="H505" s="143">
        <f>(INDEX(Production_Consumption!$AA$83:$AJ$99,MATCH('County Scaled Consumption '!$B505,Production_Consumption!$AA$83:$AA$99,0),MATCH('County Scaled Consumption '!H$2,Production_Consumption!$AA$83:$AJ$83,0)))*'CA Population'!$L505*10^6</f>
        <v>301.61880840958725</v>
      </c>
      <c r="I505" s="143">
        <f>(INDEX(Production_Consumption!$AA$83:$AJ$99,MATCH('County Scaled Consumption '!$B505,Production_Consumption!$AA$83:$AA$99,0),MATCH('County Scaled Consumption '!I$2,Production_Consumption!$AA$83:$AJ$83,0)))*'CA Population'!$L505*10^6</f>
        <v>6025.9482537858667</v>
      </c>
      <c r="J505" s="143">
        <f>(INDEX(Production_Consumption!$AA$83:$AJ$99,MATCH('County Scaled Consumption '!$B505,Production_Consumption!$AA$83:$AA$99,0),MATCH('County Scaled Consumption '!J$2,Production_Consumption!$AA$83:$AJ$83,0)))*'CA Population'!$L505*10^6</f>
        <v>3875.0452881823044</v>
      </c>
      <c r="K505" s="143">
        <f>(INDEX(Production_Consumption!$AA$83:$AJ$99,MATCH('County Scaled Consumption '!$B505,Production_Consumption!$AA$83:$AA$99,0),MATCH('County Scaled Consumption '!K$2,Production_Consumption!$AA$83:$AJ$83,0)))*'CA Population'!$L505*10^6</f>
        <v>57057.502257607899</v>
      </c>
      <c r="L505" s="131">
        <f t="shared" si="7"/>
        <v>0</v>
      </c>
    </row>
    <row r="506" spans="1:12" x14ac:dyDescent="0.2">
      <c r="A506" s="132" t="s">
        <v>336</v>
      </c>
      <c r="B506" s="129">
        <v>2012</v>
      </c>
      <c r="C506" s="143">
        <f>(INDEX(Production_Consumption!$AA$83:$AJ$99,MATCH('County Scaled Consumption '!$B506,Production_Consumption!$AA$83:$AA$99,0),MATCH('County Scaled Consumption '!C$2,Production_Consumption!$AA$83:$AJ$83,0)))*'CA Population'!$L506*10^6</f>
        <v>228.57923395561176</v>
      </c>
      <c r="D506" s="143">
        <f>(INDEX(Production_Consumption!$AA$83:$AJ$99,MATCH('County Scaled Consumption '!$B506,Production_Consumption!$AA$83:$AA$99,0),MATCH('County Scaled Consumption '!D$2,Production_Consumption!$AA$83:$AJ$83,0)))*'CA Population'!$L506*10^6</f>
        <v>1020.9458852248495</v>
      </c>
      <c r="E506" s="143">
        <f>(INDEX(Production_Consumption!$AA$83:$AJ$99,MATCH('County Scaled Consumption '!$B506,Production_Consumption!$AA$83:$AA$99,0),MATCH('County Scaled Consumption '!E$2,Production_Consumption!$AA$83:$AJ$83,0)))*'CA Population'!$L506*10^6</f>
        <v>475.58769883985957</v>
      </c>
      <c r="F506" s="143">
        <f>(INDEX(Production_Consumption!$AA$83:$AJ$99,MATCH('County Scaled Consumption '!$B506,Production_Consumption!$AA$83:$AA$99,0),MATCH('County Scaled Consumption '!F$2,Production_Consumption!$AA$83:$AJ$83,0)))*'CA Population'!$L506*10^6</f>
        <v>215.37373615300757</v>
      </c>
      <c r="G506" s="143">
        <f>(INDEX(Production_Consumption!$AA$83:$AJ$99,MATCH('County Scaled Consumption '!$B506,Production_Consumption!$AA$83:$AA$99,0),MATCH('County Scaled Consumption '!G$2,Production_Consumption!$AA$83:$AJ$83,0)))*'CA Population'!$L506*10^6</f>
        <v>590.32994233951922</v>
      </c>
      <c r="H506" s="143">
        <f>(INDEX(Production_Consumption!$AA$83:$AJ$99,MATCH('County Scaled Consumption '!$B506,Production_Consumption!$AA$83:$AA$99,0),MATCH('County Scaled Consumption '!H$2,Production_Consumption!$AA$83:$AJ$83,0)))*'CA Population'!$L506*10^6</f>
        <v>16.291615613501651</v>
      </c>
      <c r="I506" s="143">
        <f>(INDEX(Production_Consumption!$AA$83:$AJ$99,MATCH('County Scaled Consumption '!$B506,Production_Consumption!$AA$83:$AA$99,0),MATCH('County Scaled Consumption '!I$2,Production_Consumption!$AA$83:$AJ$83,0)))*'CA Population'!$L506*10^6</f>
        <v>325.48511538516618</v>
      </c>
      <c r="J506" s="143">
        <f>(INDEX(Production_Consumption!$AA$83:$AJ$99,MATCH('County Scaled Consumption '!$B506,Production_Consumption!$AA$83:$AA$99,0),MATCH('County Scaled Consumption '!J$2,Production_Consumption!$AA$83:$AJ$83,0)))*'CA Population'!$L506*10^6</f>
        <v>209.30640450726668</v>
      </c>
      <c r="K506" s="143">
        <f>(INDEX(Production_Consumption!$AA$83:$AJ$99,MATCH('County Scaled Consumption '!$B506,Production_Consumption!$AA$83:$AA$99,0),MATCH('County Scaled Consumption '!K$2,Production_Consumption!$AA$83:$AJ$83,0)))*'CA Population'!$L506*10^6</f>
        <v>3081.8996320187821</v>
      </c>
      <c r="L506" s="131">
        <f t="shared" si="7"/>
        <v>0</v>
      </c>
    </row>
    <row r="507" spans="1:12" x14ac:dyDescent="0.2">
      <c r="A507" s="132" t="s">
        <v>337</v>
      </c>
      <c r="B507" s="129">
        <v>2012</v>
      </c>
      <c r="C507" s="143">
        <f>(INDEX(Production_Consumption!$AA$83:$AJ$99,MATCH('County Scaled Consumption '!$B507,Production_Consumption!$AA$83:$AA$99,0),MATCH('County Scaled Consumption '!C$2,Production_Consumption!$AA$83:$AJ$83,0)))*'CA Population'!$L507*10^6</f>
        <v>26409.950087244924</v>
      </c>
      <c r="D507" s="143">
        <f>(INDEX(Production_Consumption!$AA$83:$AJ$99,MATCH('County Scaled Consumption '!$B507,Production_Consumption!$AA$83:$AA$99,0),MATCH('County Scaled Consumption '!D$2,Production_Consumption!$AA$83:$AJ$83,0)))*'CA Population'!$L507*10^6</f>
        <v>117959.66503152417</v>
      </c>
      <c r="E507" s="143">
        <f>(INDEX(Production_Consumption!$AA$83:$AJ$99,MATCH('County Scaled Consumption '!$B507,Production_Consumption!$AA$83:$AA$99,0),MATCH('County Scaled Consumption '!E$2,Production_Consumption!$AA$83:$AJ$83,0)))*'CA Population'!$L507*10^6</f>
        <v>54949.205888525554</v>
      </c>
      <c r="F507" s="143">
        <f>(INDEX(Production_Consumption!$AA$83:$AJ$99,MATCH('County Scaled Consumption '!$B507,Production_Consumption!$AA$83:$AA$99,0),MATCH('County Scaled Consumption '!F$2,Production_Consumption!$AA$83:$AJ$83,0)))*'CA Population'!$L507*10^6</f>
        <v>24884.192336601111</v>
      </c>
      <c r="G507" s="143">
        <f>(INDEX(Production_Consumption!$AA$83:$AJ$99,MATCH('County Scaled Consumption '!$B507,Production_Consumption!$AA$83:$AA$99,0),MATCH('County Scaled Consumption '!G$2,Production_Consumption!$AA$83:$AJ$83,0)))*'CA Population'!$L507*10^6</f>
        <v>68206.477213150705</v>
      </c>
      <c r="H507" s="143">
        <f>(INDEX(Production_Consumption!$AA$83:$AJ$99,MATCH('County Scaled Consumption '!$B507,Production_Consumption!$AA$83:$AA$99,0),MATCH('County Scaled Consumption '!H$2,Production_Consumption!$AA$83:$AJ$83,0)))*'CA Population'!$L507*10^6</f>
        <v>1882.3265252376855</v>
      </c>
      <c r="I507" s="143">
        <f>(INDEX(Production_Consumption!$AA$83:$AJ$99,MATCH('County Scaled Consumption '!$B507,Production_Consumption!$AA$83:$AA$99,0),MATCH('County Scaled Consumption '!I$2,Production_Consumption!$AA$83:$AJ$83,0)))*'CA Population'!$L507*10^6</f>
        <v>37606.415520373455</v>
      </c>
      <c r="J507" s="143">
        <f>(INDEX(Production_Consumption!$AA$83:$AJ$99,MATCH('County Scaled Consumption '!$B507,Production_Consumption!$AA$83:$AA$99,0),MATCH('County Scaled Consumption '!J$2,Production_Consumption!$AA$83:$AJ$83,0)))*'CA Population'!$L507*10^6</f>
        <v>24183.175349389163</v>
      </c>
      <c r="K507" s="143">
        <f>(INDEX(Production_Consumption!$AA$83:$AJ$99,MATCH('County Scaled Consumption '!$B507,Production_Consumption!$AA$83:$AA$99,0),MATCH('County Scaled Consumption '!K$2,Production_Consumption!$AA$83:$AJ$83,0)))*'CA Population'!$L507*10^6</f>
        <v>356081.40795204678</v>
      </c>
      <c r="L507" s="131">
        <f t="shared" si="7"/>
        <v>0</v>
      </c>
    </row>
    <row r="508" spans="1:12" x14ac:dyDescent="0.2">
      <c r="A508" s="132" t="s">
        <v>338</v>
      </c>
      <c r="B508" s="129">
        <v>2012</v>
      </c>
      <c r="C508" s="143">
        <f>(INDEX(Production_Consumption!$AA$83:$AJ$99,MATCH('County Scaled Consumption '!$B508,Production_Consumption!$AA$83:$AA$99,0),MATCH('County Scaled Consumption '!C$2,Production_Consumption!$AA$83:$AJ$83,0)))*'CA Population'!$L508*10^6</f>
        <v>16973.955504258825</v>
      </c>
      <c r="D508" s="143">
        <f>(INDEX(Production_Consumption!$AA$83:$AJ$99,MATCH('County Scaled Consumption '!$B508,Production_Consumption!$AA$83:$AA$99,0),MATCH('County Scaled Consumption '!D$2,Production_Consumption!$AA$83:$AJ$83,0)))*'CA Population'!$L508*10^6</f>
        <v>75813.929936557484</v>
      </c>
      <c r="E508" s="143">
        <f>(INDEX(Production_Consumption!$AA$83:$AJ$99,MATCH('County Scaled Consumption '!$B508,Production_Consumption!$AA$83:$AA$99,0),MATCH('County Scaled Consumption '!E$2,Production_Consumption!$AA$83:$AJ$83,0)))*'CA Population'!$L508*10^6</f>
        <v>35316.43841298487</v>
      </c>
      <c r="F508" s="143">
        <f>(INDEX(Production_Consumption!$AA$83:$AJ$99,MATCH('County Scaled Consumption '!$B508,Production_Consumption!$AA$83:$AA$99,0),MATCH('County Scaled Consumption '!F$2,Production_Consumption!$AA$83:$AJ$83,0)))*'CA Population'!$L508*10^6</f>
        <v>15993.334788045735</v>
      </c>
      <c r="G508" s="143">
        <f>(INDEX(Production_Consumption!$AA$83:$AJ$99,MATCH('County Scaled Consumption '!$B508,Production_Consumption!$AA$83:$AA$99,0),MATCH('County Scaled Consumption '!G$2,Production_Consumption!$AA$83:$AJ$83,0)))*'CA Population'!$L508*10^6</f>
        <v>43837.027540518073</v>
      </c>
      <c r="H508" s="143">
        <f>(INDEX(Production_Consumption!$AA$83:$AJ$99,MATCH('County Scaled Consumption '!$B508,Production_Consumption!$AA$83:$AA$99,0),MATCH('County Scaled Consumption '!H$2,Production_Consumption!$AA$83:$AJ$83,0)))*'CA Population'!$L508*10^6</f>
        <v>1209.7912558835762</v>
      </c>
      <c r="I508" s="143">
        <f>(INDEX(Production_Consumption!$AA$83:$AJ$99,MATCH('County Scaled Consumption '!$B508,Production_Consumption!$AA$83:$AA$99,0),MATCH('County Scaled Consumption '!I$2,Production_Consumption!$AA$83:$AJ$83,0)))*'CA Population'!$L508*10^6</f>
        <v>24170.042791022854</v>
      </c>
      <c r="J508" s="143">
        <f>(INDEX(Production_Consumption!$AA$83:$AJ$99,MATCH('County Scaled Consumption '!$B508,Production_Consumption!$AA$83:$AA$99,0),MATCH('County Scaled Consumption '!J$2,Production_Consumption!$AA$83:$AJ$83,0)))*'CA Population'!$L508*10^6</f>
        <v>15542.783722657237</v>
      </c>
      <c r="K508" s="143">
        <f>(INDEX(Production_Consumption!$AA$83:$AJ$99,MATCH('County Scaled Consumption '!$B508,Production_Consumption!$AA$83:$AA$99,0),MATCH('County Scaled Consumption '!K$2,Production_Consumption!$AA$83:$AJ$83,0)))*'CA Population'!$L508*10^6</f>
        <v>228857.30395192865</v>
      </c>
      <c r="L508" s="131">
        <f t="shared" si="7"/>
        <v>0</v>
      </c>
    </row>
    <row r="509" spans="1:12" x14ac:dyDescent="0.2">
      <c r="A509" s="132" t="s">
        <v>339</v>
      </c>
      <c r="B509" s="129">
        <v>2012</v>
      </c>
      <c r="C509" s="143">
        <f>(INDEX(Production_Consumption!$AA$83:$AJ$99,MATCH('County Scaled Consumption '!$B509,Production_Consumption!$AA$83:$AA$99,0),MATCH('County Scaled Consumption '!C$2,Production_Consumption!$AA$83:$AJ$83,0)))*'CA Population'!$L509*10^6</f>
        <v>665.02837149713093</v>
      </c>
      <c r="D509" s="143">
        <f>(INDEX(Production_Consumption!$AA$83:$AJ$99,MATCH('County Scaled Consumption '!$B509,Production_Consumption!$AA$83:$AA$99,0),MATCH('County Scaled Consumption '!D$2,Production_Consumption!$AA$83:$AJ$83,0)))*'CA Population'!$L509*10^6</f>
        <v>2970.339727228356</v>
      </c>
      <c r="E509" s="143">
        <f>(INDEX(Production_Consumption!$AA$83:$AJ$99,MATCH('County Scaled Consumption '!$B509,Production_Consumption!$AA$83:$AA$99,0),MATCH('County Scaled Consumption '!E$2,Production_Consumption!$AA$83:$AJ$83,0)))*'CA Population'!$L509*10^6</f>
        <v>1383.6747432838044</v>
      </c>
      <c r="F509" s="143">
        <f>(INDEX(Production_Consumption!$AA$83:$AJ$99,MATCH('County Scaled Consumption '!$B509,Production_Consumption!$AA$83:$AA$99,0),MATCH('County Scaled Consumption '!F$2,Production_Consumption!$AA$83:$AJ$83,0)))*'CA Population'!$L509*10^6</f>
        <v>626.60829918128707</v>
      </c>
      <c r="G509" s="143">
        <f>(INDEX(Production_Consumption!$AA$83:$AJ$99,MATCH('County Scaled Consumption '!$B509,Production_Consumption!$AA$83:$AA$99,0),MATCH('County Scaled Consumption '!G$2,Production_Consumption!$AA$83:$AJ$83,0)))*'CA Population'!$L509*10^6</f>
        <v>1717.5058005325311</v>
      </c>
      <c r="H509" s="143">
        <f>(INDEX(Production_Consumption!$AA$83:$AJ$99,MATCH('County Scaled Consumption '!$B509,Production_Consumption!$AA$83:$AA$99,0),MATCH('County Scaled Consumption '!H$2,Production_Consumption!$AA$83:$AJ$83,0)))*'CA Population'!$L509*10^6</f>
        <v>47.398822775861547</v>
      </c>
      <c r="I509" s="143">
        <f>(INDEX(Production_Consumption!$AA$83:$AJ$99,MATCH('County Scaled Consumption '!$B509,Production_Consumption!$AA$83:$AA$99,0),MATCH('County Scaled Consumption '!I$2,Production_Consumption!$AA$83:$AJ$83,0)))*'CA Population'!$L509*10^6</f>
        <v>946.96632097903966</v>
      </c>
      <c r="J509" s="143">
        <f>(INDEX(Production_Consumption!$AA$83:$AJ$99,MATCH('County Scaled Consumption '!$B509,Production_Consumption!$AA$83:$AA$99,0),MATCH('County Scaled Consumption '!J$2,Production_Consumption!$AA$83:$AJ$83,0)))*'CA Population'!$L509*10^6</f>
        <v>608.95600586542253</v>
      </c>
      <c r="K509" s="143">
        <f>(INDEX(Production_Consumption!$AA$83:$AJ$99,MATCH('County Scaled Consumption '!$B509,Production_Consumption!$AA$83:$AA$99,0),MATCH('County Scaled Consumption '!K$2,Production_Consumption!$AA$83:$AJ$83,0)))*'CA Population'!$L509*10^6</f>
        <v>8966.4780913434333</v>
      </c>
      <c r="L509" s="131">
        <f t="shared" si="7"/>
        <v>0</v>
      </c>
    </row>
    <row r="510" spans="1:12" x14ac:dyDescent="0.2">
      <c r="A510" s="132" t="s">
        <v>340</v>
      </c>
      <c r="B510" s="129">
        <v>2012</v>
      </c>
      <c r="C510" s="143">
        <f>(INDEX(Production_Consumption!$AA$83:$AJ$99,MATCH('County Scaled Consumption '!$B510,Production_Consumption!$AA$83:$AA$99,0),MATCH('County Scaled Consumption '!C$2,Production_Consumption!$AA$83:$AJ$83,0)))*'CA Population'!$L510*10^6</f>
        <v>24372.599112135362</v>
      </c>
      <c r="D510" s="143">
        <f>(INDEX(Production_Consumption!$AA$83:$AJ$99,MATCH('County Scaled Consumption '!$B510,Production_Consumption!$AA$83:$AA$99,0),MATCH('County Scaled Consumption '!D$2,Production_Consumption!$AA$83:$AJ$83,0)))*'CA Population'!$L510*10^6</f>
        <v>108859.865986783</v>
      </c>
      <c r="E510" s="143">
        <f>(INDEX(Production_Consumption!$AA$83:$AJ$99,MATCH('County Scaled Consumption '!$B510,Production_Consumption!$AA$83:$AA$99,0),MATCH('County Scaled Consumption '!E$2,Production_Consumption!$AA$83:$AJ$83,0)))*'CA Population'!$L510*10^6</f>
        <v>50710.242246842943</v>
      </c>
      <c r="F510" s="143">
        <f>(INDEX(Production_Consumption!$AA$83:$AJ$99,MATCH('County Scaled Consumption '!$B510,Production_Consumption!$AA$83:$AA$99,0),MATCH('County Scaled Consumption '!F$2,Production_Consumption!$AA$83:$AJ$83,0)))*'CA Population'!$L510*10^6</f>
        <v>22964.543365122234</v>
      </c>
      <c r="G510" s="143">
        <f>(INDEX(Production_Consumption!$AA$83:$AJ$99,MATCH('County Scaled Consumption '!$B510,Production_Consumption!$AA$83:$AA$99,0),MATCH('County Scaled Consumption '!G$2,Production_Consumption!$AA$83:$AJ$83,0)))*'CA Population'!$L510*10^6</f>
        <v>62944.803775679349</v>
      </c>
      <c r="H510" s="143">
        <f>(INDEX(Production_Consumption!$AA$83:$AJ$99,MATCH('County Scaled Consumption '!$B510,Production_Consumption!$AA$83:$AA$99,0),MATCH('County Scaled Consumption '!H$2,Production_Consumption!$AA$83:$AJ$83,0)))*'CA Population'!$L510*10^6</f>
        <v>1737.1176259781696</v>
      </c>
      <c r="I510" s="143">
        <f>(INDEX(Production_Consumption!$AA$83:$AJ$99,MATCH('County Scaled Consumption '!$B510,Production_Consumption!$AA$83:$AA$99,0),MATCH('County Scaled Consumption '!I$2,Production_Consumption!$AA$83:$AJ$83,0)))*'CA Population'!$L510*10^6</f>
        <v>34705.332137871657</v>
      </c>
      <c r="J510" s="143">
        <f>(INDEX(Production_Consumption!$AA$83:$AJ$99,MATCH('County Scaled Consumption '!$B510,Production_Consumption!$AA$83:$AA$99,0),MATCH('County Scaled Consumption '!J$2,Production_Consumption!$AA$83:$AJ$83,0)))*'CA Population'!$L510*10^6</f>
        <v>22317.605148894196</v>
      </c>
      <c r="K510" s="143">
        <f>(INDEX(Production_Consumption!$AA$83:$AJ$99,MATCH('County Scaled Consumption '!$B510,Production_Consumption!$AA$83:$AA$99,0),MATCH('County Scaled Consumption '!K$2,Production_Consumption!$AA$83:$AJ$83,0)))*'CA Population'!$L510*10^6</f>
        <v>328612.10939930688</v>
      </c>
      <c r="L510" s="131">
        <f t="shared" si="7"/>
        <v>0</v>
      </c>
    </row>
    <row r="511" spans="1:12" x14ac:dyDescent="0.2">
      <c r="A511" s="132" t="s">
        <v>341</v>
      </c>
      <c r="B511" s="129">
        <v>2012</v>
      </c>
      <c r="C511" s="143">
        <f>(INDEX(Production_Consumption!$AA$83:$AJ$99,MATCH('County Scaled Consumption '!$B511,Production_Consumption!$AA$83:$AA$99,0),MATCH('County Scaled Consumption '!C$2,Production_Consumption!$AA$83:$AJ$83,0)))*'CA Population'!$L511*10^6</f>
        <v>37203.935475894417</v>
      </c>
      <c r="D511" s="143">
        <f>(INDEX(Production_Consumption!$AA$83:$AJ$99,MATCH('County Scaled Consumption '!$B511,Production_Consumption!$AA$83:$AA$99,0),MATCH('County Scaled Consumption '!D$2,Production_Consumption!$AA$83:$AJ$83,0)))*'CA Population'!$L511*10^6</f>
        <v>166170.84667306757</v>
      </c>
      <c r="E511" s="143">
        <f>(INDEX(Production_Consumption!$AA$83:$AJ$99,MATCH('County Scaled Consumption '!$B511,Production_Consumption!$AA$83:$AA$99,0),MATCH('County Scaled Consumption '!E$2,Production_Consumption!$AA$83:$AJ$83,0)))*'CA Population'!$L511*10^6</f>
        <v>77407.443163464355</v>
      </c>
      <c r="F511" s="143">
        <f>(INDEX(Production_Consumption!$AA$83:$AJ$99,MATCH('County Scaled Consumption '!$B511,Production_Consumption!$AA$83:$AA$99,0),MATCH('County Scaled Consumption '!F$2,Production_Consumption!$AA$83:$AJ$83,0)))*'CA Population'!$L511*10^6</f>
        <v>35054.586737283462</v>
      </c>
      <c r="G511" s="143">
        <f>(INDEX(Production_Consumption!$AA$83:$AJ$99,MATCH('County Scaled Consumption '!$B511,Production_Consumption!$AA$83:$AA$99,0),MATCH('County Scaled Consumption '!G$2,Production_Consumption!$AA$83:$AJ$83,0)))*'CA Population'!$L511*10^6</f>
        <v>96083.081145301694</v>
      </c>
      <c r="H511" s="143">
        <f>(INDEX(Production_Consumption!$AA$83:$AJ$99,MATCH('County Scaled Consumption '!$B511,Production_Consumption!$AA$83:$AA$99,0),MATCH('County Scaled Consumption '!H$2,Production_Consumption!$AA$83:$AJ$83,0)))*'CA Population'!$L511*10^6</f>
        <v>2651.6503953307129</v>
      </c>
      <c r="I511" s="143">
        <f>(INDEX(Production_Consumption!$AA$83:$AJ$99,MATCH('County Scaled Consumption '!$B511,Production_Consumption!$AA$83:$AA$99,0),MATCH('County Scaled Consumption '!I$2,Production_Consumption!$AA$83:$AJ$83,0)))*'CA Population'!$L511*10^6</f>
        <v>52976.497565414473</v>
      </c>
      <c r="J511" s="143">
        <f>(INDEX(Production_Consumption!$AA$83:$AJ$99,MATCH('County Scaled Consumption '!$B511,Production_Consumption!$AA$83:$AA$99,0),MATCH('County Scaled Consumption '!J$2,Production_Consumption!$AA$83:$AJ$83,0)))*'CA Population'!$L511*10^6</f>
        <v>34067.057769088431</v>
      </c>
      <c r="K511" s="143">
        <f>(INDEX(Production_Consumption!$AA$83:$AJ$99,MATCH('County Scaled Consumption '!$B511,Production_Consumption!$AA$83:$AA$99,0),MATCH('County Scaled Consumption '!K$2,Production_Consumption!$AA$83:$AJ$83,0)))*'CA Population'!$L511*10^6</f>
        <v>501615.09892484511</v>
      </c>
      <c r="L511" s="131">
        <f t="shared" si="7"/>
        <v>0</v>
      </c>
    </row>
    <row r="512" spans="1:12" x14ac:dyDescent="0.2">
      <c r="A512" s="132" t="s">
        <v>342</v>
      </c>
      <c r="B512" s="129">
        <v>2012</v>
      </c>
      <c r="C512" s="143">
        <f>(INDEX(Production_Consumption!$AA$83:$AJ$99,MATCH('County Scaled Consumption '!$B512,Production_Consumption!$AA$83:$AA$99,0),MATCH('County Scaled Consumption '!C$2,Production_Consumption!$AA$83:$AJ$83,0)))*'CA Population'!$L512*10^6</f>
        <v>9757.9658369100853</v>
      </c>
      <c r="D512" s="143">
        <f>(INDEX(Production_Consumption!$AA$83:$AJ$99,MATCH('County Scaled Consumption '!$B512,Production_Consumption!$AA$83:$AA$99,0),MATCH('County Scaled Consumption '!D$2,Production_Consumption!$AA$83:$AJ$83,0)))*'CA Population'!$L512*10^6</f>
        <v>43583.815104099158</v>
      </c>
      <c r="E512" s="143">
        <f>(INDEX(Production_Consumption!$AA$83:$AJ$99,MATCH('County Scaled Consumption '!$B512,Production_Consumption!$AA$83:$AA$99,0),MATCH('County Scaled Consumption '!E$2,Production_Consumption!$AA$83:$AJ$83,0)))*'CA Population'!$L512*10^6</f>
        <v>20302.668958262548</v>
      </c>
      <c r="F512" s="143">
        <f>(INDEX(Production_Consumption!$AA$83:$AJ$99,MATCH('County Scaled Consumption '!$B512,Production_Consumption!$AA$83:$AA$99,0),MATCH('County Scaled Consumption '!F$2,Production_Consumption!$AA$83:$AJ$83,0)))*'CA Population'!$L512*10^6</f>
        <v>9194.2278534228099</v>
      </c>
      <c r="G512" s="143">
        <f>(INDEX(Production_Consumption!$AA$83:$AJ$99,MATCH('County Scaled Consumption '!$B512,Production_Consumption!$AA$83:$AA$99,0),MATCH('County Scaled Consumption '!G$2,Production_Consumption!$AA$83:$AJ$83,0)))*'CA Population'!$L512*10^6</f>
        <v>25200.974341233272</v>
      </c>
      <c r="H512" s="143">
        <f>(INDEX(Production_Consumption!$AA$83:$AJ$99,MATCH('County Scaled Consumption '!$B512,Production_Consumption!$AA$83:$AA$99,0),MATCH('County Scaled Consumption '!H$2,Production_Consumption!$AA$83:$AJ$83,0)))*'CA Population'!$L512*10^6</f>
        <v>695.48325030913054</v>
      </c>
      <c r="I512" s="143">
        <f>(INDEX(Production_Consumption!$AA$83:$AJ$99,MATCH('County Scaled Consumption '!$B512,Production_Consumption!$AA$83:$AA$99,0),MATCH('County Scaled Consumption '!I$2,Production_Consumption!$AA$83:$AJ$83,0)))*'CA Population'!$L512*10^6</f>
        <v>13894.843295204833</v>
      </c>
      <c r="J512" s="143">
        <f>(INDEX(Production_Consumption!$AA$83:$AJ$99,MATCH('County Scaled Consumption '!$B512,Production_Consumption!$AA$83:$AA$99,0),MATCH('County Scaled Consumption '!J$2,Production_Consumption!$AA$83:$AJ$83,0)))*'CA Population'!$L512*10^6</f>
        <v>8935.2156330395683</v>
      </c>
      <c r="K512" s="143">
        <f>(INDEX(Production_Consumption!$AA$83:$AJ$99,MATCH('County Scaled Consumption '!$B512,Production_Consumption!$AA$83:$AA$99,0),MATCH('County Scaled Consumption '!K$2,Production_Consumption!$AA$83:$AJ$83,0)))*'CA Population'!$L512*10^6</f>
        <v>131565.1942724814</v>
      </c>
      <c r="L512" s="131">
        <f t="shared" si="7"/>
        <v>0</v>
      </c>
    </row>
    <row r="513" spans="1:12" x14ac:dyDescent="0.2">
      <c r="A513" s="132" t="s">
        <v>343</v>
      </c>
      <c r="B513" s="129">
        <v>2012</v>
      </c>
      <c r="C513" s="143">
        <f>(INDEX(Production_Consumption!$AA$83:$AJ$99,MATCH('County Scaled Consumption '!$B513,Production_Consumption!$AA$83:$AA$99,0),MATCH('County Scaled Consumption '!C$2,Production_Consumption!$AA$83:$AJ$83,0)))*'CA Population'!$L513*10^6</f>
        <v>8226.3931894206216</v>
      </c>
      <c r="D513" s="143">
        <f>(INDEX(Production_Consumption!$AA$83:$AJ$99,MATCH('County Scaled Consumption '!$B513,Production_Consumption!$AA$83:$AA$99,0),MATCH('County Scaled Consumption '!D$2,Production_Consumption!$AA$83:$AJ$83,0)))*'CA Population'!$L513*10^6</f>
        <v>36743.067739091595</v>
      </c>
      <c r="E513" s="143">
        <f>(INDEX(Production_Consumption!$AA$83:$AJ$99,MATCH('County Scaled Consumption '!$B513,Production_Consumption!$AA$83:$AA$99,0),MATCH('County Scaled Consumption '!E$2,Production_Consumption!$AA$83:$AJ$83,0)))*'CA Population'!$L513*10^6</f>
        <v>17116.040416288197</v>
      </c>
      <c r="F513" s="143">
        <f>(INDEX(Production_Consumption!$AA$83:$AJ$99,MATCH('County Scaled Consumption '!$B513,Production_Consumption!$AA$83:$AA$99,0),MATCH('County Scaled Consumption '!F$2,Production_Consumption!$AA$83:$AJ$83,0)))*'CA Population'!$L513*10^6</f>
        <v>7751.1373435315418</v>
      </c>
      <c r="G513" s="143">
        <f>(INDEX(Production_Consumption!$AA$83:$AJ$99,MATCH('County Scaled Consumption '!$B513,Production_Consumption!$AA$83:$AA$99,0),MATCH('County Scaled Consumption '!G$2,Production_Consumption!$AA$83:$AJ$83,0)))*'CA Population'!$L513*10^6</f>
        <v>21245.526696077479</v>
      </c>
      <c r="H513" s="143">
        <f>(INDEX(Production_Consumption!$AA$83:$AJ$99,MATCH('County Scaled Consumption '!$B513,Production_Consumption!$AA$83:$AA$99,0),MATCH('County Scaled Consumption '!H$2,Production_Consumption!$AA$83:$AJ$83,0)))*'CA Population'!$L513*10^6</f>
        <v>586.32288422838303</v>
      </c>
      <c r="I513" s="143">
        <f>(INDEX(Production_Consumption!$AA$83:$AJ$99,MATCH('County Scaled Consumption '!$B513,Production_Consumption!$AA$83:$AA$99,0),MATCH('County Scaled Consumption '!I$2,Production_Consumption!$AA$83:$AJ$83,0)))*'CA Population'!$L513*10^6</f>
        <v>11713.962332126279</v>
      </c>
      <c r="J513" s="143">
        <f>(INDEX(Production_Consumption!$AA$83:$AJ$99,MATCH('County Scaled Consumption '!$B513,Production_Consumption!$AA$83:$AA$99,0),MATCH('County Scaled Consumption '!J$2,Production_Consumption!$AA$83:$AJ$83,0)))*'CA Population'!$L513*10^6</f>
        <v>7532.7786813524053</v>
      </c>
      <c r="K513" s="143">
        <f>(INDEX(Production_Consumption!$AA$83:$AJ$99,MATCH('County Scaled Consumption '!$B513,Production_Consumption!$AA$83:$AA$99,0),MATCH('County Scaled Consumption '!K$2,Production_Consumption!$AA$83:$AJ$83,0)))*'CA Population'!$L513*10^6</f>
        <v>110915.2292821165</v>
      </c>
      <c r="L513" s="131">
        <f t="shared" si="7"/>
        <v>0</v>
      </c>
    </row>
    <row r="514" spans="1:12" x14ac:dyDescent="0.2">
      <c r="A514" s="132" t="s">
        <v>344</v>
      </c>
      <c r="B514" s="129">
        <v>2012</v>
      </c>
      <c r="C514" s="143">
        <f>(INDEX(Production_Consumption!$AA$83:$AJ$99,MATCH('County Scaled Consumption '!$B514,Production_Consumption!$AA$83:$AA$99,0),MATCH('County Scaled Consumption '!C$2,Production_Consumption!$AA$83:$AJ$83,0)))*'CA Population'!$L514*10^6</f>
        <v>3199.7445087640986</v>
      </c>
      <c r="D514" s="143">
        <f>(INDEX(Production_Consumption!$AA$83:$AJ$99,MATCH('County Scaled Consumption '!$B514,Production_Consumption!$AA$83:$AA$99,0),MATCH('County Scaled Consumption '!D$2,Production_Consumption!$AA$83:$AJ$83,0)))*'CA Population'!$L514*10^6</f>
        <v>14291.613168271853</v>
      </c>
      <c r="E514" s="143">
        <f>(INDEX(Production_Consumption!$AA$83:$AJ$99,MATCH('County Scaled Consumption '!$B514,Production_Consumption!$AA$83:$AA$99,0),MATCH('County Scaled Consumption '!E$2,Production_Consumption!$AA$83:$AJ$83,0)))*'CA Population'!$L514*10^6</f>
        <v>6657.4688411726311</v>
      </c>
      <c r="F514" s="143">
        <f>(INDEX(Production_Consumption!$AA$83:$AJ$99,MATCH('County Scaled Consumption '!$B514,Production_Consumption!$AA$83:$AA$99,0),MATCH('County Scaled Consumption '!F$2,Production_Consumption!$AA$83:$AJ$83,0)))*'CA Population'!$L514*10^6</f>
        <v>3014.8886128536915</v>
      </c>
      <c r="G514" s="143">
        <f>(INDEX(Production_Consumption!$AA$83:$AJ$99,MATCH('County Scaled Consumption '!$B514,Production_Consumption!$AA$83:$AA$99,0),MATCH('County Scaled Consumption '!G$2,Production_Consumption!$AA$83:$AJ$83,0)))*'CA Population'!$L514*10^6</f>
        <v>8263.6771445594804</v>
      </c>
      <c r="H514" s="143">
        <f>(INDEX(Production_Consumption!$AA$83:$AJ$99,MATCH('County Scaled Consumption '!$B514,Production_Consumption!$AA$83:$AA$99,0),MATCH('County Scaled Consumption '!H$2,Production_Consumption!$AA$83:$AJ$83,0)))*'CA Population'!$L514*10^6</f>
        <v>228.05662043788453</v>
      </c>
      <c r="I514" s="143">
        <f>(INDEX(Production_Consumption!$AA$83:$AJ$99,MATCH('County Scaled Consumption '!$B514,Production_Consumption!$AA$83:$AA$99,0),MATCH('County Scaled Consumption '!I$2,Production_Consumption!$AA$83:$AJ$83,0)))*'CA Population'!$L514*10^6</f>
        <v>4556.2722064261507</v>
      </c>
      <c r="J514" s="143">
        <f>(INDEX(Production_Consumption!$AA$83:$AJ$99,MATCH('County Scaled Consumption '!$B514,Production_Consumption!$AA$83:$AA$99,0),MATCH('County Scaled Consumption '!J$2,Production_Consumption!$AA$83:$AJ$83,0)))*'CA Population'!$L514*10^6</f>
        <v>2929.9556520577858</v>
      </c>
      <c r="K514" s="143">
        <f>(INDEX(Production_Consumption!$AA$83:$AJ$99,MATCH('County Scaled Consumption '!$B514,Production_Consumption!$AA$83:$AA$99,0),MATCH('County Scaled Consumption '!K$2,Production_Consumption!$AA$83:$AJ$83,0)))*'CA Population'!$L514*10^6</f>
        <v>43141.67675454358</v>
      </c>
      <c r="L514" s="131">
        <f t="shared" si="7"/>
        <v>0</v>
      </c>
    </row>
    <row r="515" spans="1:12" x14ac:dyDescent="0.2">
      <c r="A515" s="132" t="s">
        <v>345</v>
      </c>
      <c r="B515" s="129">
        <v>2012</v>
      </c>
      <c r="C515" s="143">
        <f>(INDEX(Production_Consumption!$AA$83:$AJ$99,MATCH('County Scaled Consumption '!$B515,Production_Consumption!$AA$83:$AA$99,0),MATCH('County Scaled Consumption '!C$2,Production_Consumption!$AA$83:$AJ$83,0)))*'CA Population'!$L515*10^6</f>
        <v>8672.0556256436612</v>
      </c>
      <c r="D515" s="143">
        <f>(INDEX(Production_Consumption!$AA$83:$AJ$99,MATCH('County Scaled Consumption '!$B515,Production_Consumption!$AA$83:$AA$99,0),MATCH('County Scaled Consumption '!D$2,Production_Consumption!$AA$83:$AJ$83,0)))*'CA Population'!$L515*10^6</f>
        <v>38733.612648125432</v>
      </c>
      <c r="E515" s="143">
        <f>(INDEX(Production_Consumption!$AA$83:$AJ$99,MATCH('County Scaled Consumption '!$B515,Production_Consumption!$AA$83:$AA$99,0),MATCH('County Scaled Consumption '!E$2,Production_Consumption!$AA$83:$AJ$83,0)))*'CA Population'!$L515*10^6</f>
        <v>18043.296881518287</v>
      </c>
      <c r="F515" s="143">
        <f>(INDEX(Production_Consumption!$AA$83:$AJ$99,MATCH('County Scaled Consumption '!$B515,Production_Consumption!$AA$83:$AA$99,0),MATCH('County Scaled Consumption '!F$2,Production_Consumption!$AA$83:$AJ$83,0)))*'CA Population'!$L515*10^6</f>
        <v>8171.0529338123588</v>
      </c>
      <c r="G515" s="143">
        <f>(INDEX(Production_Consumption!$AA$83:$AJ$99,MATCH('County Scaled Consumption '!$B515,Production_Consumption!$AA$83:$AA$99,0),MATCH('County Scaled Consumption '!G$2,Production_Consumption!$AA$83:$AJ$83,0)))*'CA Population'!$L515*10^6</f>
        <v>22396.496868326489</v>
      </c>
      <c r="H515" s="143">
        <f>(INDEX(Production_Consumption!$AA$83:$AJ$99,MATCH('County Scaled Consumption '!$B515,Production_Consumption!$AA$83:$AA$99,0),MATCH('County Scaled Consumption '!H$2,Production_Consumption!$AA$83:$AJ$83,0)))*'CA Population'!$L515*10^6</f>
        <v>618.08675436950182</v>
      </c>
      <c r="I515" s="143">
        <f>(INDEX(Production_Consumption!$AA$83:$AJ$99,MATCH('County Scaled Consumption '!$B515,Production_Consumption!$AA$83:$AA$99,0),MATCH('County Scaled Consumption '!I$2,Production_Consumption!$AA$83:$AJ$83,0)))*'CA Population'!$L515*10^6</f>
        <v>12348.562802898088</v>
      </c>
      <c r="J515" s="143">
        <f>(INDEX(Production_Consumption!$AA$83:$AJ$99,MATCH('County Scaled Consumption '!$B515,Production_Consumption!$AA$83:$AA$99,0),MATCH('County Scaled Consumption '!J$2,Production_Consumption!$AA$83:$AJ$83,0)))*'CA Population'!$L515*10^6</f>
        <v>7940.8647552076891</v>
      </c>
      <c r="K515" s="143">
        <f>(INDEX(Production_Consumption!$AA$83:$AJ$99,MATCH('County Scaled Consumption '!$B515,Production_Consumption!$AA$83:$AA$99,0),MATCH('County Scaled Consumption '!K$2,Production_Consumption!$AA$83:$AJ$83,0)))*'CA Population'!$L515*10^6</f>
        <v>116924.0292699015</v>
      </c>
      <c r="L515" s="131">
        <f t="shared" si="7"/>
        <v>0</v>
      </c>
    </row>
    <row r="516" spans="1:12" x14ac:dyDescent="0.2">
      <c r="A516" s="132" t="s">
        <v>346</v>
      </c>
      <c r="B516" s="129">
        <v>2012</v>
      </c>
      <c r="C516" s="143">
        <f>(INDEX(Production_Consumption!$AA$83:$AJ$99,MATCH('County Scaled Consumption '!$B516,Production_Consumption!$AA$83:$AA$99,0),MATCH('County Scaled Consumption '!C$2,Production_Consumption!$AA$83:$AJ$83,0)))*'CA Population'!$L516*10^6</f>
        <v>5040.0979787318474</v>
      </c>
      <c r="D516" s="143">
        <f>(INDEX(Production_Consumption!$AA$83:$AJ$99,MATCH('County Scaled Consumption '!$B516,Production_Consumption!$AA$83:$AA$99,0),MATCH('County Scaled Consumption '!D$2,Production_Consumption!$AA$83:$AJ$83,0)))*'CA Population'!$L516*10^6</f>
        <v>22511.525668668608</v>
      </c>
      <c r="E516" s="143">
        <f>(INDEX(Production_Consumption!$AA$83:$AJ$99,MATCH('County Scaled Consumption '!$B516,Production_Consumption!$AA$83:$AA$99,0),MATCH('County Scaled Consumption '!E$2,Production_Consumption!$AA$83:$AJ$83,0)))*'CA Population'!$L516*10^6</f>
        <v>10486.554522699935</v>
      </c>
      <c r="F516" s="143">
        <f>(INDEX(Production_Consumption!$AA$83:$AJ$99,MATCH('County Scaled Consumption '!$B516,Production_Consumption!$AA$83:$AA$99,0),MATCH('County Scaled Consumption '!F$2,Production_Consumption!$AA$83:$AJ$83,0)))*'CA Population'!$L516*10^6</f>
        <v>4748.9210348281058</v>
      </c>
      <c r="G516" s="143">
        <f>(INDEX(Production_Consumption!$AA$83:$AJ$99,MATCH('County Scaled Consumption '!$B516,Production_Consumption!$AA$83:$AA$99,0),MATCH('County Scaled Consumption '!G$2,Production_Consumption!$AA$83:$AJ$83,0)))*'CA Population'!$L516*10^6</f>
        <v>13016.583780082501</v>
      </c>
      <c r="H516" s="143">
        <f>(INDEX(Production_Consumption!$AA$83:$AJ$99,MATCH('County Scaled Consumption '!$B516,Production_Consumption!$AA$83:$AA$99,0),MATCH('County Scaled Consumption '!H$2,Production_Consumption!$AA$83:$AJ$83,0)))*'CA Population'!$L516*10^6</f>
        <v>359.22484078247999</v>
      </c>
      <c r="I516" s="143">
        <f>(INDEX(Production_Consumption!$AA$83:$AJ$99,MATCH('County Scaled Consumption '!$B516,Production_Consumption!$AA$83:$AA$99,0),MATCH('County Scaled Consumption '!I$2,Production_Consumption!$AA$83:$AJ$83,0)))*'CA Population'!$L516*10^6</f>
        <v>7176.8412369368853</v>
      </c>
      <c r="J516" s="143">
        <f>(INDEX(Production_Consumption!$AA$83:$AJ$99,MATCH('County Scaled Consumption '!$B516,Production_Consumption!$AA$83:$AA$99,0),MATCH('County Scaled Consumption '!J$2,Production_Consumption!$AA$83:$AJ$83,0)))*'CA Population'!$L516*10^6</f>
        <v>4615.1383397214595</v>
      </c>
      <c r="K516" s="143">
        <f>(INDEX(Production_Consumption!$AA$83:$AJ$99,MATCH('County Scaled Consumption '!$B516,Production_Consumption!$AA$83:$AA$99,0),MATCH('County Scaled Consumption '!K$2,Production_Consumption!$AA$83:$AJ$83,0)))*'CA Population'!$L516*10^6</f>
        <v>67954.887402451815</v>
      </c>
      <c r="L516" s="131">
        <f t="shared" ref="L516:L579" si="8">K516-SUM(C516:J516)</f>
        <v>0</v>
      </c>
    </row>
    <row r="517" spans="1:12" x14ac:dyDescent="0.2">
      <c r="A517" s="132" t="s">
        <v>347</v>
      </c>
      <c r="B517" s="129">
        <v>2012</v>
      </c>
      <c r="C517" s="143">
        <f>(INDEX(Production_Consumption!$AA$83:$AJ$99,MATCH('County Scaled Consumption '!$B517,Production_Consumption!$AA$83:$AA$99,0),MATCH('County Scaled Consumption '!C$2,Production_Consumption!$AA$83:$AJ$83,0)))*'CA Population'!$L517*10^6</f>
        <v>21590.959510204615</v>
      </c>
      <c r="D517" s="143">
        <f>(INDEX(Production_Consumption!$AA$83:$AJ$99,MATCH('County Scaled Consumption '!$B517,Production_Consumption!$AA$83:$AA$99,0),MATCH('County Scaled Consumption '!D$2,Production_Consumption!$AA$83:$AJ$83,0)))*'CA Population'!$L517*10^6</f>
        <v>96435.712415942151</v>
      </c>
      <c r="E517" s="143">
        <f>(INDEX(Production_Consumption!$AA$83:$AJ$99,MATCH('County Scaled Consumption '!$B517,Production_Consumption!$AA$83:$AA$99,0),MATCH('County Scaled Consumption '!E$2,Production_Consumption!$AA$83:$AJ$83,0)))*'CA Population'!$L517*10^6</f>
        <v>44922.692982674154</v>
      </c>
      <c r="F517" s="143">
        <f>(INDEX(Production_Consumption!$AA$83:$AJ$99,MATCH('County Scaled Consumption '!$B517,Production_Consumption!$AA$83:$AA$99,0),MATCH('County Scaled Consumption '!F$2,Production_Consumption!$AA$83:$AJ$83,0)))*'CA Population'!$L517*10^6</f>
        <v>20343.604868953647</v>
      </c>
      <c r="G517" s="143">
        <f>(INDEX(Production_Consumption!$AA$83:$AJ$99,MATCH('County Scaled Consumption '!$B517,Production_Consumption!$AA$83:$AA$99,0),MATCH('County Scaled Consumption '!G$2,Production_Consumption!$AA$83:$AJ$83,0)))*'CA Population'!$L517*10^6</f>
        <v>55760.926581760767</v>
      </c>
      <c r="H517" s="143">
        <f>(INDEX(Production_Consumption!$AA$83:$AJ$99,MATCH('County Scaled Consumption '!$B517,Production_Consumption!$AA$83:$AA$99,0),MATCH('County Scaled Consumption '!H$2,Production_Consumption!$AA$83:$AJ$83,0)))*'CA Population'!$L517*10^6</f>
        <v>1538.860757295384</v>
      </c>
      <c r="I517" s="143">
        <f>(INDEX(Production_Consumption!$AA$83:$AJ$99,MATCH('County Scaled Consumption '!$B517,Production_Consumption!$AA$83:$AA$99,0),MATCH('County Scaled Consumption '!I$2,Production_Consumption!$AA$83:$AJ$83,0)))*'CA Population'!$L517*10^6</f>
        <v>30744.419892579092</v>
      </c>
      <c r="J517" s="143">
        <f>(INDEX(Production_Consumption!$AA$83:$AJ$99,MATCH('County Scaled Consumption '!$B517,Production_Consumption!$AA$83:$AA$99,0),MATCH('County Scaled Consumption '!J$2,Production_Consumption!$AA$83:$AJ$83,0)))*'CA Population'!$L517*10^6</f>
        <v>19770.501575048944</v>
      </c>
      <c r="K517" s="143">
        <f>(INDEX(Production_Consumption!$AA$83:$AJ$99,MATCH('County Scaled Consumption '!$B517,Production_Consumption!$AA$83:$AA$99,0),MATCH('County Scaled Consumption '!K$2,Production_Consumption!$AA$83:$AJ$83,0)))*'CA Population'!$L517*10^6</f>
        <v>291107.67858445871</v>
      </c>
      <c r="L517" s="131">
        <f t="shared" si="8"/>
        <v>0</v>
      </c>
    </row>
    <row r="518" spans="1:12" x14ac:dyDescent="0.2">
      <c r="A518" s="132" t="s">
        <v>348</v>
      </c>
      <c r="B518" s="129">
        <v>2012</v>
      </c>
      <c r="C518" s="143">
        <f>(INDEX(Production_Consumption!$AA$83:$AJ$99,MATCH('County Scaled Consumption '!$B518,Production_Consumption!$AA$83:$AA$99,0),MATCH('County Scaled Consumption '!C$2,Production_Consumption!$AA$83:$AJ$83,0)))*'CA Population'!$L518*10^6</f>
        <v>3145.606083178297</v>
      </c>
      <c r="D518" s="143">
        <f>(INDEX(Production_Consumption!$AA$83:$AJ$99,MATCH('County Scaled Consumption '!$B518,Production_Consumption!$AA$83:$AA$99,0),MATCH('County Scaled Consumption '!D$2,Production_Consumption!$AA$83:$AJ$83,0)))*'CA Population'!$L518*10^6</f>
        <v>14049.804663282686</v>
      </c>
      <c r="E518" s="143">
        <f>(INDEX(Production_Consumption!$AA$83:$AJ$99,MATCH('County Scaled Consumption '!$B518,Production_Consumption!$AA$83:$AA$99,0),MATCH('County Scaled Consumption '!E$2,Production_Consumption!$AA$83:$AJ$83,0)))*'CA Population'!$L518*10^6</f>
        <v>6544.8270722875186</v>
      </c>
      <c r="F518" s="143">
        <f>(INDEX(Production_Consumption!$AA$83:$AJ$99,MATCH('County Scaled Consumption '!$B518,Production_Consumption!$AA$83:$AA$99,0),MATCH('County Scaled Consumption '!F$2,Production_Consumption!$AA$83:$AJ$83,0)))*'CA Population'!$L518*10^6</f>
        <v>2963.8778767247923</v>
      </c>
      <c r="G518" s="143">
        <f>(INDEX(Production_Consumption!$AA$83:$AJ$99,MATCH('County Scaled Consumption '!$B518,Production_Consumption!$AA$83:$AA$99,0),MATCH('County Scaled Consumption '!G$2,Production_Consumption!$AA$83:$AJ$83,0)))*'CA Population'!$L518*10^6</f>
        <v>8123.8589594104988</v>
      </c>
      <c r="H518" s="143">
        <f>(INDEX(Production_Consumption!$AA$83:$AJ$99,MATCH('County Scaled Consumption '!$B518,Production_Consumption!$AA$83:$AA$99,0),MATCH('County Scaled Consumption '!H$2,Production_Consumption!$AA$83:$AJ$83,0)))*'CA Population'!$L518*10^6</f>
        <v>224.19799161889341</v>
      </c>
      <c r="I518" s="143">
        <f>(INDEX(Production_Consumption!$AA$83:$AJ$99,MATCH('County Scaled Consumption '!$B518,Production_Consumption!$AA$83:$AA$99,0),MATCH('County Scaled Consumption '!I$2,Production_Consumption!$AA$83:$AJ$83,0)))*'CA Population'!$L518*10^6</f>
        <v>4479.1818627688281</v>
      </c>
      <c r="J518" s="143">
        <f>(INDEX(Production_Consumption!$AA$83:$AJ$99,MATCH('County Scaled Consumption '!$B518,Production_Consumption!$AA$83:$AA$99,0),MATCH('County Scaled Consumption '!J$2,Production_Consumption!$AA$83:$AJ$83,0)))*'CA Population'!$L518*10^6</f>
        <v>2880.3819484060855</v>
      </c>
      <c r="K518" s="143">
        <f>(INDEX(Production_Consumption!$AA$83:$AJ$99,MATCH('County Scaled Consumption '!$B518,Production_Consumption!$AA$83:$AA$99,0),MATCH('County Scaled Consumption '!K$2,Production_Consumption!$AA$83:$AJ$83,0)))*'CA Population'!$L518*10^6</f>
        <v>42411.736457677602</v>
      </c>
      <c r="L518" s="131">
        <f t="shared" si="8"/>
        <v>0</v>
      </c>
    </row>
    <row r="519" spans="1:12" x14ac:dyDescent="0.2">
      <c r="A519" s="132" t="s">
        <v>349</v>
      </c>
      <c r="B519" s="129">
        <v>2012</v>
      </c>
      <c r="C519" s="143">
        <f>(INDEX(Production_Consumption!$AA$83:$AJ$99,MATCH('County Scaled Consumption '!$B519,Production_Consumption!$AA$83:$AA$99,0),MATCH('County Scaled Consumption '!C$2,Production_Consumption!$AA$83:$AJ$83,0)))*'CA Population'!$L519*10^6</f>
        <v>2095.3606334747001</v>
      </c>
      <c r="D519" s="143">
        <f>(INDEX(Production_Consumption!$AA$83:$AJ$99,MATCH('County Scaled Consumption '!$B519,Production_Consumption!$AA$83:$AA$99,0),MATCH('County Scaled Consumption '!D$2,Production_Consumption!$AA$83:$AJ$83,0)))*'CA Population'!$L519*10^6</f>
        <v>9358.8983556728253</v>
      </c>
      <c r="E519" s="143">
        <f>(INDEX(Production_Consumption!$AA$83:$AJ$99,MATCH('County Scaled Consumption '!$B519,Production_Consumption!$AA$83:$AA$99,0),MATCH('County Scaled Consumption '!E$2,Production_Consumption!$AA$83:$AJ$83,0)))*'CA Population'!$L519*10^6</f>
        <v>4359.6599947805435</v>
      </c>
      <c r="F519" s="143">
        <f>(INDEX(Production_Consumption!$AA$83:$AJ$99,MATCH('County Scaled Consumption '!$B519,Production_Consumption!$AA$83:$AA$99,0),MATCH('County Scaled Consumption '!F$2,Production_Consumption!$AA$83:$AJ$83,0)))*'CA Population'!$L519*10^6</f>
        <v>1974.307291217079</v>
      </c>
      <c r="G519" s="143">
        <f>(INDEX(Production_Consumption!$AA$83:$AJ$99,MATCH('County Scaled Consumption '!$B519,Production_Consumption!$AA$83:$AA$99,0),MATCH('County Scaled Consumption '!G$2,Production_Consumption!$AA$83:$AJ$83,0)))*'CA Population'!$L519*10^6</f>
        <v>5411.4894889350471</v>
      </c>
      <c r="H519" s="143">
        <f>(INDEX(Production_Consumption!$AA$83:$AJ$99,MATCH('County Scaled Consumption '!$B519,Production_Consumption!$AA$83:$AA$99,0),MATCH('County Scaled Consumption '!H$2,Production_Consumption!$AA$83:$AJ$83,0)))*'CA Population'!$L519*10^6</f>
        <v>149.34344394059096</v>
      </c>
      <c r="I519" s="143">
        <f>(INDEX(Production_Consumption!$AA$83:$AJ$99,MATCH('County Scaled Consumption '!$B519,Production_Consumption!$AA$83:$AA$99,0),MATCH('County Scaled Consumption '!I$2,Production_Consumption!$AA$83:$AJ$83,0)))*'CA Population'!$L519*10^6</f>
        <v>2983.6861632517684</v>
      </c>
      <c r="J519" s="143">
        <f>(INDEX(Production_Consumption!$AA$83:$AJ$99,MATCH('County Scaled Consumption '!$B519,Production_Consumption!$AA$83:$AA$99,0),MATCH('County Scaled Consumption '!J$2,Production_Consumption!$AA$83:$AJ$83,0)))*'CA Population'!$L519*10^6</f>
        <v>1918.6887310324316</v>
      </c>
      <c r="K519" s="143">
        <f>(INDEX(Production_Consumption!$AA$83:$AJ$99,MATCH('County Scaled Consumption '!$B519,Production_Consumption!$AA$83:$AA$99,0),MATCH('County Scaled Consumption '!K$2,Production_Consumption!$AA$83:$AJ$83,0)))*'CA Population'!$L519*10^6</f>
        <v>28251.434102304986</v>
      </c>
      <c r="L519" s="131">
        <f t="shared" si="8"/>
        <v>0</v>
      </c>
    </row>
    <row r="520" spans="1:12" x14ac:dyDescent="0.2">
      <c r="A520" s="132" t="s">
        <v>350</v>
      </c>
      <c r="B520" s="129">
        <v>2012</v>
      </c>
      <c r="C520" s="143">
        <f>(INDEX(Production_Consumption!$AA$83:$AJ$99,MATCH('County Scaled Consumption '!$B520,Production_Consumption!$AA$83:$AA$99,0),MATCH('County Scaled Consumption '!C$2,Production_Consumption!$AA$83:$AJ$83,0)))*'CA Population'!$L520*10^6</f>
        <v>38.041627889348959</v>
      </c>
      <c r="D520" s="143">
        <f>(INDEX(Production_Consumption!$AA$83:$AJ$99,MATCH('County Scaled Consumption '!$B520,Production_Consumption!$AA$83:$AA$99,0),MATCH('County Scaled Consumption '!D$2,Production_Consumption!$AA$83:$AJ$83,0)))*'CA Population'!$L520*10^6</f>
        <v>169.91238787871609</v>
      </c>
      <c r="E520" s="143">
        <f>(INDEX(Production_Consumption!$AA$83:$AJ$99,MATCH('County Scaled Consumption '!$B520,Production_Consumption!$AA$83:$AA$99,0),MATCH('County Scaled Consumption '!E$2,Production_Consumption!$AA$83:$AJ$83,0)))*'CA Population'!$L520*10^6</f>
        <v>79.150367051851433</v>
      </c>
      <c r="F520" s="143">
        <f>(INDEX(Production_Consumption!$AA$83:$AJ$99,MATCH('County Scaled Consumption '!$B520,Production_Consumption!$AA$83:$AA$99,0),MATCH('County Scaled Consumption '!F$2,Production_Consumption!$AA$83:$AJ$83,0)))*'CA Population'!$L520*10^6</f>
        <v>35.843883917567872</v>
      </c>
      <c r="G520" s="143">
        <f>(INDEX(Production_Consumption!$AA$83:$AJ$99,MATCH('County Scaled Consumption '!$B520,Production_Consumption!$AA$83:$AA$99,0),MATCH('County Scaled Consumption '!G$2,Production_Consumption!$AA$83:$AJ$83,0)))*'CA Population'!$L520*10^6</f>
        <v>98.24651001666146</v>
      </c>
      <c r="H520" s="143">
        <f>(INDEX(Production_Consumption!$AA$83:$AJ$99,MATCH('County Scaled Consumption '!$B520,Production_Consumption!$AA$83:$AA$99,0),MATCH('County Scaled Consumption '!H$2,Production_Consumption!$AA$83:$AJ$83,0)))*'CA Population'!$L520*10^6</f>
        <v>2.7113555687455388</v>
      </c>
      <c r="I520" s="143">
        <f>(INDEX(Production_Consumption!$AA$83:$AJ$99,MATCH('County Scaled Consumption '!$B520,Production_Consumption!$AA$83:$AA$99,0),MATCH('County Scaled Consumption '!I$2,Production_Consumption!$AA$83:$AJ$83,0)))*'CA Population'!$L520*10^6</f>
        <v>54.169328633802245</v>
      </c>
      <c r="J520" s="143">
        <f>(INDEX(Production_Consumption!$AA$83:$AJ$99,MATCH('County Scaled Consumption '!$B520,Production_Consumption!$AA$83:$AA$99,0),MATCH('County Scaled Consumption '!J$2,Production_Consumption!$AA$83:$AJ$83,0)))*'CA Population'!$L520*10^6</f>
        <v>34.834119518788903</v>
      </c>
      <c r="K520" s="143">
        <f>(INDEX(Production_Consumption!$AA$83:$AJ$99,MATCH('County Scaled Consumption '!$B520,Production_Consumption!$AA$83:$AA$99,0),MATCH('County Scaled Consumption '!K$2,Production_Consumption!$AA$83:$AJ$83,0)))*'CA Population'!$L520*10^6</f>
        <v>512.90958047548258</v>
      </c>
      <c r="L520" s="131">
        <f t="shared" si="8"/>
        <v>0</v>
      </c>
    </row>
    <row r="521" spans="1:12" x14ac:dyDescent="0.2">
      <c r="A521" s="132" t="s">
        <v>351</v>
      </c>
      <c r="B521" s="129">
        <v>2012</v>
      </c>
      <c r="C521" s="143">
        <f>(INDEX(Production_Consumption!$AA$83:$AJ$99,MATCH('County Scaled Consumption '!$B521,Production_Consumption!$AA$83:$AA$99,0),MATCH('County Scaled Consumption '!C$2,Production_Consumption!$AA$83:$AJ$83,0)))*'CA Population'!$L521*10^6</f>
        <v>527.62902449313231</v>
      </c>
      <c r="D521" s="143">
        <f>(INDEX(Production_Consumption!$AA$83:$AJ$99,MATCH('County Scaled Consumption '!$B521,Production_Consumption!$AA$83:$AA$99,0),MATCH('County Scaled Consumption '!D$2,Production_Consumption!$AA$83:$AJ$83,0)))*'CA Population'!$L521*10^6</f>
        <v>2356.6475053725667</v>
      </c>
      <c r="E521" s="143">
        <f>(INDEX(Production_Consumption!$AA$83:$AJ$99,MATCH('County Scaled Consumption '!$B521,Production_Consumption!$AA$83:$AA$99,0),MATCH('County Scaled Consumption '!E$2,Production_Consumption!$AA$83:$AJ$83,0)))*'CA Population'!$L521*10^6</f>
        <v>1097.7982087757716</v>
      </c>
      <c r="F521" s="143">
        <f>(INDEX(Production_Consumption!$AA$83:$AJ$99,MATCH('County Scaled Consumption '!$B521,Production_Consumption!$AA$83:$AA$99,0),MATCH('County Scaled Consumption '!F$2,Production_Consumption!$AA$83:$AJ$83,0)))*'CA Population'!$L521*10^6</f>
        <v>497.1467982516736</v>
      </c>
      <c r="G521" s="143">
        <f>(INDEX(Production_Consumption!$AA$83:$AJ$99,MATCH('County Scaled Consumption '!$B521,Production_Consumption!$AA$83:$AA$99,0),MATCH('County Scaled Consumption '!G$2,Production_Consumption!$AA$83:$AJ$83,0)))*'CA Population'!$L521*10^6</f>
        <v>1362.6575179885917</v>
      </c>
      <c r="H521" s="143">
        <f>(INDEX(Production_Consumption!$AA$83:$AJ$99,MATCH('County Scaled Consumption '!$B521,Production_Consumption!$AA$83:$AA$99,0),MATCH('County Scaled Consumption '!H$2,Production_Consumption!$AA$83:$AJ$83,0)))*'CA Population'!$L521*10^6</f>
        <v>37.605906296974545</v>
      </c>
      <c r="I521" s="143">
        <f>(INDEX(Production_Consumption!$AA$83:$AJ$99,MATCH('County Scaled Consumption '!$B521,Production_Consumption!$AA$83:$AA$99,0),MATCH('County Scaled Consumption '!I$2,Production_Consumption!$AA$83:$AJ$83,0)))*'CA Population'!$L521*10^6</f>
        <v>751.31669200999886</v>
      </c>
      <c r="J521" s="143">
        <f>(INDEX(Production_Consumption!$AA$83:$AJ$99,MATCH('County Scaled Consumption '!$B521,Production_Consumption!$AA$83:$AA$99,0),MATCH('County Scaled Consumption '!J$2,Production_Consumption!$AA$83:$AJ$83,0)))*'CA Population'!$L521*10^6</f>
        <v>483.14158779524064</v>
      </c>
      <c r="K521" s="143">
        <f>(INDEX(Production_Consumption!$AA$83:$AJ$99,MATCH('County Scaled Consumption '!$B521,Production_Consumption!$AA$83:$AA$99,0),MATCH('County Scaled Consumption '!K$2,Production_Consumption!$AA$83:$AJ$83,0)))*'CA Population'!$L521*10^6</f>
        <v>7113.9432409839501</v>
      </c>
      <c r="L521" s="131">
        <f t="shared" si="8"/>
        <v>0</v>
      </c>
    </row>
    <row r="522" spans="1:12" x14ac:dyDescent="0.2">
      <c r="A522" s="132" t="s">
        <v>352</v>
      </c>
      <c r="B522" s="129">
        <v>2012</v>
      </c>
      <c r="C522" s="143">
        <f>(INDEX(Production_Consumption!$AA$83:$AJ$99,MATCH('County Scaled Consumption '!$B522,Production_Consumption!$AA$83:$AA$99,0),MATCH('County Scaled Consumption '!C$2,Production_Consumption!$AA$83:$AJ$83,0)))*'CA Population'!$L522*10^6</f>
        <v>4900.7571320056895</v>
      </c>
      <c r="D522" s="143">
        <f>(INDEX(Production_Consumption!$AA$83:$AJ$99,MATCH('County Scaled Consumption '!$B522,Production_Consumption!$AA$83:$AA$99,0),MATCH('County Scaled Consumption '!D$2,Production_Consumption!$AA$83:$AJ$83,0)))*'CA Population'!$L522*10^6</f>
        <v>21889.161766020989</v>
      </c>
      <c r="E522" s="143">
        <f>(INDEX(Production_Consumption!$AA$83:$AJ$99,MATCH('County Scaled Consumption '!$B522,Production_Consumption!$AA$83:$AA$99,0),MATCH('County Scaled Consumption '!E$2,Production_Consumption!$AA$83:$AJ$83,0)))*'CA Population'!$L522*10^6</f>
        <v>10196.638455076049</v>
      </c>
      <c r="F522" s="143">
        <f>(INDEX(Production_Consumption!$AA$83:$AJ$99,MATCH('County Scaled Consumption '!$B522,Production_Consumption!$AA$83:$AA$99,0),MATCH('County Scaled Consumption '!F$2,Production_Consumption!$AA$83:$AJ$83,0)))*'CA Population'!$L522*10^6</f>
        <v>4617.6301986537055</v>
      </c>
      <c r="G522" s="143">
        <f>(INDEX(Production_Consumption!$AA$83:$AJ$99,MATCH('County Scaled Consumption '!$B522,Production_Consumption!$AA$83:$AA$99,0),MATCH('County Scaled Consumption '!G$2,Production_Consumption!$AA$83:$AJ$83,0)))*'CA Population'!$L522*10^6</f>
        <v>12656.721370055497</v>
      </c>
      <c r="H522" s="143">
        <f>(INDEX(Production_Consumption!$AA$83:$AJ$99,MATCH('County Scaled Consumption '!$B522,Production_Consumption!$AA$83:$AA$99,0),MATCH('County Scaled Consumption '!H$2,Production_Consumption!$AA$83:$AJ$83,0)))*'CA Population'!$L522*10^6</f>
        <v>349.29354704753268</v>
      </c>
      <c r="I522" s="143">
        <f>(INDEX(Production_Consumption!$AA$83:$AJ$99,MATCH('County Scaled Consumption '!$B522,Production_Consumption!$AA$83:$AA$99,0),MATCH('County Scaled Consumption '!I$2,Production_Consumption!$AA$83:$AJ$83,0)))*'CA Population'!$L522*10^6</f>
        <v>6978.4270118575523</v>
      </c>
      <c r="J522" s="143">
        <f>(INDEX(Production_Consumption!$AA$83:$AJ$99,MATCH('County Scaled Consumption '!$B522,Production_Consumption!$AA$83:$AA$99,0),MATCH('County Scaled Consumption '!J$2,Production_Consumption!$AA$83:$AJ$83,0)))*'CA Population'!$L522*10^6</f>
        <v>4487.5461209334926</v>
      </c>
      <c r="K522" s="143">
        <f>(INDEX(Production_Consumption!$AA$83:$AJ$99,MATCH('County Scaled Consumption '!$B522,Production_Consumption!$AA$83:$AA$99,0),MATCH('County Scaled Consumption '!K$2,Production_Consumption!$AA$83:$AJ$83,0)))*'CA Population'!$L522*10^6</f>
        <v>66076.17560165051</v>
      </c>
      <c r="L522" s="131">
        <f t="shared" si="8"/>
        <v>0</v>
      </c>
    </row>
    <row r="523" spans="1:12" x14ac:dyDescent="0.2">
      <c r="A523" s="132" t="s">
        <v>353</v>
      </c>
      <c r="B523" s="129">
        <v>2012</v>
      </c>
      <c r="C523" s="143">
        <f>(INDEX(Production_Consumption!$AA$83:$AJ$99,MATCH('County Scaled Consumption '!$B523,Production_Consumption!$AA$83:$AA$99,0),MATCH('County Scaled Consumption '!C$2,Production_Consumption!$AA$83:$AJ$83,0)))*'CA Population'!$L523*10^6</f>
        <v>5751.9812101904354</v>
      </c>
      <c r="D523" s="143">
        <f>(INDEX(Production_Consumption!$AA$83:$AJ$99,MATCH('County Scaled Consumption '!$B523,Production_Consumption!$AA$83:$AA$99,0),MATCH('County Scaled Consumption '!D$2,Production_Consumption!$AA$83:$AJ$83,0)))*'CA Population'!$L523*10^6</f>
        <v>25691.141959006476</v>
      </c>
      <c r="E523" s="143">
        <f>(INDEX(Production_Consumption!$AA$83:$AJ$99,MATCH('County Scaled Consumption '!$B523,Production_Consumption!$AA$83:$AA$99,0),MATCH('County Scaled Consumption '!E$2,Production_Consumption!$AA$83:$AJ$83,0)))*'CA Population'!$L523*10^6</f>
        <v>11967.71666517968</v>
      </c>
      <c r="F523" s="143">
        <f>(INDEX(Production_Consumption!$AA$83:$AJ$99,MATCH('County Scaled Consumption '!$B523,Production_Consumption!$AA$83:$AA$99,0),MATCH('County Scaled Consumption '!F$2,Production_Consumption!$AA$83:$AJ$83,0)))*'CA Population'!$L523*10^6</f>
        <v>5419.6772912502711</v>
      </c>
      <c r="G523" s="143">
        <f>(INDEX(Production_Consumption!$AA$83:$AJ$99,MATCH('County Scaled Consumption '!$B523,Production_Consumption!$AA$83:$AA$99,0),MATCH('County Scaled Consumption '!G$2,Production_Consumption!$AA$83:$AJ$83,0)))*'CA Population'!$L523*10^6</f>
        <v>14855.097190539669</v>
      </c>
      <c r="H523" s="143">
        <f>(INDEX(Production_Consumption!$AA$83:$AJ$99,MATCH('County Scaled Consumption '!$B523,Production_Consumption!$AA$83:$AA$99,0),MATCH('County Scaled Consumption '!H$2,Production_Consumption!$AA$83:$AJ$83,0)))*'CA Population'!$L523*10^6</f>
        <v>409.96316800459732</v>
      </c>
      <c r="I523" s="143">
        <f>(INDEX(Production_Consumption!$AA$83:$AJ$99,MATCH('County Scaled Consumption '!$B523,Production_Consumption!$AA$83:$AA$99,0),MATCH('County Scaled Consumption '!I$2,Production_Consumption!$AA$83:$AJ$83,0)))*'CA Population'!$L523*10^6</f>
        <v>8190.5264773776635</v>
      </c>
      <c r="J523" s="143">
        <f>(INDEX(Production_Consumption!$AA$83:$AJ$99,MATCH('County Scaled Consumption '!$B523,Production_Consumption!$AA$83:$AA$99,0),MATCH('County Scaled Consumption '!J$2,Production_Consumption!$AA$83:$AJ$83,0)))*'CA Population'!$L523*10^6</f>
        <v>5266.9986029094371</v>
      </c>
      <c r="K523" s="143">
        <f>(INDEX(Production_Consumption!$AA$83:$AJ$99,MATCH('County Scaled Consumption '!$B523,Production_Consumption!$AA$83:$AA$99,0),MATCH('County Scaled Consumption '!K$2,Production_Consumption!$AA$83:$AJ$83,0)))*'CA Population'!$L523*10^6</f>
        <v>77553.102564458226</v>
      </c>
      <c r="L523" s="131">
        <f t="shared" si="8"/>
        <v>0</v>
      </c>
    </row>
    <row r="524" spans="1:12" x14ac:dyDescent="0.2">
      <c r="A524" s="132" t="s">
        <v>354</v>
      </c>
      <c r="B524" s="129">
        <v>2012</v>
      </c>
      <c r="C524" s="143">
        <f>(INDEX(Production_Consumption!$AA$83:$AJ$99,MATCH('County Scaled Consumption '!$B524,Production_Consumption!$AA$83:$AA$99,0),MATCH('County Scaled Consumption '!C$2,Production_Consumption!$AA$83:$AJ$83,0)))*'CA Population'!$L524*10^6</f>
        <v>6144.2700540515552</v>
      </c>
      <c r="D524" s="143">
        <f>(INDEX(Production_Consumption!$AA$83:$AJ$99,MATCH('County Scaled Consumption '!$B524,Production_Consumption!$AA$83:$AA$99,0),MATCH('County Scaled Consumption '!D$2,Production_Consumption!$AA$83:$AJ$83,0)))*'CA Population'!$L524*10^6</f>
        <v>27443.294479726705</v>
      </c>
      <c r="E524" s="143">
        <f>(INDEX(Production_Consumption!$AA$83:$AJ$99,MATCH('County Scaled Consumption '!$B524,Production_Consumption!$AA$83:$AA$99,0),MATCH('County Scaled Consumption '!E$2,Production_Consumption!$AA$83:$AJ$83,0)))*'CA Population'!$L524*10^6</f>
        <v>12783.92269275211</v>
      </c>
      <c r="F524" s="143">
        <f>(INDEX(Production_Consumption!$AA$83:$AJ$99,MATCH('County Scaled Consumption '!$B524,Production_Consumption!$AA$83:$AA$99,0),MATCH('County Scaled Consumption '!F$2,Production_Consumption!$AA$83:$AJ$83,0)))*'CA Population'!$L524*10^6</f>
        <v>5789.302792619832</v>
      </c>
      <c r="G524" s="143">
        <f>(INDEX(Production_Consumption!$AA$83:$AJ$99,MATCH('County Scaled Consumption '!$B524,Production_Consumption!$AA$83:$AA$99,0),MATCH('County Scaled Consumption '!G$2,Production_Consumption!$AA$83:$AJ$83,0)))*'CA Population'!$L524*10^6</f>
        <v>15868.224439981506</v>
      </c>
      <c r="H524" s="143">
        <f>(INDEX(Production_Consumption!$AA$83:$AJ$99,MATCH('County Scaled Consumption '!$B524,Production_Consumption!$AA$83:$AA$99,0),MATCH('County Scaled Consumption '!H$2,Production_Consumption!$AA$83:$AJ$83,0)))*'CA Population'!$L524*10^6</f>
        <v>437.92292157911237</v>
      </c>
      <c r="I524" s="143">
        <f>(INDEX(Production_Consumption!$AA$83:$AJ$99,MATCH('County Scaled Consumption '!$B524,Production_Consumption!$AA$83:$AA$99,0),MATCH('County Scaled Consumption '!I$2,Production_Consumption!$AA$83:$AJ$83,0)))*'CA Population'!$L524*10^6</f>
        <v>8749.1256878083259</v>
      </c>
      <c r="J524" s="143">
        <f>(INDEX(Production_Consumption!$AA$83:$AJ$99,MATCH('County Scaled Consumption '!$B524,Production_Consumption!$AA$83:$AA$99,0),MATCH('County Scaled Consumption '!J$2,Production_Consumption!$AA$83:$AJ$83,0)))*'CA Population'!$L524*10^6</f>
        <v>5626.2113188503281</v>
      </c>
      <c r="K524" s="143">
        <f>(INDEX(Production_Consumption!$AA$83:$AJ$99,MATCH('County Scaled Consumption '!$B524,Production_Consumption!$AA$83:$AA$99,0),MATCH('County Scaled Consumption '!K$2,Production_Consumption!$AA$83:$AJ$83,0)))*'CA Population'!$L524*10^6</f>
        <v>82842.274387369471</v>
      </c>
      <c r="L524" s="131">
        <f t="shared" si="8"/>
        <v>0</v>
      </c>
    </row>
    <row r="525" spans="1:12" x14ac:dyDescent="0.2">
      <c r="A525" s="132" t="s">
        <v>355</v>
      </c>
      <c r="B525" s="129">
        <v>2012</v>
      </c>
      <c r="C525" s="143">
        <f>(INDEX(Production_Consumption!$AA$83:$AJ$99,MATCH('County Scaled Consumption '!$B525,Production_Consumption!$AA$83:$AA$99,0),MATCH('County Scaled Consumption '!C$2,Production_Consumption!$AA$83:$AJ$83,0)))*'CA Population'!$L525*10^6</f>
        <v>1117.2448401155841</v>
      </c>
      <c r="D525" s="143">
        <f>(INDEX(Production_Consumption!$AA$83:$AJ$99,MATCH('County Scaled Consumption '!$B525,Production_Consumption!$AA$83:$AA$99,0),MATCH('County Scaled Consumption '!D$2,Production_Consumption!$AA$83:$AJ$83,0)))*'CA Population'!$L525*10^6</f>
        <v>4990.1581283897594</v>
      </c>
      <c r="E525" s="143">
        <f>(INDEX(Production_Consumption!$AA$83:$AJ$99,MATCH('County Scaled Consumption '!$B525,Production_Consumption!$AA$83:$AA$99,0),MATCH('County Scaled Consumption '!E$2,Production_Consumption!$AA$83:$AJ$83,0)))*'CA Population'!$L525*10^6</f>
        <v>2324.5676930322593</v>
      </c>
      <c r="F525" s="143">
        <f>(INDEX(Production_Consumption!$AA$83:$AJ$99,MATCH('County Scaled Consumption '!$B525,Production_Consumption!$AA$83:$AA$99,0),MATCH('County Scaled Consumption '!F$2,Production_Consumption!$AA$83:$AJ$83,0)))*'CA Population'!$L525*10^6</f>
        <v>1052.6992817732971</v>
      </c>
      <c r="G525" s="143">
        <f>(INDEX(Production_Consumption!$AA$83:$AJ$99,MATCH('County Scaled Consumption '!$B525,Production_Consumption!$AA$83:$AA$99,0),MATCH('County Scaled Consumption '!G$2,Production_Consumption!$AA$83:$AJ$83,0)))*'CA Population'!$L525*10^6</f>
        <v>2885.4024516183131</v>
      </c>
      <c r="H525" s="143">
        <f>(INDEX(Production_Consumption!$AA$83:$AJ$99,MATCH('County Scaled Consumption '!$B525,Production_Consumption!$AA$83:$AA$99,0),MATCH('County Scaled Consumption '!H$2,Production_Consumption!$AA$83:$AJ$83,0)))*'CA Population'!$L525*10^6</f>
        <v>79.629820987438578</v>
      </c>
      <c r="I525" s="143">
        <f>(INDEX(Production_Consumption!$AA$83:$AJ$99,MATCH('County Scaled Consumption '!$B525,Production_Consumption!$AA$83:$AA$99,0),MATCH('County Scaled Consumption '!I$2,Production_Consumption!$AA$83:$AJ$83,0)))*'CA Population'!$L525*10^6</f>
        <v>1590.8993980140806</v>
      </c>
      <c r="J525" s="143">
        <f>(INDEX(Production_Consumption!$AA$83:$AJ$99,MATCH('County Scaled Consumption '!$B525,Production_Consumption!$AA$83:$AA$99,0),MATCH('County Scaled Consumption '!J$2,Production_Consumption!$AA$83:$AJ$83,0)))*'CA Population'!$L525*10^6</f>
        <v>1023.0435039619567</v>
      </c>
      <c r="K525" s="143">
        <f>(INDEX(Production_Consumption!$AA$83:$AJ$99,MATCH('County Scaled Consumption '!$B525,Production_Consumption!$AA$83:$AA$99,0),MATCH('County Scaled Consumption '!K$2,Production_Consumption!$AA$83:$AJ$83,0)))*'CA Population'!$L525*10^6</f>
        <v>15063.645117892689</v>
      </c>
      <c r="L525" s="131">
        <f t="shared" si="8"/>
        <v>0</v>
      </c>
    </row>
    <row r="526" spans="1:12" x14ac:dyDescent="0.2">
      <c r="A526" s="132" t="s">
        <v>356</v>
      </c>
      <c r="B526" s="129">
        <v>2012</v>
      </c>
      <c r="C526" s="143">
        <f>(INDEX(Production_Consumption!$AA$83:$AJ$99,MATCH('County Scaled Consumption '!$B526,Production_Consumption!$AA$83:$AA$99,0),MATCH('County Scaled Consumption '!C$2,Production_Consumption!$AA$83:$AJ$83,0)))*'CA Population'!$L526*10^6</f>
        <v>742.52362707376324</v>
      </c>
      <c r="D526" s="143">
        <f>(INDEX(Production_Consumption!$AA$83:$AJ$99,MATCH('County Scaled Consumption '!$B526,Production_Consumption!$AA$83:$AA$99,0),MATCH('County Scaled Consumption '!D$2,Production_Consumption!$AA$83:$AJ$83,0)))*'CA Population'!$L526*10^6</f>
        <v>3316.4711799253018</v>
      </c>
      <c r="E526" s="143">
        <f>(INDEX(Production_Consumption!$AA$83:$AJ$99,MATCH('County Scaled Consumption '!$B526,Production_Consumption!$AA$83:$AA$99,0),MATCH('County Scaled Consumption '!E$2,Production_Consumption!$AA$83:$AJ$83,0)))*'CA Population'!$L526*10^6</f>
        <v>1544.9133196535829</v>
      </c>
      <c r="F526" s="143">
        <f>(INDEX(Production_Consumption!$AA$83:$AJ$99,MATCH('County Scaled Consumption '!$B526,Production_Consumption!$AA$83:$AA$99,0),MATCH('County Scaled Consumption '!F$2,Production_Consumption!$AA$83:$AJ$83,0)))*'CA Population'!$L526*10^6</f>
        <v>699.62649264899562</v>
      </c>
      <c r="G526" s="143">
        <f>(INDEX(Production_Consumption!$AA$83:$AJ$99,MATCH('County Scaled Consumption '!$B526,Production_Consumption!$AA$83:$AA$99,0),MATCH('County Scaled Consumption '!G$2,Production_Consumption!$AA$83:$AJ$83,0)))*'CA Population'!$L526*10^6</f>
        <v>1917.645458735356</v>
      </c>
      <c r="H526" s="143">
        <f>(INDEX(Production_Consumption!$AA$83:$AJ$99,MATCH('County Scaled Consumption '!$B526,Production_Consumption!$AA$83:$AA$99,0),MATCH('County Scaled Consumption '!H$2,Production_Consumption!$AA$83:$AJ$83,0)))*'CA Population'!$L526*10^6</f>
        <v>52.922171917760132</v>
      </c>
      <c r="I526" s="143">
        <f>(INDEX(Production_Consumption!$AA$83:$AJ$99,MATCH('County Scaled Consumption '!$B526,Production_Consumption!$AA$83:$AA$99,0),MATCH('County Scaled Consumption '!I$2,Production_Consumption!$AA$83:$AJ$83,0)))*'CA Population'!$L526*10^6</f>
        <v>1057.3155935995844</v>
      </c>
      <c r="J526" s="143">
        <f>(INDEX(Production_Consumption!$AA$83:$AJ$99,MATCH('County Scaled Consumption '!$B526,Production_Consumption!$AA$83:$AA$99,0),MATCH('County Scaled Consumption '!J$2,Production_Consumption!$AA$83:$AJ$83,0)))*'CA Population'!$L526*10^6</f>
        <v>679.91719087957154</v>
      </c>
      <c r="K526" s="143">
        <f>(INDEX(Production_Consumption!$AA$83:$AJ$99,MATCH('County Scaled Consumption '!$B526,Production_Consumption!$AA$83:$AA$99,0),MATCH('County Scaled Consumption '!K$2,Production_Consumption!$AA$83:$AJ$83,0)))*'CA Population'!$L526*10^6</f>
        <v>10011.335034433916</v>
      </c>
      <c r="L526" s="131">
        <f t="shared" si="8"/>
        <v>0</v>
      </c>
    </row>
    <row r="527" spans="1:12" x14ac:dyDescent="0.2">
      <c r="A527" s="132" t="s">
        <v>357</v>
      </c>
      <c r="B527" s="129">
        <v>2012</v>
      </c>
      <c r="C527" s="143">
        <f>(INDEX(Production_Consumption!$AA$83:$AJ$99,MATCH('County Scaled Consumption '!$B527,Production_Consumption!$AA$83:$AA$99,0),MATCH('County Scaled Consumption '!C$2,Production_Consumption!$AA$83:$AJ$83,0)))*'CA Population'!$L527*10^6</f>
        <v>161.67397686348738</v>
      </c>
      <c r="D527" s="143">
        <f>(INDEX(Production_Consumption!$AA$83:$AJ$99,MATCH('County Scaled Consumption '!$B527,Production_Consumption!$AA$83:$AA$99,0),MATCH('County Scaled Consumption '!D$2,Production_Consumption!$AA$83:$AJ$83,0)))*'CA Population'!$L527*10^6</f>
        <v>722.11450957425279</v>
      </c>
      <c r="E527" s="143">
        <f>(INDEX(Production_Consumption!$AA$83:$AJ$99,MATCH('County Scaled Consumption '!$B527,Production_Consumption!$AA$83:$AA$99,0),MATCH('County Scaled Consumption '!E$2,Production_Consumption!$AA$83:$AJ$83,0)))*'CA Population'!$L527*10^6</f>
        <v>336.38293946564761</v>
      </c>
      <c r="F527" s="143">
        <f>(INDEX(Production_Consumption!$AA$83:$AJ$99,MATCH('County Scaled Consumption '!$B527,Production_Consumption!$AA$83:$AA$99,0),MATCH('County Scaled Consumption '!F$2,Production_Consumption!$AA$83:$AJ$83,0)))*'CA Population'!$L527*10^6</f>
        <v>152.33373492959558</v>
      </c>
      <c r="G527" s="143">
        <f>(INDEX(Production_Consumption!$AA$83:$AJ$99,MATCH('County Scaled Consumption '!$B527,Production_Consumption!$AA$83:$AA$99,0),MATCH('County Scaled Consumption '!G$2,Production_Consumption!$AA$83:$AJ$83,0)))*'CA Population'!$L527*10^6</f>
        <v>417.54007040795813</v>
      </c>
      <c r="H527" s="143">
        <f>(INDEX(Production_Consumption!$AA$83:$AJ$99,MATCH('County Scaled Consumption '!$B527,Production_Consumption!$AA$83:$AA$99,0),MATCH('County Scaled Consumption '!H$2,Production_Consumption!$AA$83:$AJ$83,0)))*'CA Population'!$L527*10^6</f>
        <v>11.523051504659358</v>
      </c>
      <c r="I527" s="143">
        <f>(INDEX(Production_Consumption!$AA$83:$AJ$99,MATCH('County Scaled Consumption '!$B527,Production_Consumption!$AA$83:$AA$99,0),MATCH('County Scaled Consumption '!I$2,Production_Consumption!$AA$83:$AJ$83,0)))*'CA Population'!$L527*10^6</f>
        <v>230.21545791167424</v>
      </c>
      <c r="J527" s="143">
        <f>(INDEX(Production_Consumption!$AA$83:$AJ$99,MATCH('County Scaled Consumption '!$B527,Production_Consumption!$AA$83:$AA$99,0),MATCH('County Scaled Consumption '!J$2,Production_Consumption!$AA$83:$AJ$83,0)))*'CA Population'!$L527*10^6</f>
        <v>148.04231431740163</v>
      </c>
      <c r="K527" s="143">
        <f>(INDEX(Production_Consumption!$AA$83:$AJ$99,MATCH('County Scaled Consumption '!$B527,Production_Consumption!$AA$83:$AA$99,0),MATCH('County Scaled Consumption '!K$2,Production_Consumption!$AA$83:$AJ$83,0)))*'CA Population'!$L527*10^6</f>
        <v>2179.8260549746769</v>
      </c>
      <c r="L527" s="131">
        <f t="shared" si="8"/>
        <v>0</v>
      </c>
    </row>
    <row r="528" spans="1:12" x14ac:dyDescent="0.2">
      <c r="A528" s="132" t="s">
        <v>358</v>
      </c>
      <c r="B528" s="129">
        <v>2012</v>
      </c>
      <c r="C528" s="143">
        <f>(INDEX(Production_Consumption!$AA$83:$AJ$99,MATCH('County Scaled Consumption '!$B528,Production_Consumption!$AA$83:$AA$99,0),MATCH('County Scaled Consumption '!C$2,Production_Consumption!$AA$83:$AJ$83,0)))*'CA Population'!$L528*10^6</f>
        <v>5308.5662069791051</v>
      </c>
      <c r="D528" s="143">
        <f>(INDEX(Production_Consumption!$AA$83:$AJ$99,MATCH('County Scaled Consumption '!$B528,Production_Consumption!$AA$83:$AA$99,0),MATCH('County Scaled Consumption '!D$2,Production_Consumption!$AA$83:$AJ$83,0)))*'CA Population'!$L528*10^6</f>
        <v>23710.635177434699</v>
      </c>
      <c r="E528" s="143">
        <f>(INDEX(Production_Consumption!$AA$83:$AJ$99,MATCH('County Scaled Consumption '!$B528,Production_Consumption!$AA$83:$AA$99,0),MATCH('County Scaled Consumption '!E$2,Production_Consumption!$AA$83:$AJ$83,0)))*'CA Population'!$L528*10^6</f>
        <v>11045.136265556426</v>
      </c>
      <c r="F528" s="143">
        <f>(INDEX(Production_Consumption!$AA$83:$AJ$99,MATCH('County Scaled Consumption '!$B528,Production_Consumption!$AA$83:$AA$99,0),MATCH('County Scaled Consumption '!F$2,Production_Consumption!$AA$83:$AJ$83,0)))*'CA Population'!$L528*10^6</f>
        <v>5001.8792951012983</v>
      </c>
      <c r="G528" s="143">
        <f>(INDEX(Production_Consumption!$AA$83:$AJ$99,MATCH('County Scaled Consumption '!$B528,Production_Consumption!$AA$83:$AA$99,0),MATCH('County Scaled Consumption '!G$2,Production_Consumption!$AA$83:$AJ$83,0)))*'CA Population'!$L528*10^6</f>
        <v>13709.931250710446</v>
      </c>
      <c r="H528" s="143">
        <f>(INDEX(Production_Consumption!$AA$83:$AJ$99,MATCH('County Scaled Consumption '!$B528,Production_Consumption!$AA$83:$AA$99,0),MATCH('County Scaled Consumption '!H$2,Production_Consumption!$AA$83:$AJ$83,0)))*'CA Population'!$L528*10^6</f>
        <v>378.35948002049366</v>
      </c>
      <c r="I528" s="143">
        <f>(INDEX(Production_Consumption!$AA$83:$AJ$99,MATCH('County Scaled Consumption '!$B528,Production_Consumption!$AA$83:$AA$99,0),MATCH('County Scaled Consumption '!I$2,Production_Consumption!$AA$83:$AJ$83,0)))*'CA Population'!$L528*10^6</f>
        <v>7559.1262360426172</v>
      </c>
      <c r="J528" s="143">
        <f>(INDEX(Production_Consumption!$AA$83:$AJ$99,MATCH('County Scaled Consumption '!$B528,Production_Consumption!$AA$83:$AA$99,0),MATCH('County Scaled Consumption '!J$2,Production_Consumption!$AA$83:$AJ$83,0)))*'CA Population'!$L528*10^6</f>
        <v>4860.9704680668619</v>
      </c>
      <c r="K528" s="143">
        <f>(INDEX(Production_Consumption!$AA$83:$AJ$99,MATCH('County Scaled Consumption '!$B528,Production_Consumption!$AA$83:$AA$99,0),MATCH('County Scaled Consumption '!K$2,Production_Consumption!$AA$83:$AJ$83,0)))*'CA Population'!$L528*10^6</f>
        <v>71574.604379911951</v>
      </c>
      <c r="L528" s="131">
        <f t="shared" si="8"/>
        <v>0</v>
      </c>
    </row>
    <row r="529" spans="1:12" x14ac:dyDescent="0.2">
      <c r="A529" s="132" t="s">
        <v>359</v>
      </c>
      <c r="B529" s="129">
        <v>2012</v>
      </c>
      <c r="C529" s="143">
        <f>(INDEX(Production_Consumption!$AA$83:$AJ$99,MATCH('County Scaled Consumption '!$B529,Production_Consumption!$AA$83:$AA$99,0),MATCH('County Scaled Consumption '!C$2,Production_Consumption!$AA$83:$AJ$83,0)))*'CA Population'!$L529*10^6</f>
        <v>647.06067406841589</v>
      </c>
      <c r="D529" s="143">
        <f>(INDEX(Production_Consumption!$AA$83:$AJ$99,MATCH('County Scaled Consumption '!$B529,Production_Consumption!$AA$83:$AA$99,0),MATCH('County Scaled Consumption '!D$2,Production_Consumption!$AA$83:$AJ$83,0)))*'CA Population'!$L529*10^6</f>
        <v>2890.0872631730517</v>
      </c>
      <c r="E529" s="143">
        <f>(INDEX(Production_Consumption!$AA$83:$AJ$99,MATCH('County Scaled Consumption '!$B529,Production_Consumption!$AA$83:$AA$99,0),MATCH('County Scaled Consumption '!E$2,Production_Consumption!$AA$83:$AJ$83,0)))*'CA Population'!$L529*10^6</f>
        <v>1346.2907004479935</v>
      </c>
      <c r="F529" s="143">
        <f>(INDEX(Production_Consumption!$AA$83:$AJ$99,MATCH('County Scaled Consumption '!$B529,Production_Consumption!$AA$83:$AA$99,0),MATCH('County Scaled Consumption '!F$2,Production_Consumption!$AA$83:$AJ$83,0)))*'CA Population'!$L529*10^6</f>
        <v>609.6786330067971</v>
      </c>
      <c r="G529" s="143">
        <f>(INDEX(Production_Consumption!$AA$83:$AJ$99,MATCH('County Scaled Consumption '!$B529,Production_Consumption!$AA$83:$AA$99,0),MATCH('County Scaled Consumption '!G$2,Production_Consumption!$AA$83:$AJ$83,0)))*'CA Population'!$L529*10^6</f>
        <v>1671.1023298256205</v>
      </c>
      <c r="H529" s="143">
        <f>(INDEX(Production_Consumption!$AA$83:$AJ$99,MATCH('County Scaled Consumption '!$B529,Production_Consumption!$AA$83:$AA$99,0),MATCH('County Scaled Consumption '!H$2,Production_Consumption!$AA$83:$AJ$83,0)))*'CA Population'!$L529*10^6</f>
        <v>46.118204169776035</v>
      </c>
      <c r="I529" s="143">
        <f>(INDEX(Production_Consumption!$AA$83:$AJ$99,MATCH('County Scaled Consumption '!$B529,Production_Consumption!$AA$83:$AA$99,0),MATCH('County Scaled Consumption '!I$2,Production_Consumption!$AA$83:$AJ$83,0)))*'CA Population'!$L529*10^6</f>
        <v>921.38124061287328</v>
      </c>
      <c r="J529" s="143">
        <f>(INDEX(Production_Consumption!$AA$83:$AJ$99,MATCH('County Scaled Consumption '!$B529,Production_Consumption!$AA$83:$AA$99,0),MATCH('County Scaled Consumption '!J$2,Production_Consumption!$AA$83:$AJ$83,0)))*'CA Population'!$L529*10^6</f>
        <v>592.50326831355403</v>
      </c>
      <c r="K529" s="143">
        <f>(INDEX(Production_Consumption!$AA$83:$AJ$99,MATCH('County Scaled Consumption '!$B529,Production_Consumption!$AA$83:$AA$99,0),MATCH('County Scaled Consumption '!K$2,Production_Consumption!$AA$83:$AJ$83,0)))*'CA Population'!$L529*10^6</f>
        <v>8724.2223136180819</v>
      </c>
      <c r="L529" s="131">
        <f t="shared" si="8"/>
        <v>0</v>
      </c>
    </row>
    <row r="530" spans="1:12" x14ac:dyDescent="0.2">
      <c r="A530" s="132" t="s">
        <v>360</v>
      </c>
      <c r="B530" s="129">
        <v>2012</v>
      </c>
      <c r="C530" s="143">
        <f>(INDEX(Production_Consumption!$AA$83:$AJ$99,MATCH('County Scaled Consumption '!$B530,Production_Consumption!$AA$83:$AA$99,0),MATCH('County Scaled Consumption '!C$2,Production_Consumption!$AA$83:$AJ$83,0)))*'CA Population'!$L530*10^6</f>
        <v>9824.6945940274672</v>
      </c>
      <c r="D530" s="143">
        <f>(INDEX(Production_Consumption!$AA$83:$AJ$99,MATCH('County Scaled Consumption '!$B530,Production_Consumption!$AA$83:$AA$99,0),MATCH('County Scaled Consumption '!D$2,Production_Consumption!$AA$83:$AJ$83,0)))*'CA Population'!$L530*10^6</f>
        <v>43881.858145132319</v>
      </c>
      <c r="E530" s="143">
        <f>(INDEX(Production_Consumption!$AA$83:$AJ$99,MATCH('County Scaled Consumption '!$B530,Production_Consumption!$AA$83:$AA$99,0),MATCH('County Scaled Consumption '!E$2,Production_Consumption!$AA$83:$AJ$83,0)))*'CA Population'!$L530*10^6</f>
        <v>20441.506487353501</v>
      </c>
      <c r="F530" s="143">
        <f>(INDEX(Production_Consumption!$AA$83:$AJ$99,MATCH('County Scaled Consumption '!$B530,Production_Consumption!$AA$83:$AA$99,0),MATCH('County Scaled Consumption '!F$2,Production_Consumption!$AA$83:$AJ$83,0)))*'CA Population'!$L530*10^6</f>
        <v>9257.1015514421488</v>
      </c>
      <c r="G530" s="143">
        <f>(INDEX(Production_Consumption!$AA$83:$AJ$99,MATCH('County Scaled Consumption '!$B530,Production_Consumption!$AA$83:$AA$99,0),MATCH('County Scaled Consumption '!G$2,Production_Consumption!$AA$83:$AJ$83,0)))*'CA Population'!$L530*10^6</f>
        <v>25373.308383393647</v>
      </c>
      <c r="H530" s="143">
        <f>(INDEX(Production_Consumption!$AA$83:$AJ$99,MATCH('County Scaled Consumption '!$B530,Production_Consumption!$AA$83:$AA$99,0),MATCH('County Scaled Consumption '!H$2,Production_Consumption!$AA$83:$AJ$83,0)))*'CA Population'!$L530*10^6</f>
        <v>700.23923466742201</v>
      </c>
      <c r="I530" s="143">
        <f>(INDEX(Production_Consumption!$AA$83:$AJ$99,MATCH('County Scaled Consumption '!$B530,Production_Consumption!$AA$83:$AA$99,0),MATCH('County Scaled Consumption '!I$2,Production_Consumption!$AA$83:$AJ$83,0)))*'CA Population'!$L530*10^6</f>
        <v>13989.861625759208</v>
      </c>
      <c r="J530" s="143">
        <f>(INDEX(Production_Consumption!$AA$83:$AJ$99,MATCH('County Scaled Consumption '!$B530,Production_Consumption!$AA$83:$AA$99,0),MATCH('County Scaled Consumption '!J$2,Production_Consumption!$AA$83:$AJ$83,0)))*'CA Population'!$L530*10^6</f>
        <v>8996.3181049823634</v>
      </c>
      <c r="K530" s="143">
        <f>(INDEX(Production_Consumption!$AA$83:$AJ$99,MATCH('County Scaled Consumption '!$B530,Production_Consumption!$AA$83:$AA$99,0),MATCH('County Scaled Consumption '!K$2,Production_Consumption!$AA$83:$AJ$83,0)))*'CA Population'!$L530*10^6</f>
        <v>132464.88812675807</v>
      </c>
      <c r="L530" s="131">
        <f t="shared" si="8"/>
        <v>0</v>
      </c>
    </row>
    <row r="531" spans="1:12" x14ac:dyDescent="0.2">
      <c r="A531" s="132" t="s">
        <v>361</v>
      </c>
      <c r="B531" s="129">
        <v>2012</v>
      </c>
      <c r="C531" s="143">
        <f>(INDEX(Production_Consumption!$AA$83:$AJ$99,MATCH('County Scaled Consumption '!$B531,Production_Consumption!$AA$83:$AA$99,0),MATCH('County Scaled Consumption '!C$2,Production_Consumption!$AA$83:$AJ$83,0)))*'CA Population'!$L531*10^6</f>
        <v>2412.0133548264694</v>
      </c>
      <c r="D531" s="143">
        <f>(INDEX(Production_Consumption!$AA$83:$AJ$99,MATCH('County Scaled Consumption '!$B531,Production_Consumption!$AA$83:$AA$99,0),MATCH('County Scaled Consumption '!D$2,Production_Consumption!$AA$83:$AJ$83,0)))*'CA Population'!$L531*10^6</f>
        <v>10773.223214999807</v>
      </c>
      <c r="E531" s="143">
        <f>(INDEX(Production_Consumption!$AA$83:$AJ$99,MATCH('County Scaled Consumption '!$B531,Production_Consumption!$AA$83:$AA$99,0),MATCH('County Scaled Consumption '!E$2,Production_Consumption!$AA$83:$AJ$83,0)))*'CA Population'!$L531*10^6</f>
        <v>5018.4956049668635</v>
      </c>
      <c r="F531" s="143">
        <f>(INDEX(Production_Consumption!$AA$83:$AJ$99,MATCH('County Scaled Consumption '!$B531,Production_Consumption!$AA$83:$AA$99,0),MATCH('County Scaled Consumption '!F$2,Production_Consumption!$AA$83:$AJ$83,0)))*'CA Population'!$L531*10^6</f>
        <v>2272.6663262018205</v>
      </c>
      <c r="G531" s="143">
        <f>(INDEX(Production_Consumption!$AA$83:$AJ$99,MATCH('County Scaled Consumption '!$B531,Production_Consumption!$AA$83:$AA$99,0),MATCH('County Scaled Consumption '!G$2,Production_Consumption!$AA$83:$AJ$83,0)))*'CA Population'!$L531*10^6</f>
        <v>6229.2784870972419</v>
      </c>
      <c r="H531" s="143">
        <f>(INDEX(Production_Consumption!$AA$83:$AJ$99,MATCH('County Scaled Consumption '!$B531,Production_Consumption!$AA$83:$AA$99,0),MATCH('County Scaled Consumption '!H$2,Production_Consumption!$AA$83:$AJ$83,0)))*'CA Population'!$L531*10^6</f>
        <v>171.91235507901078</v>
      </c>
      <c r="I531" s="143">
        <f>(INDEX(Production_Consumption!$AA$83:$AJ$99,MATCH('County Scaled Consumption '!$B531,Production_Consumption!$AA$83:$AA$99,0),MATCH('County Scaled Consumption '!I$2,Production_Consumption!$AA$83:$AJ$83,0)))*'CA Population'!$L531*10^6</f>
        <v>3434.5834112765915</v>
      </c>
      <c r="J531" s="143">
        <f>(INDEX(Production_Consumption!$AA$83:$AJ$99,MATCH('County Scaled Consumption '!$B531,Production_Consumption!$AA$83:$AA$99,0),MATCH('County Scaled Consumption '!J$2,Production_Consumption!$AA$83:$AJ$83,0)))*'CA Population'!$L531*10^6</f>
        <v>2208.6426408283269</v>
      </c>
      <c r="K531" s="143">
        <f>(INDEX(Production_Consumption!$AA$83:$AJ$99,MATCH('County Scaled Consumption '!$B531,Production_Consumption!$AA$83:$AA$99,0),MATCH('County Scaled Consumption '!K$2,Production_Consumption!$AA$83:$AJ$83,0)))*'CA Population'!$L531*10^6</f>
        <v>32520.815395276131</v>
      </c>
      <c r="L531" s="131">
        <f t="shared" si="8"/>
        <v>0</v>
      </c>
    </row>
    <row r="532" spans="1:12" x14ac:dyDescent="0.2">
      <c r="A532" s="132" t="s">
        <v>362</v>
      </c>
      <c r="B532" s="129">
        <v>2012</v>
      </c>
      <c r="C532" s="143">
        <f>(INDEX(Production_Consumption!$AA$83:$AJ$99,MATCH('County Scaled Consumption '!$B532,Production_Consumption!$AA$83:$AA$99,0),MATCH('County Scaled Consumption '!C$2,Production_Consumption!$AA$83:$AJ$83,0)))*'CA Population'!$L532*10^6</f>
        <v>859.23717703802311</v>
      </c>
      <c r="D532" s="143">
        <f>(INDEX(Production_Consumption!$AA$83:$AJ$99,MATCH('County Scaled Consumption '!$B532,Production_Consumption!$AA$83:$AA$99,0),MATCH('County Scaled Consumption '!D$2,Production_Consumption!$AA$83:$AJ$83,0)))*'CA Population'!$L532*10^6</f>
        <v>3837.7705846172234</v>
      </c>
      <c r="E532" s="143">
        <f>(INDEX(Production_Consumption!$AA$83:$AJ$99,MATCH('County Scaled Consumption '!$B532,Production_Consumption!$AA$83:$AA$99,0),MATCH('County Scaled Consumption '!E$2,Production_Consumption!$AA$83:$AJ$83,0)))*'CA Population'!$L532*10^6</f>
        <v>1787.7504649636087</v>
      </c>
      <c r="F532" s="143">
        <f>(INDEX(Production_Consumption!$AA$83:$AJ$99,MATCH('County Scaled Consumption '!$B532,Production_Consumption!$AA$83:$AA$99,0),MATCH('County Scaled Consumption '!F$2,Production_Consumption!$AA$83:$AJ$83,0)))*'CA Population'!$L532*10^6</f>
        <v>809.59725806141626</v>
      </c>
      <c r="G532" s="143">
        <f>(INDEX(Production_Consumption!$AA$83:$AJ$99,MATCH('County Scaled Consumption '!$B532,Production_Consumption!$AA$83:$AA$99,0),MATCH('County Scaled Consumption '!G$2,Production_Consumption!$AA$83:$AJ$83,0)))*'CA Population'!$L532*10^6</f>
        <v>2219.0704920960934</v>
      </c>
      <c r="H532" s="143">
        <f>(INDEX(Production_Consumption!$AA$83:$AJ$99,MATCH('County Scaled Consumption '!$B532,Production_Consumption!$AA$83:$AA$99,0),MATCH('County Scaled Consumption '!H$2,Production_Consumption!$AA$83:$AJ$83,0)))*'CA Population'!$L532*10^6</f>
        <v>61.240741632077167</v>
      </c>
      <c r="I532" s="143">
        <f>(INDEX(Production_Consumption!$AA$83:$AJ$99,MATCH('County Scaled Consumption '!$B532,Production_Consumption!$AA$83:$AA$99,0),MATCH('County Scaled Consumption '!I$2,Production_Consumption!$AA$83:$AJ$83,0)))*'CA Population'!$L532*10^6</f>
        <v>1223.5097076480486</v>
      </c>
      <c r="J532" s="143">
        <f>(INDEX(Production_Consumption!$AA$83:$AJ$99,MATCH('County Scaled Consumption '!$B532,Production_Consumption!$AA$83:$AA$99,0),MATCH('County Scaled Consumption '!J$2,Production_Consumption!$AA$83:$AJ$83,0)))*'CA Population'!$L532*10^6</f>
        <v>786.78995039298536</v>
      </c>
      <c r="K532" s="143">
        <f>(INDEX(Production_Consumption!$AA$83:$AJ$99,MATCH('County Scaled Consumption '!$B532,Production_Consumption!$AA$83:$AA$99,0),MATCH('County Scaled Consumption '!K$2,Production_Consumption!$AA$83:$AJ$83,0)))*'CA Population'!$L532*10^6</f>
        <v>11584.966376449476</v>
      </c>
      <c r="L532" s="131">
        <f t="shared" si="8"/>
        <v>0</v>
      </c>
    </row>
    <row r="533" spans="1:12" x14ac:dyDescent="0.2">
      <c r="A533" s="132" t="s">
        <v>363</v>
      </c>
      <c r="B533" s="129">
        <v>2012</v>
      </c>
      <c r="C533" s="143">
        <f>(INDEX(Production_Consumption!$AA$83:$AJ$99,MATCH('County Scaled Consumption '!$B533,Production_Consumption!$AA$83:$AA$99,0),MATCH('County Scaled Consumption '!C$2,Production_Consumption!$AA$83:$AJ$83,0)))*'CA Population'!$L533*10^6</f>
        <v>446246.78057275125</v>
      </c>
      <c r="D533" s="143">
        <f>(INDEX(Production_Consumption!$AA$83:$AJ$99,MATCH('County Scaled Consumption '!$B533,Production_Consumption!$AA$83:$AA$99,0),MATCH('County Scaled Consumption '!D$2,Production_Consumption!$AA$83:$AJ$83,0)))*'CA Population'!$L533*10^6</f>
        <v>1993154.8747296061</v>
      </c>
      <c r="E533" s="143">
        <f>(INDEX(Production_Consumption!$AA$83:$AJ$99,MATCH('County Scaled Consumption '!$B533,Production_Consumption!$AA$83:$AA$99,0),MATCH('County Scaled Consumption '!E$2,Production_Consumption!$AA$83:$AJ$83,0)))*'CA Population'!$L533*10^6</f>
        <v>928472.26676988415</v>
      </c>
      <c r="F533" s="143">
        <f>(INDEX(Production_Consumption!$AA$83:$AJ$99,MATCH('County Scaled Consumption '!$B533,Production_Consumption!$AA$83:$AA$99,0),MATCH('County Scaled Consumption '!F$2,Production_Consumption!$AA$83:$AJ$83,0)))*'CA Population'!$L533*10^6</f>
        <v>420466.17584197759</v>
      </c>
      <c r="G533" s="143">
        <f>(INDEX(Production_Consumption!$AA$83:$AJ$99,MATCH('County Scaled Consumption '!$B533,Production_Consumption!$AA$83:$AA$99,0),MATCH('County Scaled Consumption '!G$2,Production_Consumption!$AA$83:$AJ$83,0)))*'CA Population'!$L533*10^6</f>
        <v>1152479.303066808</v>
      </c>
      <c r="H533" s="143">
        <f>(INDEX(Production_Consumption!$AA$83:$AJ$99,MATCH('County Scaled Consumption '!$B533,Production_Consumption!$AA$83:$AA$99,0),MATCH('County Scaled Consumption '!H$2,Production_Consumption!$AA$83:$AJ$83,0)))*'CA Population'!$L533*10^6</f>
        <v>31805.518340592873</v>
      </c>
      <c r="I533" s="143">
        <f>(INDEX(Production_Consumption!$AA$83:$AJ$99,MATCH('County Scaled Consumption '!$B533,Production_Consumption!$AA$83:$AA$99,0),MATCH('County Scaled Consumption '!I$2,Production_Consumption!$AA$83:$AJ$83,0)))*'CA Population'!$L533*10^6</f>
        <v>635432.54718049592</v>
      </c>
      <c r="J533" s="143">
        <f>(INDEX(Production_Consumption!$AA$83:$AJ$99,MATCH('County Scaled Consumption '!$B533,Production_Consumption!$AA$83:$AA$99,0),MATCH('County Scaled Consumption '!J$2,Production_Consumption!$AA$83:$AJ$83,0)))*'CA Population'!$L533*10^6</f>
        <v>408621.14877313707</v>
      </c>
      <c r="K533" s="143">
        <f>(INDEX(Production_Consumption!$AA$83:$AJ$99,MATCH('County Scaled Consumption '!$B533,Production_Consumption!$AA$83:$AA$99,0),MATCH('County Scaled Consumption '!K$2,Production_Consumption!$AA$83:$AJ$83,0)))*'CA Population'!$L533*10^6</f>
        <v>6016678.6152752526</v>
      </c>
      <c r="L533" s="131">
        <f t="shared" si="8"/>
        <v>0</v>
      </c>
    </row>
    <row r="534" spans="1:12" x14ac:dyDescent="0.2">
      <c r="A534" s="132" t="s">
        <v>305</v>
      </c>
      <c r="B534" s="129">
        <v>2011</v>
      </c>
      <c r="C534" s="143">
        <f>(INDEX(Production_Consumption!$AA$83:$AJ$99,MATCH('County Scaled Consumption '!$B534,Production_Consumption!$AA$83:$AA$99,0),MATCH('County Scaled Consumption '!C$2,Production_Consumption!$AA$83:$AJ$83,0)))*'CA Population'!$L534*10^6</f>
        <v>15933.387487847829</v>
      </c>
      <c r="D534" s="143">
        <f>(INDEX(Production_Consumption!$AA$83:$AJ$99,MATCH('County Scaled Consumption '!$B534,Production_Consumption!$AA$83:$AA$99,0),MATCH('County Scaled Consumption '!D$2,Production_Consumption!$AA$83:$AJ$83,0)))*'CA Population'!$L534*10^6</f>
        <v>66720.981464915414</v>
      </c>
      <c r="E534" s="143">
        <f>(INDEX(Production_Consumption!$AA$83:$AJ$99,MATCH('County Scaled Consumption '!$B534,Production_Consumption!$AA$83:$AA$99,0),MATCH('County Scaled Consumption '!E$2,Production_Consumption!$AA$83:$AJ$83,0)))*'CA Population'!$L534*10^6</f>
        <v>34715.714514217718</v>
      </c>
      <c r="F534" s="143">
        <f>(INDEX(Production_Consumption!$AA$83:$AJ$99,MATCH('County Scaled Consumption '!$B534,Production_Consumption!$AA$83:$AA$99,0),MATCH('County Scaled Consumption '!F$2,Production_Consumption!$AA$83:$AJ$83,0)))*'CA Population'!$L534*10^6</f>
        <v>14022.816990685929</v>
      </c>
      <c r="G534" s="143">
        <f>(INDEX(Production_Consumption!$AA$83:$AJ$99,MATCH('County Scaled Consumption '!$B534,Production_Consumption!$AA$83:$AA$99,0),MATCH('County Scaled Consumption '!G$2,Production_Consumption!$AA$83:$AJ$83,0)))*'CA Population'!$L534*10^6</f>
        <v>45637.607834527393</v>
      </c>
      <c r="H534" s="143">
        <f>(INDEX(Production_Consumption!$AA$83:$AJ$99,MATCH('County Scaled Consumption '!$B534,Production_Consumption!$AA$83:$AA$99,0),MATCH('County Scaled Consumption '!H$2,Production_Consumption!$AA$83:$AJ$83,0)))*'CA Population'!$L534*10^6</f>
        <v>1215.2486210512079</v>
      </c>
      <c r="I534" s="143">
        <f>(INDEX(Production_Consumption!$AA$83:$AJ$99,MATCH('County Scaled Consumption '!$B534,Production_Consumption!$AA$83:$AA$99,0),MATCH('County Scaled Consumption '!I$2,Production_Consumption!$AA$83:$AJ$83,0)))*'CA Population'!$L534*10^6</f>
        <v>22110.470785370191</v>
      </c>
      <c r="J534" s="143">
        <f>(INDEX(Production_Consumption!$AA$83:$AJ$99,MATCH('County Scaled Consumption '!$B534,Production_Consumption!$AA$83:$AA$99,0),MATCH('County Scaled Consumption '!J$2,Production_Consumption!$AA$83:$AJ$83,0)))*'CA Population'!$L534*10^6</f>
        <v>14925.716562951693</v>
      </c>
      <c r="K534" s="143">
        <f>(INDEX(Production_Consumption!$AA$83:$AJ$99,MATCH('County Scaled Consumption '!$B534,Production_Consumption!$AA$83:$AA$99,0),MATCH('County Scaled Consumption '!K$2,Production_Consumption!$AA$83:$AJ$83,0)))*'CA Population'!$L534*10^6</f>
        <v>215281.94426156738</v>
      </c>
      <c r="L534" s="131">
        <f t="shared" si="8"/>
        <v>0</v>
      </c>
    </row>
    <row r="535" spans="1:12" x14ac:dyDescent="0.2">
      <c r="A535" s="132" t="s">
        <v>306</v>
      </c>
      <c r="B535" s="129">
        <v>2011</v>
      </c>
      <c r="C535" s="143">
        <f>(INDEX(Production_Consumption!$AA$83:$AJ$99,MATCH('County Scaled Consumption '!$B535,Production_Consumption!$AA$83:$AA$99,0),MATCH('County Scaled Consumption '!C$2,Production_Consumption!$AA$83:$AJ$83,0)))*'CA Population'!$L535*10^6</f>
        <v>12.207763845906479</v>
      </c>
      <c r="D535" s="143">
        <f>(INDEX(Production_Consumption!$AA$83:$AJ$99,MATCH('County Scaled Consumption '!$B535,Production_Consumption!$AA$83:$AA$99,0),MATCH('County Scaled Consumption '!D$2,Production_Consumption!$AA$83:$AJ$83,0)))*'CA Population'!$L535*10^6</f>
        <v>51.119950852385216</v>
      </c>
      <c r="E535" s="143">
        <f>(INDEX(Production_Consumption!$AA$83:$AJ$99,MATCH('County Scaled Consumption '!$B535,Production_Consumption!$AA$83:$AA$99,0),MATCH('County Scaled Consumption '!E$2,Production_Consumption!$AA$83:$AJ$83,0)))*'CA Population'!$L535*10^6</f>
        <v>26.5983140656502</v>
      </c>
      <c r="F535" s="143">
        <f>(INDEX(Production_Consumption!$AA$83:$AJ$99,MATCH('County Scaled Consumption '!$B535,Production_Consumption!$AA$83:$AA$99,0),MATCH('County Scaled Consumption '!F$2,Production_Consumption!$AA$83:$AJ$83,0)))*'CA Population'!$L535*10^6</f>
        <v>10.743932412816852</v>
      </c>
      <c r="G535" s="143">
        <f>(INDEX(Production_Consumption!$AA$83:$AJ$99,MATCH('County Scaled Consumption '!$B535,Production_Consumption!$AA$83:$AA$99,0),MATCH('County Scaled Consumption '!G$2,Production_Consumption!$AA$83:$AJ$83,0)))*'CA Population'!$L535*10^6</f>
        <v>34.966396151535214</v>
      </c>
      <c r="H535" s="143">
        <f>(INDEX(Production_Consumption!$AA$83:$AJ$99,MATCH('County Scaled Consumption '!$B535,Production_Consumption!$AA$83:$AA$99,0),MATCH('County Scaled Consumption '!H$2,Production_Consumption!$AA$83:$AJ$83,0)))*'CA Population'!$L535*10^6</f>
        <v>0.93109316466265823</v>
      </c>
      <c r="I535" s="143">
        <f>(INDEX(Production_Consumption!$AA$83:$AJ$99,MATCH('County Scaled Consumption '!$B535,Production_Consumption!$AA$83:$AA$99,0),MATCH('County Scaled Consumption '!I$2,Production_Consumption!$AA$83:$AJ$83,0)))*'CA Population'!$L535*10^6</f>
        <v>16.940490907879909</v>
      </c>
      <c r="J535" s="143">
        <f>(INDEX(Production_Consumption!$AA$83:$AJ$99,MATCH('County Scaled Consumption '!$B535,Production_Consumption!$AA$83:$AA$99,0),MATCH('County Scaled Consumption '!J$2,Production_Consumption!$AA$83:$AJ$83,0)))*'CA Population'!$L535*10^6</f>
        <v>11.435711531550833</v>
      </c>
      <c r="K535" s="143">
        <f>(INDEX(Production_Consumption!$AA$83:$AJ$99,MATCH('County Scaled Consumption '!$B535,Production_Consumption!$AA$83:$AA$99,0),MATCH('County Scaled Consumption '!K$2,Production_Consumption!$AA$83:$AJ$83,0)))*'CA Population'!$L535*10^6</f>
        <v>164.94365293238735</v>
      </c>
      <c r="L535" s="131">
        <f t="shared" si="8"/>
        <v>0</v>
      </c>
    </row>
    <row r="536" spans="1:12" x14ac:dyDescent="0.2">
      <c r="A536" s="132" t="s">
        <v>307</v>
      </c>
      <c r="B536" s="129">
        <v>2011</v>
      </c>
      <c r="C536" s="143">
        <f>(INDEX(Production_Consumption!$AA$83:$AJ$99,MATCH('County Scaled Consumption '!$B536,Production_Consumption!$AA$83:$AA$99,0),MATCH('County Scaled Consumption '!C$2,Production_Consumption!$AA$83:$AJ$83,0)))*'CA Population'!$L536*10^6</f>
        <v>385.09281401338518</v>
      </c>
      <c r="D536" s="143">
        <f>(INDEX(Production_Consumption!$AA$83:$AJ$99,MATCH('County Scaled Consumption '!$B536,Production_Consumption!$AA$83:$AA$99,0),MATCH('County Scaled Consumption '!D$2,Production_Consumption!$AA$83:$AJ$83,0)))*'CA Population'!$L536*10^6</f>
        <v>1612.5742580261397</v>
      </c>
      <c r="E536" s="143">
        <f>(INDEX(Production_Consumption!$AA$83:$AJ$99,MATCH('County Scaled Consumption '!$B536,Production_Consumption!$AA$83:$AA$99,0),MATCH('County Scaled Consumption '!E$2,Production_Consumption!$AA$83:$AJ$83,0)))*'CA Population'!$L536*10^6</f>
        <v>839.04142813081</v>
      </c>
      <c r="F536" s="143">
        <f>(INDEX(Production_Consumption!$AA$83:$AJ$99,MATCH('County Scaled Consumption '!$B536,Production_Consumption!$AA$83:$AA$99,0),MATCH('County Scaled Consumption '!F$2,Production_Consumption!$AA$83:$AJ$83,0)))*'CA Population'!$L536*10^6</f>
        <v>338.91638293843818</v>
      </c>
      <c r="G536" s="143">
        <f>(INDEX(Production_Consumption!$AA$83:$AJ$99,MATCH('County Scaled Consumption '!$B536,Production_Consumption!$AA$83:$AA$99,0),MATCH('County Scaled Consumption '!G$2,Production_Consumption!$AA$83:$AJ$83,0)))*'CA Population'!$L536*10^6</f>
        <v>1103.0118259059134</v>
      </c>
      <c r="H536" s="143">
        <f>(INDEX(Production_Consumption!$AA$83:$AJ$99,MATCH('County Scaled Consumption '!$B536,Production_Consumption!$AA$83:$AA$99,0),MATCH('County Scaled Consumption '!H$2,Production_Consumption!$AA$83:$AJ$83,0)))*'CA Population'!$L536*10^6</f>
        <v>29.37125024816098</v>
      </c>
      <c r="I536" s="143">
        <f>(INDEX(Production_Consumption!$AA$83:$AJ$99,MATCH('County Scaled Consumption '!$B536,Production_Consumption!$AA$83:$AA$99,0),MATCH('County Scaled Consumption '!I$2,Production_Consumption!$AA$83:$AJ$83,0)))*'CA Population'!$L536*10^6</f>
        <v>534.38626408809193</v>
      </c>
      <c r="J536" s="143">
        <f>(INDEX(Production_Consumption!$AA$83:$AJ$99,MATCH('County Scaled Consumption '!$B536,Production_Consumption!$AA$83:$AA$99,0),MATCH('County Scaled Consumption '!J$2,Production_Consumption!$AA$83:$AJ$83,0)))*'CA Population'!$L536*10^6</f>
        <v>360.73849310305263</v>
      </c>
      <c r="K536" s="143">
        <f>(INDEX(Production_Consumption!$AA$83:$AJ$99,MATCH('County Scaled Consumption '!$B536,Production_Consumption!$AA$83:$AA$99,0),MATCH('County Scaled Consumption '!K$2,Production_Consumption!$AA$83:$AJ$83,0)))*'CA Population'!$L536*10^6</f>
        <v>5203.1327164539916</v>
      </c>
      <c r="L536" s="131">
        <f t="shared" si="8"/>
        <v>0</v>
      </c>
    </row>
    <row r="537" spans="1:12" x14ac:dyDescent="0.2">
      <c r="A537" s="132" t="s">
        <v>308</v>
      </c>
      <c r="B537" s="129">
        <v>2011</v>
      </c>
      <c r="C537" s="143">
        <f>(INDEX(Production_Consumption!$AA$83:$AJ$99,MATCH('County Scaled Consumption '!$B537,Production_Consumption!$AA$83:$AA$99,0),MATCH('County Scaled Consumption '!C$2,Production_Consumption!$AA$83:$AJ$83,0)))*'CA Population'!$L537*10^6</f>
        <v>2306.0664320240753</v>
      </c>
      <c r="D537" s="143">
        <f>(INDEX(Production_Consumption!$AA$83:$AJ$99,MATCH('County Scaled Consumption '!$B537,Production_Consumption!$AA$83:$AA$99,0),MATCH('County Scaled Consumption '!D$2,Production_Consumption!$AA$83:$AJ$83,0)))*'CA Population'!$L537*10^6</f>
        <v>9656.6418023343176</v>
      </c>
      <c r="E537" s="143">
        <f>(INDEX(Production_Consumption!$AA$83:$AJ$99,MATCH('County Scaled Consumption '!$B537,Production_Consumption!$AA$83:$AA$99,0),MATCH('County Scaled Consumption '!E$2,Production_Consumption!$AA$83:$AJ$83,0)))*'CA Population'!$L537*10^6</f>
        <v>5024.4647577940732</v>
      </c>
      <c r="F537" s="143">
        <f>(INDEX(Production_Consumption!$AA$83:$AJ$99,MATCH('County Scaled Consumption '!$B537,Production_Consumption!$AA$83:$AA$99,0),MATCH('County Scaled Consumption '!F$2,Production_Consumption!$AA$83:$AJ$83,0)))*'CA Population'!$L537*10^6</f>
        <v>2029.5462951177881</v>
      </c>
      <c r="G537" s="143">
        <f>(INDEX(Production_Consumption!$AA$83:$AJ$99,MATCH('County Scaled Consumption '!$B537,Production_Consumption!$AA$83:$AA$99,0),MATCH('County Scaled Consumption '!G$2,Production_Consumption!$AA$83:$AJ$83,0)))*'CA Population'!$L537*10^6</f>
        <v>6605.2090646355136</v>
      </c>
      <c r="H537" s="143">
        <f>(INDEX(Production_Consumption!$AA$83:$AJ$99,MATCH('County Scaled Consumption '!$B537,Production_Consumption!$AA$83:$AA$99,0),MATCH('County Scaled Consumption '!H$2,Production_Consumption!$AA$83:$AJ$83,0)))*'CA Population'!$L537*10^6</f>
        <v>175.8850121298513</v>
      </c>
      <c r="I537" s="143">
        <f>(INDEX(Production_Consumption!$AA$83:$AJ$99,MATCH('County Scaled Consumption '!$B537,Production_Consumption!$AA$83:$AA$99,0),MATCH('County Scaled Consumption '!I$2,Production_Consumption!$AA$83:$AJ$83,0)))*'CA Population'!$L537*10^6</f>
        <v>3200.086266230529</v>
      </c>
      <c r="J537" s="143">
        <f>(INDEX(Production_Consumption!$AA$83:$AJ$99,MATCH('County Scaled Consumption '!$B537,Production_Consumption!$AA$83:$AA$99,0),MATCH('County Scaled Consumption '!J$2,Production_Consumption!$AA$83:$AJ$83,0)))*'CA Population'!$L537*10^6</f>
        <v>2160.2244950096183</v>
      </c>
      <c r="K537" s="143">
        <f>(INDEX(Production_Consumption!$AA$83:$AJ$99,MATCH('County Scaled Consumption '!$B537,Production_Consumption!$AA$83:$AA$99,0),MATCH('County Scaled Consumption '!K$2,Production_Consumption!$AA$83:$AJ$83,0)))*'CA Population'!$L537*10^6</f>
        <v>31158.124125275768</v>
      </c>
      <c r="L537" s="131">
        <f t="shared" si="8"/>
        <v>0</v>
      </c>
    </row>
    <row r="538" spans="1:12" x14ac:dyDescent="0.2">
      <c r="A538" s="132" t="s">
        <v>309</v>
      </c>
      <c r="B538" s="129">
        <v>2011</v>
      </c>
      <c r="C538" s="143">
        <f>(INDEX(Production_Consumption!$AA$83:$AJ$99,MATCH('County Scaled Consumption '!$B538,Production_Consumption!$AA$83:$AA$99,0),MATCH('County Scaled Consumption '!C$2,Production_Consumption!$AA$83:$AJ$83,0)))*'CA Population'!$L538*10^6</f>
        <v>475.57020149065954</v>
      </c>
      <c r="D538" s="143">
        <f>(INDEX(Production_Consumption!$AA$83:$AJ$99,MATCH('County Scaled Consumption '!$B538,Production_Consumption!$AA$83:$AA$99,0),MATCH('County Scaled Consumption '!D$2,Production_Consumption!$AA$83:$AJ$83,0)))*'CA Population'!$L538*10^6</f>
        <v>1991.4478715291893</v>
      </c>
      <c r="E538" s="143">
        <f>(INDEX(Production_Consumption!$AA$83:$AJ$99,MATCH('County Scaled Consumption '!$B538,Production_Consumption!$AA$83:$AA$99,0),MATCH('County Scaled Consumption '!E$2,Production_Consumption!$AA$83:$AJ$83,0)))*'CA Population'!$L538*10^6</f>
        <v>1036.173843070753</v>
      </c>
      <c r="F538" s="143">
        <f>(INDEX(Production_Consumption!$AA$83:$AJ$99,MATCH('County Scaled Consumption '!$B538,Production_Consumption!$AA$83:$AA$99,0),MATCH('County Scaled Consumption '!F$2,Production_Consumption!$AA$83:$AJ$83,0)))*'CA Population'!$L538*10^6</f>
        <v>418.5446382204272</v>
      </c>
      <c r="G538" s="143">
        <f>(INDEX(Production_Consumption!$AA$83:$AJ$99,MATCH('County Scaled Consumption '!$B538,Production_Consumption!$AA$83:$AA$99,0),MATCH('County Scaled Consumption '!G$2,Production_Consumption!$AA$83:$AJ$83,0)))*'CA Population'!$L538*10^6</f>
        <v>1362.1639698382496</v>
      </c>
      <c r="H538" s="143">
        <f>(INDEX(Production_Consumption!$AA$83:$AJ$99,MATCH('County Scaled Consumption '!$B538,Production_Consumption!$AA$83:$AA$99,0),MATCH('County Scaled Consumption '!H$2,Production_Consumption!$AA$83:$AJ$83,0)))*'CA Population'!$L538*10^6</f>
        <v>36.272012590878923</v>
      </c>
      <c r="I538" s="143">
        <f>(INDEX(Production_Consumption!$AA$83:$AJ$99,MATCH('County Scaled Consumption '!$B538,Production_Consumption!$AA$83:$AA$99,0),MATCH('County Scaled Consumption '!I$2,Production_Consumption!$AA$83:$AJ$83,0)))*'CA Population'!$L538*10^6</f>
        <v>659.94008207429511</v>
      </c>
      <c r="J538" s="143">
        <f>(INDEX(Production_Consumption!$AA$83:$AJ$99,MATCH('County Scaled Consumption '!$B538,Production_Consumption!$AA$83:$AA$99,0),MATCH('County Scaled Consumption '!J$2,Production_Consumption!$AA$83:$AJ$83,0)))*'CA Population'!$L538*10^6</f>
        <v>445.49384358154396</v>
      </c>
      <c r="K538" s="143">
        <f>(INDEX(Production_Consumption!$AA$83:$AJ$99,MATCH('County Scaled Consumption '!$B538,Production_Consumption!$AA$83:$AA$99,0),MATCH('County Scaled Consumption '!K$2,Production_Consumption!$AA$83:$AJ$83,0)))*'CA Population'!$L538*10^6</f>
        <v>6425.6064623959965</v>
      </c>
      <c r="L538" s="131">
        <f t="shared" si="8"/>
        <v>0</v>
      </c>
    </row>
    <row r="539" spans="1:12" x14ac:dyDescent="0.2">
      <c r="A539" s="132" t="s">
        <v>310</v>
      </c>
      <c r="B539" s="129">
        <v>2011</v>
      </c>
      <c r="C539" s="143">
        <f>(INDEX(Production_Consumption!$AA$83:$AJ$99,MATCH('County Scaled Consumption '!$B539,Production_Consumption!$AA$83:$AA$99,0),MATCH('County Scaled Consumption '!C$2,Production_Consumption!$AA$83:$AJ$83,0)))*'CA Population'!$L539*10^6</f>
        <v>223.25901048899453</v>
      </c>
      <c r="D539" s="143">
        <f>(INDEX(Production_Consumption!$AA$83:$AJ$99,MATCH('County Scaled Consumption '!$B539,Production_Consumption!$AA$83:$AA$99,0),MATCH('County Scaled Consumption '!D$2,Production_Consumption!$AA$83:$AJ$83,0)))*'CA Population'!$L539*10^6</f>
        <v>934.8960045108156</v>
      </c>
      <c r="E539" s="143">
        <f>(INDEX(Production_Consumption!$AA$83:$AJ$99,MATCH('County Scaled Consumption '!$B539,Production_Consumption!$AA$83:$AA$99,0),MATCH('County Scaled Consumption '!E$2,Production_Consumption!$AA$83:$AJ$83,0)))*'CA Population'!$L539*10^6</f>
        <v>486.43743063262247</v>
      </c>
      <c r="F539" s="143">
        <f>(INDEX(Production_Consumption!$AA$83:$AJ$99,MATCH('County Scaled Consumption '!$B539,Production_Consumption!$AA$83:$AA$99,0),MATCH('County Scaled Consumption '!F$2,Production_Consumption!$AA$83:$AJ$83,0)))*'CA Population'!$L539*10^6</f>
        <v>196.48805051634858</v>
      </c>
      <c r="G539" s="143">
        <f>(INDEX(Production_Consumption!$AA$83:$AJ$99,MATCH('County Scaled Consumption '!$B539,Production_Consumption!$AA$83:$AA$99,0),MATCH('County Scaled Consumption '!G$2,Production_Consumption!$AA$83:$AJ$83,0)))*'CA Population'!$L539*10^6</f>
        <v>639.47526374993276</v>
      </c>
      <c r="H539" s="143">
        <f>(INDEX(Production_Consumption!$AA$83:$AJ$99,MATCH('County Scaled Consumption '!$B539,Production_Consumption!$AA$83:$AA$99,0),MATCH('County Scaled Consumption '!H$2,Production_Consumption!$AA$83:$AJ$83,0)))*'CA Population'!$L539*10^6</f>
        <v>17.028093043047878</v>
      </c>
      <c r="I539" s="143">
        <f>(INDEX(Production_Consumption!$AA$83:$AJ$99,MATCH('County Scaled Consumption '!$B539,Production_Consumption!$AA$83:$AA$99,0),MATCH('County Scaled Consumption '!I$2,Production_Consumption!$AA$83:$AJ$83,0)))*'CA Population'!$L539*10^6</f>
        <v>309.81245091493975</v>
      </c>
      <c r="J539" s="143">
        <f>(INDEX(Production_Consumption!$AA$83:$AJ$99,MATCH('County Scaled Consumption '!$B539,Production_Consumption!$AA$83:$AA$99,0),MATCH('County Scaled Consumption '!J$2,Production_Consumption!$AA$83:$AJ$83,0)))*'CA Population'!$L539*10^6</f>
        <v>209.13950114031243</v>
      </c>
      <c r="K539" s="143">
        <f>(INDEX(Production_Consumption!$AA$83:$AJ$99,MATCH('County Scaled Consumption '!$B539,Production_Consumption!$AA$83:$AA$99,0),MATCH('County Scaled Consumption '!K$2,Production_Consumption!$AA$83:$AJ$83,0)))*'CA Population'!$L539*10^6</f>
        <v>3016.5358049970141</v>
      </c>
      <c r="L539" s="131">
        <f t="shared" si="8"/>
        <v>0</v>
      </c>
    </row>
    <row r="540" spans="1:12" x14ac:dyDescent="0.2">
      <c r="A540" s="132" t="s">
        <v>311</v>
      </c>
      <c r="B540" s="129">
        <v>2011</v>
      </c>
      <c r="C540" s="143">
        <f>(INDEX(Production_Consumption!$AA$83:$AJ$99,MATCH('County Scaled Consumption '!$B540,Production_Consumption!$AA$83:$AA$99,0),MATCH('County Scaled Consumption '!C$2,Production_Consumption!$AA$83:$AJ$83,0)))*'CA Population'!$L540*10^6</f>
        <v>11073.872487148117</v>
      </c>
      <c r="D540" s="143">
        <f>(INDEX(Production_Consumption!$AA$83:$AJ$99,MATCH('County Scaled Consumption '!$B540,Production_Consumption!$AA$83:$AA$99,0),MATCH('County Scaled Consumption '!D$2,Production_Consumption!$AA$83:$AJ$83,0)))*'CA Population'!$L540*10^6</f>
        <v>46371.786383991726</v>
      </c>
      <c r="E540" s="143">
        <f>(INDEX(Production_Consumption!$AA$83:$AJ$99,MATCH('County Scaled Consumption '!$B540,Production_Consumption!$AA$83:$AA$99,0),MATCH('County Scaled Consumption '!E$2,Production_Consumption!$AA$83:$AJ$83,0)))*'CA Population'!$L540*10^6</f>
        <v>24127.788025232498</v>
      </c>
      <c r="F540" s="143">
        <f>(INDEX(Production_Consumption!$AA$83:$AJ$99,MATCH('County Scaled Consumption '!$B540,Production_Consumption!$AA$83:$AA$99,0),MATCH('County Scaled Consumption '!F$2,Production_Consumption!$AA$83:$AJ$83,0)))*'CA Population'!$L540*10^6</f>
        <v>9746.0058248068835</v>
      </c>
      <c r="G540" s="143">
        <f>(INDEX(Production_Consumption!$AA$83:$AJ$99,MATCH('County Scaled Consumption '!$B540,Production_Consumption!$AA$83:$AA$99,0),MATCH('County Scaled Consumption '!G$2,Production_Consumption!$AA$83:$AJ$83,0)))*'CA Population'!$L540*10^6</f>
        <v>31718.61916767406</v>
      </c>
      <c r="H540" s="143">
        <f>(INDEX(Production_Consumption!$AA$83:$AJ$99,MATCH('County Scaled Consumption '!$B540,Production_Consumption!$AA$83:$AA$99,0),MATCH('County Scaled Consumption '!H$2,Production_Consumption!$AA$83:$AJ$83,0)))*'CA Population'!$L540*10^6</f>
        <v>844.61061905181884</v>
      </c>
      <c r="I540" s="143">
        <f>(INDEX(Production_Consumption!$AA$83:$AJ$99,MATCH('County Scaled Consumption '!$B540,Production_Consumption!$AA$83:$AA$99,0),MATCH('County Scaled Consumption '!I$2,Production_Consumption!$AA$83:$AJ$83,0)))*'CA Population'!$L540*10^6</f>
        <v>15367.010580439704</v>
      </c>
      <c r="J540" s="143">
        <f>(INDEX(Production_Consumption!$AA$83:$AJ$99,MATCH('County Scaled Consumption '!$B540,Production_Consumption!$AA$83:$AA$99,0),MATCH('County Scaled Consumption '!J$2,Production_Consumption!$AA$83:$AJ$83,0)))*'CA Population'!$L540*10^6</f>
        <v>10373.530557987284</v>
      </c>
      <c r="K540" s="143">
        <f>(INDEX(Production_Consumption!$AA$83:$AJ$99,MATCH('County Scaled Consumption '!$B540,Production_Consumption!$AA$83:$AA$99,0),MATCH('County Scaled Consumption '!K$2,Production_Consumption!$AA$83:$AJ$83,0)))*'CA Population'!$L540*10^6</f>
        <v>149623.2236463321</v>
      </c>
      <c r="L540" s="131">
        <f t="shared" si="8"/>
        <v>0</v>
      </c>
    </row>
    <row r="541" spans="1:12" x14ac:dyDescent="0.2">
      <c r="A541" s="132" t="s">
        <v>312</v>
      </c>
      <c r="B541" s="129">
        <v>2011</v>
      </c>
      <c r="C541" s="143">
        <f>(INDEX(Production_Consumption!$AA$83:$AJ$99,MATCH('County Scaled Consumption '!$B541,Production_Consumption!$AA$83:$AA$99,0),MATCH('County Scaled Consumption '!C$2,Production_Consumption!$AA$83:$AJ$83,0)))*'CA Population'!$L541*10^6</f>
        <v>294.02018056586559</v>
      </c>
      <c r="D541" s="143">
        <f>(INDEX(Production_Consumption!$AA$83:$AJ$99,MATCH('County Scaled Consumption '!$B541,Production_Consumption!$AA$83:$AA$99,0),MATCH('County Scaled Consumption '!D$2,Production_Consumption!$AA$83:$AJ$83,0)))*'CA Population'!$L541*10^6</f>
        <v>1231.2080549605694</v>
      </c>
      <c r="E541" s="143">
        <f>(INDEX(Production_Consumption!$AA$83:$AJ$99,MATCH('County Scaled Consumption '!$B541,Production_Consumption!$AA$83:$AA$99,0),MATCH('County Scaled Consumption '!E$2,Production_Consumption!$AA$83:$AJ$83,0)))*'CA Population'!$L541*10^6</f>
        <v>640.61208940836741</v>
      </c>
      <c r="F541" s="143">
        <f>(INDEX(Production_Consumption!$AA$83:$AJ$99,MATCH('County Scaled Consumption '!$B541,Production_Consumption!$AA$83:$AA$99,0),MATCH('County Scaled Consumption '!F$2,Production_Consumption!$AA$83:$AJ$83,0)))*'CA Population'!$L541*10^6</f>
        <v>258.76425755590969</v>
      </c>
      <c r="G541" s="143">
        <f>(INDEX(Production_Consumption!$AA$83:$AJ$99,MATCH('County Scaled Consumption '!$B541,Production_Consumption!$AA$83:$AA$99,0),MATCH('County Scaled Consumption '!G$2,Production_Consumption!$AA$83:$AJ$83,0)))*'CA Population'!$L541*10^6</f>
        <v>842.15473365823266</v>
      </c>
      <c r="H541" s="143">
        <f>(INDEX(Production_Consumption!$AA$83:$AJ$99,MATCH('County Scaled Consumption '!$B541,Production_Consumption!$AA$83:$AA$99,0),MATCH('County Scaled Consumption '!H$2,Production_Consumption!$AA$83:$AJ$83,0)))*'CA Population'!$L541*10^6</f>
        <v>22.425088153188319</v>
      </c>
      <c r="I541" s="143">
        <f>(INDEX(Production_Consumption!$AA$83:$AJ$99,MATCH('County Scaled Consumption '!$B541,Production_Consumption!$AA$83:$AA$99,0),MATCH('County Scaled Consumption '!I$2,Production_Consumption!$AA$83:$AJ$83,0)))*'CA Population'!$L541*10^6</f>
        <v>408.00643414145321</v>
      </c>
      <c r="J541" s="143">
        <f>(INDEX(Production_Consumption!$AA$83:$AJ$99,MATCH('County Scaled Consumption '!$B541,Production_Consumption!$AA$83:$AA$99,0),MATCH('County Scaled Consumption '!J$2,Production_Consumption!$AA$83:$AJ$83,0)))*'CA Population'!$L541*10^6</f>
        <v>275.42554163457118</v>
      </c>
      <c r="K541" s="143">
        <f>(INDEX(Production_Consumption!$AA$83:$AJ$99,MATCH('County Scaled Consumption '!$B541,Production_Consumption!$AA$83:$AA$99,0),MATCH('County Scaled Consumption '!K$2,Production_Consumption!$AA$83:$AJ$83,0)))*'CA Population'!$L541*10^6</f>
        <v>3972.6163800781574</v>
      </c>
      <c r="L541" s="131">
        <f t="shared" si="8"/>
        <v>0</v>
      </c>
    </row>
    <row r="542" spans="1:12" x14ac:dyDescent="0.2">
      <c r="A542" s="132" t="s">
        <v>313</v>
      </c>
      <c r="B542" s="129">
        <v>2011</v>
      </c>
      <c r="C542" s="143">
        <f>(INDEX(Production_Consumption!$AA$83:$AJ$99,MATCH('County Scaled Consumption '!$B542,Production_Consumption!$AA$83:$AA$99,0),MATCH('County Scaled Consumption '!C$2,Production_Consumption!$AA$83:$AJ$83,0)))*'CA Population'!$L542*10^6</f>
        <v>1891.6603647040524</v>
      </c>
      <c r="D542" s="143">
        <f>(INDEX(Production_Consumption!$AA$83:$AJ$99,MATCH('County Scaled Consumption '!$B542,Production_Consumption!$AA$83:$AA$99,0),MATCH('County Scaled Consumption '!D$2,Production_Consumption!$AA$83:$AJ$83,0)))*'CA Population'!$L542*10^6</f>
        <v>7921.3184407644267</v>
      </c>
      <c r="E542" s="143">
        <f>(INDEX(Production_Consumption!$AA$83:$AJ$99,MATCH('County Scaled Consumption '!$B542,Production_Consumption!$AA$83:$AA$99,0),MATCH('County Scaled Consumption '!E$2,Production_Consumption!$AA$83:$AJ$83,0)))*'CA Population'!$L542*10^6</f>
        <v>4121.5555216373605</v>
      </c>
      <c r="F542" s="143">
        <f>(INDEX(Production_Consumption!$AA$83:$AJ$99,MATCH('County Scaled Consumption '!$B542,Production_Consumption!$AA$83:$AA$99,0),MATCH('County Scaled Consumption '!F$2,Production_Consumption!$AA$83:$AJ$83,0)))*'CA Population'!$L542*10^6</f>
        <v>1664.8316074036636</v>
      </c>
      <c r="G542" s="143">
        <f>(INDEX(Production_Consumption!$AA$83:$AJ$99,MATCH('County Scaled Consumption '!$B542,Production_Consumption!$AA$83:$AA$99,0),MATCH('County Scaled Consumption '!G$2,Production_Consumption!$AA$83:$AJ$83,0)))*'CA Population'!$L542*10^6</f>
        <v>5418.2360120423818</v>
      </c>
      <c r="H542" s="143">
        <f>(INDEX(Production_Consumption!$AA$83:$AJ$99,MATCH('County Scaled Consumption '!$B542,Production_Consumption!$AA$83:$AA$99,0),MATCH('County Scaled Consumption '!H$2,Production_Consumption!$AA$83:$AJ$83,0)))*'CA Population'!$L542*10^6</f>
        <v>144.2780232048656</v>
      </c>
      <c r="I542" s="143">
        <f>(INDEX(Production_Consumption!$AA$83:$AJ$99,MATCH('County Scaled Consumption '!$B542,Production_Consumption!$AA$83:$AA$99,0),MATCH('County Scaled Consumption '!I$2,Production_Consumption!$AA$83:$AJ$83,0)))*'CA Population'!$L542*10^6</f>
        <v>2625.022535950462</v>
      </c>
      <c r="J542" s="143">
        <f>(INDEX(Production_Consumption!$AA$83:$AJ$99,MATCH('County Scaled Consumption '!$B542,Production_Consumption!$AA$83:$AA$99,0),MATCH('County Scaled Consumption '!J$2,Production_Consumption!$AA$83:$AJ$83,0)))*'CA Population'!$L542*10^6</f>
        <v>1772.026598767932</v>
      </c>
      <c r="K542" s="143">
        <f>(INDEX(Production_Consumption!$AA$83:$AJ$99,MATCH('County Scaled Consumption '!$B542,Production_Consumption!$AA$83:$AA$99,0),MATCH('County Scaled Consumption '!K$2,Production_Consumption!$AA$83:$AJ$83,0)))*'CA Population'!$L542*10^6</f>
        <v>25558.929104475144</v>
      </c>
      <c r="L542" s="131">
        <f t="shared" si="8"/>
        <v>0</v>
      </c>
    </row>
    <row r="543" spans="1:12" x14ac:dyDescent="0.2">
      <c r="A543" s="132" t="s">
        <v>314</v>
      </c>
      <c r="B543" s="129">
        <v>2011</v>
      </c>
      <c r="C543" s="143">
        <f>(INDEX(Production_Consumption!$AA$83:$AJ$99,MATCH('County Scaled Consumption '!$B543,Production_Consumption!$AA$83:$AA$99,0),MATCH('County Scaled Consumption '!C$2,Production_Consumption!$AA$83:$AJ$83,0)))*'CA Population'!$L543*10^6</f>
        <v>9811.8152723753738</v>
      </c>
      <c r="D543" s="143">
        <f>(INDEX(Production_Consumption!$AA$83:$AJ$99,MATCH('County Scaled Consumption '!$B543,Production_Consumption!$AA$83:$AA$99,0),MATCH('County Scaled Consumption '!D$2,Production_Consumption!$AA$83:$AJ$83,0)))*'CA Population'!$L543*10^6</f>
        <v>41086.92802611037</v>
      </c>
      <c r="E543" s="143">
        <f>(INDEX(Production_Consumption!$AA$83:$AJ$99,MATCH('County Scaled Consumption '!$B543,Production_Consumption!$AA$83:$AA$99,0),MATCH('County Scaled Consumption '!E$2,Production_Consumption!$AA$83:$AJ$83,0)))*'CA Population'!$L543*10^6</f>
        <v>21378.013816698687</v>
      </c>
      <c r="F543" s="143">
        <f>(INDEX(Production_Consumption!$AA$83:$AJ$99,MATCH('County Scaled Consumption '!$B543,Production_Consumption!$AA$83:$AA$99,0),MATCH('County Scaled Consumption '!F$2,Production_Consumption!$AA$83:$AJ$83,0)))*'CA Population'!$L543*10^6</f>
        <v>8635.2817325176147</v>
      </c>
      <c r="G543" s="143">
        <f>(INDEX(Production_Consumption!$AA$83:$AJ$99,MATCH('County Scaled Consumption '!$B543,Production_Consumption!$AA$83:$AA$99,0),MATCH('County Scaled Consumption '!G$2,Production_Consumption!$AA$83:$AJ$83,0)))*'CA Population'!$L543*10^6</f>
        <v>28103.739891282712</v>
      </c>
      <c r="H543" s="143">
        <f>(INDEX(Production_Consumption!$AA$83:$AJ$99,MATCH('County Scaled Consumption '!$B543,Production_Consumption!$AA$83:$AA$99,0),MATCH('County Scaled Consumption '!H$2,Production_Consumption!$AA$83:$AJ$83,0)))*'CA Population'!$L543*10^6</f>
        <v>748.35278994234386</v>
      </c>
      <c r="I543" s="143">
        <f>(INDEX(Production_Consumption!$AA$83:$AJ$99,MATCH('County Scaled Consumption '!$B543,Production_Consumption!$AA$83:$AA$99,0),MATCH('County Scaled Consumption '!I$2,Production_Consumption!$AA$83:$AJ$83,0)))*'CA Population'!$L543*10^6</f>
        <v>13615.676835623612</v>
      </c>
      <c r="J543" s="143">
        <f>(INDEX(Production_Consumption!$AA$83:$AJ$99,MATCH('County Scaled Consumption '!$B543,Production_Consumption!$AA$83:$AA$99,0),MATCH('County Scaled Consumption '!J$2,Production_Consumption!$AA$83:$AJ$83,0)))*'CA Population'!$L543*10^6</f>
        <v>9191.2892870527139</v>
      </c>
      <c r="K543" s="143">
        <f>(INDEX(Production_Consumption!$AA$83:$AJ$99,MATCH('County Scaled Consumption '!$B543,Production_Consumption!$AA$83:$AA$99,0),MATCH('County Scaled Consumption '!K$2,Production_Consumption!$AA$83:$AJ$83,0)))*'CA Population'!$L543*10^6</f>
        <v>132571.09765160343</v>
      </c>
      <c r="L543" s="131">
        <f t="shared" si="8"/>
        <v>0</v>
      </c>
    </row>
    <row r="544" spans="1:12" x14ac:dyDescent="0.2">
      <c r="A544" s="132" t="s">
        <v>315</v>
      </c>
      <c r="B544" s="129">
        <v>2011</v>
      </c>
      <c r="C544" s="143">
        <f>(INDEX(Production_Consumption!$AA$83:$AJ$99,MATCH('County Scaled Consumption '!$B544,Production_Consumption!$AA$83:$AA$99,0),MATCH('County Scaled Consumption '!C$2,Production_Consumption!$AA$83:$AJ$83,0)))*'CA Population'!$L544*10^6</f>
        <v>295.65971771197962</v>
      </c>
      <c r="D544" s="143">
        <f>(INDEX(Production_Consumption!$AA$83:$AJ$99,MATCH('County Scaled Consumption '!$B544,Production_Consumption!$AA$83:$AA$99,0),MATCH('County Scaled Consumption '!D$2,Production_Consumption!$AA$83:$AJ$83,0)))*'CA Population'!$L544*10^6</f>
        <v>1238.0736086678614</v>
      </c>
      <c r="E544" s="143">
        <f>(INDEX(Production_Consumption!$AA$83:$AJ$99,MATCH('County Scaled Consumption '!$B544,Production_Consumption!$AA$83:$AA$99,0),MATCH('County Scaled Consumption '!E$2,Production_Consumption!$AA$83:$AJ$83,0)))*'CA Population'!$L544*10^6</f>
        <v>644.18431807244519</v>
      </c>
      <c r="F544" s="143">
        <f>(INDEX(Production_Consumption!$AA$83:$AJ$99,MATCH('County Scaled Consumption '!$B544,Production_Consumption!$AA$83:$AA$99,0),MATCH('County Scaled Consumption '!F$2,Production_Consumption!$AA$83:$AJ$83,0)))*'CA Population'!$L544*10^6</f>
        <v>260.20719800827266</v>
      </c>
      <c r="G544" s="143">
        <f>(INDEX(Production_Consumption!$AA$83:$AJ$99,MATCH('County Scaled Consumption '!$B544,Production_Consumption!$AA$83:$AA$99,0),MATCH('County Scaled Consumption '!G$2,Production_Consumption!$AA$83:$AJ$83,0)))*'CA Population'!$L544*10^6</f>
        <v>846.85081936891788</v>
      </c>
      <c r="H544" s="143">
        <f>(INDEX(Production_Consumption!$AA$83:$AJ$99,MATCH('County Scaled Consumption '!$B544,Production_Consumption!$AA$83:$AA$99,0),MATCH('County Scaled Consumption '!H$2,Production_Consumption!$AA$83:$AJ$83,0)))*'CA Population'!$L544*10^6</f>
        <v>22.550136593609221</v>
      </c>
      <c r="I544" s="143">
        <f>(INDEX(Production_Consumption!$AA$83:$AJ$99,MATCH('County Scaled Consumption '!$B544,Production_Consumption!$AA$83:$AA$99,0),MATCH('County Scaled Consumption '!I$2,Production_Consumption!$AA$83:$AJ$83,0)))*'CA Population'!$L544*10^6</f>
        <v>410.28158989212653</v>
      </c>
      <c r="J544" s="143">
        <f>(INDEX(Production_Consumption!$AA$83:$AJ$99,MATCH('County Scaled Consumption '!$B544,Production_Consumption!$AA$83:$AA$99,0),MATCH('County Scaled Consumption '!J$2,Production_Consumption!$AA$83:$AJ$83,0)))*'CA Population'!$L544*10^6</f>
        <v>276.96138997542096</v>
      </c>
      <c r="K544" s="143">
        <f>(INDEX(Production_Consumption!$AA$83:$AJ$99,MATCH('County Scaled Consumption '!$B544,Production_Consumption!$AA$83:$AA$99,0),MATCH('County Scaled Consumption '!K$2,Production_Consumption!$AA$83:$AJ$83,0)))*'CA Population'!$L544*10^6</f>
        <v>3994.7687782906332</v>
      </c>
      <c r="L544" s="131">
        <f t="shared" si="8"/>
        <v>0</v>
      </c>
    </row>
    <row r="545" spans="1:12" x14ac:dyDescent="0.2">
      <c r="A545" s="132" t="s">
        <v>316</v>
      </c>
      <c r="B545" s="129">
        <v>2011</v>
      </c>
      <c r="C545" s="143">
        <f>(INDEX(Production_Consumption!$AA$83:$AJ$99,MATCH('County Scaled Consumption '!$B545,Production_Consumption!$AA$83:$AA$99,0),MATCH('County Scaled Consumption '!C$2,Production_Consumption!$AA$83:$AJ$83,0)))*'CA Population'!$L545*10^6</f>
        <v>1416.1214919486688</v>
      </c>
      <c r="D545" s="143">
        <f>(INDEX(Production_Consumption!$AA$83:$AJ$99,MATCH('County Scaled Consumption '!$B545,Production_Consumption!$AA$83:$AA$99,0),MATCH('County Scaled Consumption '!D$2,Production_Consumption!$AA$83:$AJ$83,0)))*'CA Population'!$L545*10^6</f>
        <v>5930.0017581595803</v>
      </c>
      <c r="E545" s="143">
        <f>(INDEX(Production_Consumption!$AA$83:$AJ$99,MATCH('County Scaled Consumption '!$B545,Production_Consumption!$AA$83:$AA$99,0),MATCH('County Scaled Consumption '!E$2,Production_Consumption!$AA$83:$AJ$83,0)))*'CA Population'!$L545*10^6</f>
        <v>3085.4499377130551</v>
      </c>
      <c r="F545" s="143">
        <f>(INDEX(Production_Consumption!$AA$83:$AJ$99,MATCH('County Scaled Consumption '!$B545,Production_Consumption!$AA$83:$AA$99,0),MATCH('County Scaled Consumption '!F$2,Production_Consumption!$AA$83:$AJ$83,0)))*'CA Population'!$L545*10^6</f>
        <v>1246.3145412937911</v>
      </c>
      <c r="G545" s="143">
        <f>(INDEX(Production_Consumption!$AA$83:$AJ$99,MATCH('County Scaled Consumption '!$B545,Production_Consumption!$AA$83:$AA$99,0),MATCH('County Scaled Consumption '!G$2,Production_Consumption!$AA$83:$AJ$83,0)))*'CA Population'!$L545*10^6</f>
        <v>4056.1617763259924</v>
      </c>
      <c r="H545" s="143">
        <f>(INDEX(Production_Consumption!$AA$83:$AJ$99,MATCH('County Scaled Consumption '!$B545,Production_Consumption!$AA$83:$AA$99,0),MATCH('County Scaled Consumption '!H$2,Production_Consumption!$AA$83:$AJ$83,0)))*'CA Population'!$L545*10^6</f>
        <v>108.00840007463168</v>
      </c>
      <c r="I545" s="143">
        <f>(INDEX(Production_Consumption!$AA$83:$AJ$99,MATCH('County Scaled Consumption '!$B545,Production_Consumption!$AA$83:$AA$99,0),MATCH('County Scaled Consumption '!I$2,Production_Consumption!$AA$83:$AJ$83,0)))*'CA Population'!$L545*10^6</f>
        <v>1965.1259281898742</v>
      </c>
      <c r="J545" s="143">
        <f>(INDEX(Production_Consumption!$AA$83:$AJ$99,MATCH('County Scaled Consumption '!$B545,Production_Consumption!$AA$83:$AA$99,0),MATCH('County Scaled Consumption '!J$2,Production_Consumption!$AA$83:$AJ$83,0)))*'CA Population'!$L545*10^6</f>
        <v>1326.5621026069136</v>
      </c>
      <c r="K545" s="143">
        <f>(INDEX(Production_Consumption!$AA$83:$AJ$99,MATCH('County Scaled Consumption '!$B545,Production_Consumption!$AA$83:$AA$99,0),MATCH('County Scaled Consumption '!K$2,Production_Consumption!$AA$83:$AJ$83,0)))*'CA Population'!$L545*10^6</f>
        <v>19133.745936312509</v>
      </c>
      <c r="L545" s="131">
        <f t="shared" si="8"/>
        <v>0</v>
      </c>
    </row>
    <row r="546" spans="1:12" x14ac:dyDescent="0.2">
      <c r="A546" s="132" t="s">
        <v>317</v>
      </c>
      <c r="B546" s="129">
        <v>2011</v>
      </c>
      <c r="C546" s="143">
        <f>(INDEX(Production_Consumption!$AA$83:$AJ$99,MATCH('County Scaled Consumption '!$B546,Production_Consumption!$AA$83:$AA$99,0),MATCH('County Scaled Consumption '!C$2,Production_Consumption!$AA$83:$AJ$83,0)))*'CA Population'!$L546*10^6</f>
        <v>1838.9445461461946</v>
      </c>
      <c r="D546" s="143">
        <f>(INDEX(Production_Consumption!$AA$83:$AJ$99,MATCH('County Scaled Consumption '!$B546,Production_Consumption!$AA$83:$AA$99,0),MATCH('County Scaled Consumption '!D$2,Production_Consumption!$AA$83:$AJ$83,0)))*'CA Population'!$L546*10^6</f>
        <v>7700.5712107363343</v>
      </c>
      <c r="E546" s="143">
        <f>(INDEX(Production_Consumption!$AA$83:$AJ$99,MATCH('County Scaled Consumption '!$B546,Production_Consumption!$AA$83:$AA$99,0),MATCH('County Scaled Consumption '!E$2,Production_Consumption!$AA$83:$AJ$83,0)))*'CA Population'!$L546*10^6</f>
        <v>4006.6981312152889</v>
      </c>
      <c r="F546" s="143">
        <f>(INDEX(Production_Consumption!$AA$83:$AJ$99,MATCH('County Scaled Consumption '!$B546,Production_Consumption!$AA$83:$AA$99,0),MATCH('County Scaled Consumption '!F$2,Production_Consumption!$AA$83:$AJ$83,0)))*'CA Population'!$L546*10^6</f>
        <v>1618.4369360436128</v>
      </c>
      <c r="G546" s="143">
        <f>(INDEX(Production_Consumption!$AA$83:$AJ$99,MATCH('County Scaled Consumption '!$B546,Production_Consumption!$AA$83:$AA$99,0),MATCH('County Scaled Consumption '!G$2,Production_Consumption!$AA$83:$AJ$83,0)))*'CA Population'!$L546*10^6</f>
        <v>5267.2433963255726</v>
      </c>
      <c r="H546" s="143">
        <f>(INDEX(Production_Consumption!$AA$83:$AJ$99,MATCH('County Scaled Consumption '!$B546,Production_Consumption!$AA$83:$AA$99,0),MATCH('County Scaled Consumption '!H$2,Production_Consumption!$AA$83:$AJ$83,0)))*'CA Population'!$L546*10^6</f>
        <v>140.25735742623681</v>
      </c>
      <c r="I546" s="143">
        <f>(INDEX(Production_Consumption!$AA$83:$AJ$99,MATCH('County Scaled Consumption '!$B546,Production_Consumption!$AA$83:$AA$99,0),MATCH('County Scaled Consumption '!I$2,Production_Consumption!$AA$83:$AJ$83,0)))*'CA Population'!$L546*10^6</f>
        <v>2551.8697574192579</v>
      </c>
      <c r="J546" s="143">
        <f>(INDEX(Production_Consumption!$AA$83:$AJ$99,MATCH('County Scaled Consumption '!$B546,Production_Consumption!$AA$83:$AA$99,0),MATCH('County Scaled Consumption '!J$2,Production_Consumption!$AA$83:$AJ$83,0)))*'CA Population'!$L546*10^6</f>
        <v>1722.6446724965301</v>
      </c>
      <c r="K546" s="143">
        <f>(INDEX(Production_Consumption!$AA$83:$AJ$99,MATCH('County Scaled Consumption '!$B546,Production_Consumption!$AA$83:$AA$99,0),MATCH('County Scaled Consumption '!K$2,Production_Consumption!$AA$83:$AJ$83,0)))*'CA Population'!$L546*10^6</f>
        <v>24846.666007809028</v>
      </c>
      <c r="L546" s="131">
        <f t="shared" si="8"/>
        <v>0</v>
      </c>
    </row>
    <row r="547" spans="1:12" x14ac:dyDescent="0.2">
      <c r="A547" s="132" t="s">
        <v>318</v>
      </c>
      <c r="B547" s="129">
        <v>2011</v>
      </c>
      <c r="C547" s="143">
        <f>(INDEX(Production_Consumption!$AA$83:$AJ$99,MATCH('County Scaled Consumption '!$B547,Production_Consumption!$AA$83:$AA$99,0),MATCH('County Scaled Consumption '!C$2,Production_Consumption!$AA$83:$AJ$83,0)))*'CA Population'!$L547*10^6</f>
        <v>193.71601312366565</v>
      </c>
      <c r="D547" s="143">
        <f>(INDEX(Production_Consumption!$AA$83:$AJ$99,MATCH('County Scaled Consumption '!$B547,Production_Consumption!$AA$83:$AA$99,0),MATCH('County Scaled Consumption '!D$2,Production_Consumption!$AA$83:$AJ$83,0)))*'CA Population'!$L547*10^6</f>
        <v>811.18484885521434</v>
      </c>
      <c r="E547" s="143">
        <f>(INDEX(Production_Consumption!$AA$83:$AJ$99,MATCH('County Scaled Consumption '!$B547,Production_Consumption!$AA$83:$AA$99,0),MATCH('County Scaled Consumption '!E$2,Production_Consumption!$AA$83:$AJ$83,0)))*'CA Population'!$L547*10^6</f>
        <v>422.06905553277261</v>
      </c>
      <c r="F547" s="143">
        <f>(INDEX(Production_Consumption!$AA$83:$AJ$99,MATCH('County Scaled Consumption '!$B547,Production_Consumption!$AA$83:$AA$99,0),MATCH('County Scaled Consumption '!F$2,Production_Consumption!$AA$83:$AJ$83,0)))*'CA Population'!$L547*10^6</f>
        <v>170.4875502632614</v>
      </c>
      <c r="G547" s="143">
        <f>(INDEX(Production_Consumption!$AA$83:$AJ$99,MATCH('County Scaled Consumption '!$B547,Production_Consumption!$AA$83:$AA$99,0),MATCH('County Scaled Consumption '!G$2,Production_Consumption!$AA$83:$AJ$83,0)))*'CA Population'!$L547*10^6</f>
        <v>554.85598683573846</v>
      </c>
      <c r="H547" s="143">
        <f>(INDEX(Production_Consumption!$AA$83:$AJ$99,MATCH('County Scaled Consumption '!$B547,Production_Consumption!$AA$83:$AA$99,0),MATCH('County Scaled Consumption '!H$2,Production_Consumption!$AA$83:$AJ$83,0)))*'CA Population'!$L547*10^6</f>
        <v>14.774831654826611</v>
      </c>
      <c r="I547" s="143">
        <f>(INDEX(Production_Consumption!$AA$83:$AJ$99,MATCH('County Scaled Consumption '!$B547,Production_Consumption!$AA$83:$AA$99,0),MATCH('County Scaled Consumption '!I$2,Production_Consumption!$AA$83:$AJ$83,0)))*'CA Population'!$L547*10^6</f>
        <v>268.81617308911228</v>
      </c>
      <c r="J547" s="143">
        <f>(INDEX(Production_Consumption!$AA$83:$AJ$99,MATCH('County Scaled Consumption '!$B547,Production_Consumption!$AA$83:$AA$99,0),MATCH('County Scaled Consumption '!J$2,Production_Consumption!$AA$83:$AJ$83,0)))*'CA Population'!$L547*10^6</f>
        <v>181.46488358448923</v>
      </c>
      <c r="K547" s="143">
        <f>(INDEX(Production_Consumption!$AA$83:$AJ$99,MATCH('County Scaled Consumption '!$B547,Production_Consumption!$AA$83:$AA$99,0),MATCH('County Scaled Consumption '!K$2,Production_Consumption!$AA$83:$AJ$83,0)))*'CA Population'!$L547*10^6</f>
        <v>2617.369342939081</v>
      </c>
      <c r="L547" s="131">
        <f t="shared" si="8"/>
        <v>0</v>
      </c>
    </row>
    <row r="548" spans="1:12" x14ac:dyDescent="0.2">
      <c r="A548" s="132" t="s">
        <v>319</v>
      </c>
      <c r="B548" s="129">
        <v>2011</v>
      </c>
      <c r="C548" s="143">
        <f>(INDEX(Production_Consumption!$AA$83:$AJ$99,MATCH('County Scaled Consumption '!$B548,Production_Consumption!$AA$83:$AA$99,0),MATCH('County Scaled Consumption '!C$2,Production_Consumption!$AA$83:$AJ$83,0)))*'CA Population'!$L548*10^6</f>
        <v>8834.6511332914033</v>
      </c>
      <c r="D548" s="143">
        <f>(INDEX(Production_Consumption!$AA$83:$AJ$99,MATCH('County Scaled Consumption '!$B548,Production_Consumption!$AA$83:$AA$99,0),MATCH('County Scaled Consumption '!D$2,Production_Consumption!$AA$83:$AJ$83,0)))*'CA Population'!$L548*10^6</f>
        <v>36995.058016564268</v>
      </c>
      <c r="E548" s="143">
        <f>(INDEX(Production_Consumption!$AA$83:$AJ$99,MATCH('County Scaled Consumption '!$B548,Production_Consumption!$AA$83:$AA$99,0),MATCH('County Scaled Consumption '!E$2,Production_Consumption!$AA$83:$AJ$83,0)))*'CA Population'!$L548*10^6</f>
        <v>19248.965532908249</v>
      </c>
      <c r="F548" s="143">
        <f>(INDEX(Production_Consumption!$AA$83:$AJ$99,MATCH('County Scaled Consumption '!$B548,Production_Consumption!$AA$83:$AA$99,0),MATCH('County Scaled Consumption '!F$2,Production_Consumption!$AA$83:$AJ$83,0)))*'CA Population'!$L548*10^6</f>
        <v>7775.2892229093168</v>
      </c>
      <c r="G548" s="143">
        <f>(INDEX(Production_Consumption!$AA$83:$AJ$99,MATCH('County Scaled Consumption '!$B548,Production_Consumption!$AA$83:$AA$99,0),MATCH('County Scaled Consumption '!G$2,Production_Consumption!$AA$83:$AJ$83,0)))*'CA Population'!$L548*10^6</f>
        <v>25304.872807714317</v>
      </c>
      <c r="H548" s="143">
        <f>(INDEX(Production_Consumption!$AA$83:$AJ$99,MATCH('County Scaled Consumption '!$B548,Production_Consumption!$AA$83:$AA$99,0),MATCH('County Scaled Consumption '!H$2,Production_Consumption!$AA$83:$AJ$83,0)))*'CA Population'!$L548*10^6</f>
        <v>673.8239194514847</v>
      </c>
      <c r="I548" s="143">
        <f>(INDEX(Production_Consumption!$AA$83:$AJ$99,MATCH('County Scaled Consumption '!$B548,Production_Consumption!$AA$83:$AA$99,0),MATCH('County Scaled Consumption '!I$2,Production_Consumption!$AA$83:$AJ$83,0)))*'CA Population'!$L548*10^6</f>
        <v>12259.684008222293</v>
      </c>
      <c r="J548" s="143">
        <f>(INDEX(Production_Consumption!$AA$83:$AJ$99,MATCH('County Scaled Consumption '!$B548,Production_Consumption!$AA$83:$AA$99,0),MATCH('County Scaled Consumption '!J$2,Production_Consumption!$AA$83:$AJ$83,0)))*'CA Population'!$L548*10^6</f>
        <v>8275.9236759061987</v>
      </c>
      <c r="K548" s="143">
        <f>(INDEX(Production_Consumption!$AA$83:$AJ$99,MATCH('County Scaled Consumption '!$B548,Production_Consumption!$AA$83:$AA$99,0),MATCH('County Scaled Consumption '!K$2,Production_Consumption!$AA$83:$AJ$83,0)))*'CA Population'!$L548*10^6</f>
        <v>119368.26831696753</v>
      </c>
      <c r="L548" s="131">
        <f t="shared" si="8"/>
        <v>0</v>
      </c>
    </row>
    <row r="549" spans="1:12" x14ac:dyDescent="0.2">
      <c r="A549" s="132" t="s">
        <v>320</v>
      </c>
      <c r="B549" s="129">
        <v>2011</v>
      </c>
      <c r="C549" s="143">
        <f>(INDEX(Production_Consumption!$AA$83:$AJ$99,MATCH('County Scaled Consumption '!$B549,Production_Consumption!$AA$83:$AA$99,0),MATCH('County Scaled Consumption '!C$2,Production_Consumption!$AA$83:$AJ$83,0)))*'CA Population'!$L549*10^6</f>
        <v>1567.9614289199949</v>
      </c>
      <c r="D549" s="143">
        <f>(INDEX(Production_Consumption!$AA$83:$AJ$99,MATCH('County Scaled Consumption '!$B549,Production_Consumption!$AA$83:$AA$99,0),MATCH('County Scaled Consumption '!D$2,Production_Consumption!$AA$83:$AJ$83,0)))*'CA Population'!$L549*10^6</f>
        <v>6565.8307448094365</v>
      </c>
      <c r="E549" s="143">
        <f>(INDEX(Production_Consumption!$AA$83:$AJ$99,MATCH('County Scaled Consumption '!$B549,Production_Consumption!$AA$83:$AA$99,0),MATCH('County Scaled Consumption '!E$2,Production_Consumption!$AA$83:$AJ$83,0)))*'CA Population'!$L549*10^6</f>
        <v>3416.2792674945381</v>
      </c>
      <c r="F549" s="143">
        <f>(INDEX(Production_Consumption!$AA$83:$AJ$99,MATCH('County Scaled Consumption '!$B549,Production_Consumption!$AA$83:$AA$99,0),MATCH('County Scaled Consumption '!F$2,Production_Consumption!$AA$83:$AJ$83,0)))*'CA Population'!$L549*10^6</f>
        <v>1379.9473704489299</v>
      </c>
      <c r="G549" s="143">
        <f>(INDEX(Production_Consumption!$AA$83:$AJ$99,MATCH('County Scaled Consumption '!$B549,Production_Consumption!$AA$83:$AA$99,0),MATCH('County Scaled Consumption '!G$2,Production_Consumption!$AA$83:$AJ$83,0)))*'CA Population'!$L549*10^6</f>
        <v>4491.0731536085596</v>
      </c>
      <c r="H549" s="143">
        <f>(INDEX(Production_Consumption!$AA$83:$AJ$99,MATCH('County Scaled Consumption '!$B549,Production_Consumption!$AA$83:$AA$99,0),MATCH('County Scaled Consumption '!H$2,Production_Consumption!$AA$83:$AJ$83,0)))*'CA Population'!$L549*10^6</f>
        <v>119.58931933399444</v>
      </c>
      <c r="I549" s="143">
        <f>(INDEX(Production_Consumption!$AA$83:$AJ$99,MATCH('County Scaled Consumption '!$B549,Production_Consumption!$AA$83:$AA$99,0),MATCH('County Scaled Consumption '!I$2,Production_Consumption!$AA$83:$AJ$83,0)))*'CA Population'!$L549*10^6</f>
        <v>2175.8314352904504</v>
      </c>
      <c r="J549" s="143">
        <f>(INDEX(Production_Consumption!$AA$83:$AJ$99,MATCH('County Scaled Consumption '!$B549,Production_Consumption!$AA$83:$AA$99,0),MATCH('County Scaled Consumption '!J$2,Production_Consumption!$AA$83:$AJ$83,0)))*'CA Population'!$L549*10^6</f>
        <v>1468.7992674219258</v>
      </c>
      <c r="K549" s="143">
        <f>(INDEX(Production_Consumption!$AA$83:$AJ$99,MATCH('County Scaled Consumption '!$B549,Production_Consumption!$AA$83:$AA$99,0),MATCH('County Scaled Consumption '!K$2,Production_Consumption!$AA$83:$AJ$83,0)))*'CA Population'!$L549*10^6</f>
        <v>21185.31198732783</v>
      </c>
      <c r="L549" s="131">
        <f t="shared" si="8"/>
        <v>0</v>
      </c>
    </row>
    <row r="550" spans="1:12" x14ac:dyDescent="0.2">
      <c r="A550" s="132" t="s">
        <v>321</v>
      </c>
      <c r="B550" s="129">
        <v>2011</v>
      </c>
      <c r="C550" s="143">
        <f>(INDEX(Production_Consumption!$AA$83:$AJ$99,MATCH('County Scaled Consumption '!$B550,Production_Consumption!$AA$83:$AA$99,0),MATCH('County Scaled Consumption '!C$2,Production_Consumption!$AA$83:$AJ$83,0)))*'CA Population'!$L550*10^6</f>
        <v>678.76837849121398</v>
      </c>
      <c r="D550" s="143">
        <f>(INDEX(Production_Consumption!$AA$83:$AJ$99,MATCH('County Scaled Consumption '!$B550,Production_Consumption!$AA$83:$AA$99,0),MATCH('County Scaled Consumption '!D$2,Production_Consumption!$AA$83:$AJ$83,0)))*'CA Population'!$L550*10^6</f>
        <v>2842.3392348189341</v>
      </c>
      <c r="E550" s="143">
        <f>(INDEX(Production_Consumption!$AA$83:$AJ$99,MATCH('County Scaled Consumption '!$B550,Production_Consumption!$AA$83:$AA$99,0),MATCH('County Scaled Consumption '!E$2,Production_Consumption!$AA$83:$AJ$83,0)))*'CA Population'!$L550*10^6</f>
        <v>1478.9026669282564</v>
      </c>
      <c r="F550" s="143">
        <f>(INDEX(Production_Consumption!$AA$83:$AJ$99,MATCH('County Scaled Consumption '!$B550,Production_Consumption!$AA$83:$AA$99,0),MATCH('County Scaled Consumption '!F$2,Production_Consumption!$AA$83:$AJ$83,0)))*'CA Population'!$L550*10^6</f>
        <v>597.37734727824602</v>
      </c>
      <c r="G550" s="143">
        <f>(INDEX(Production_Consumption!$AA$83:$AJ$99,MATCH('County Scaled Consumption '!$B550,Production_Consumption!$AA$83:$AA$99,0),MATCH('County Scaled Consumption '!G$2,Production_Consumption!$AA$83:$AJ$83,0)))*'CA Population'!$L550*10^6</f>
        <v>1944.1794842236834</v>
      </c>
      <c r="H550" s="143">
        <f>(INDEX(Production_Consumption!$AA$83:$AJ$99,MATCH('County Scaled Consumption '!$B550,Production_Consumption!$AA$83:$AA$99,0),MATCH('County Scaled Consumption '!H$2,Production_Consumption!$AA$83:$AJ$83,0)))*'CA Population'!$L550*10^6</f>
        <v>51.770054334254453</v>
      </c>
      <c r="I550" s="143">
        <f>(INDEX(Production_Consumption!$AA$83:$AJ$99,MATCH('County Scaled Consumption '!$B550,Production_Consumption!$AA$83:$AA$99,0),MATCH('County Scaled Consumption '!I$2,Production_Consumption!$AA$83:$AJ$83,0)))*'CA Population'!$L550*10^6</f>
        <v>941.91448077876669</v>
      </c>
      <c r="J550" s="143">
        <f>(INDEX(Production_Consumption!$AA$83:$AJ$99,MATCH('County Scaled Consumption '!$B550,Production_Consumption!$AA$83:$AA$99,0),MATCH('County Scaled Consumption '!J$2,Production_Consumption!$AA$83:$AJ$83,0)))*'CA Population'!$L550*10^6</f>
        <v>635.84121311183992</v>
      </c>
      <c r="K550" s="143">
        <f>(INDEX(Production_Consumption!$AA$83:$AJ$99,MATCH('County Scaled Consumption '!$B550,Production_Consumption!$AA$83:$AA$99,0),MATCH('County Scaled Consumption '!K$2,Production_Consumption!$AA$83:$AJ$83,0)))*'CA Population'!$L550*10^6</f>
        <v>9171.0928599651943</v>
      </c>
      <c r="L550" s="131">
        <f t="shared" si="8"/>
        <v>0</v>
      </c>
    </row>
    <row r="551" spans="1:12" x14ac:dyDescent="0.2">
      <c r="A551" s="132" t="s">
        <v>322</v>
      </c>
      <c r="B551" s="129">
        <v>2011</v>
      </c>
      <c r="C551" s="143">
        <f>(INDEX(Production_Consumption!$AA$83:$AJ$99,MATCH('County Scaled Consumption '!$B551,Production_Consumption!$AA$83:$AA$99,0),MATCH('County Scaled Consumption '!C$2,Production_Consumption!$AA$83:$AJ$83,0)))*'CA Population'!$L551*10^6</f>
        <v>356.2703775594058</v>
      </c>
      <c r="D551" s="143">
        <f>(INDEX(Production_Consumption!$AA$83:$AJ$99,MATCH('County Scaled Consumption '!$B551,Production_Consumption!$AA$83:$AA$99,0),MATCH('County Scaled Consumption '!D$2,Production_Consumption!$AA$83:$AJ$83,0)))*'CA Population'!$L551*10^6</f>
        <v>1491.880447630431</v>
      </c>
      <c r="E551" s="143">
        <f>(INDEX(Production_Consumption!$AA$83:$AJ$99,MATCH('County Scaled Consumption '!$B551,Production_Consumption!$AA$83:$AA$99,0),MATCH('County Scaled Consumption '!E$2,Production_Consumption!$AA$83:$AJ$83,0)))*'CA Population'!$L551*10^6</f>
        <v>776.24301339924909</v>
      </c>
      <c r="F551" s="143">
        <f>(INDEX(Production_Consumption!$AA$83:$AJ$99,MATCH('County Scaled Consumption '!$B551,Production_Consumption!$AA$83:$AA$99,0),MATCH('County Scaled Consumption '!F$2,Production_Consumption!$AA$83:$AJ$83,0)))*'CA Population'!$L551*10^6</f>
        <v>313.55004122810919</v>
      </c>
      <c r="G551" s="143">
        <f>(INDEX(Production_Consumption!$AA$83:$AJ$99,MATCH('County Scaled Consumption '!$B551,Production_Consumption!$AA$83:$AA$99,0),MATCH('County Scaled Consumption '!G$2,Production_Consumption!$AA$83:$AJ$83,0)))*'CA Population'!$L551*10^6</f>
        <v>1020.4564337945041</v>
      </c>
      <c r="H551" s="143">
        <f>(INDEX(Production_Consumption!$AA$83:$AJ$99,MATCH('County Scaled Consumption '!$B551,Production_Consumption!$AA$83:$AA$99,0),MATCH('County Scaled Consumption '!H$2,Production_Consumption!$AA$83:$AJ$83,0)))*'CA Population'!$L551*10^6</f>
        <v>27.17294645477438</v>
      </c>
      <c r="I551" s="143">
        <f>(INDEX(Production_Consumption!$AA$83:$AJ$99,MATCH('County Scaled Consumption '!$B551,Production_Consumption!$AA$83:$AA$99,0),MATCH('County Scaled Consumption '!I$2,Production_Consumption!$AA$83:$AJ$83,0)))*'CA Population'!$L551*10^6</f>
        <v>494.38989547752863</v>
      </c>
      <c r="J551" s="143">
        <f>(INDEX(Production_Consumption!$AA$83:$AJ$99,MATCH('County Scaled Consumption '!$B551,Production_Consumption!$AA$83:$AA$99,0),MATCH('County Scaled Consumption '!J$2,Production_Consumption!$AA$83:$AJ$83,0)))*'CA Population'!$L551*10^6</f>
        <v>333.73886621932263</v>
      </c>
      <c r="K551" s="143">
        <f>(INDEX(Production_Consumption!$AA$83:$AJ$99,MATCH('County Scaled Consumption '!$B551,Production_Consumption!$AA$83:$AA$99,0),MATCH('County Scaled Consumption '!K$2,Production_Consumption!$AA$83:$AJ$83,0)))*'CA Population'!$L551*10^6</f>
        <v>4813.7020217633253</v>
      </c>
      <c r="L551" s="131">
        <f t="shared" si="8"/>
        <v>0</v>
      </c>
    </row>
    <row r="552" spans="1:12" x14ac:dyDescent="0.2">
      <c r="A552" s="132" t="s">
        <v>323</v>
      </c>
      <c r="B552" s="129">
        <v>2011</v>
      </c>
      <c r="C552" s="143">
        <f>(INDEX(Production_Consumption!$AA$83:$AJ$99,MATCH('County Scaled Consumption '!$B552,Production_Consumption!$AA$83:$AA$99,0),MATCH('County Scaled Consumption '!C$2,Production_Consumption!$AA$83:$AJ$83,0)))*'CA Population'!$L552*10^6</f>
        <v>103187.14209142097</v>
      </c>
      <c r="D552" s="143">
        <f>(INDEX(Production_Consumption!$AA$83:$AJ$99,MATCH('County Scaled Consumption '!$B552,Production_Consumption!$AA$83:$AA$99,0),MATCH('County Scaled Consumption '!D$2,Production_Consumption!$AA$83:$AJ$83,0)))*'CA Population'!$L552*10^6</f>
        <v>432095.64821982716</v>
      </c>
      <c r="E552" s="143">
        <f>(INDEX(Production_Consumption!$AA$83:$AJ$99,MATCH('County Scaled Consumption '!$B552,Production_Consumption!$AA$83:$AA$99,0),MATCH('County Scaled Consumption '!E$2,Production_Consumption!$AA$83:$AJ$83,0)))*'CA Population'!$L552*10^6</f>
        <v>224824.46806216784</v>
      </c>
      <c r="F552" s="143">
        <f>(INDEX(Production_Consumption!$AA$83:$AJ$99,MATCH('County Scaled Consumption '!$B552,Production_Consumption!$AA$83:$AA$99,0),MATCH('County Scaled Consumption '!F$2,Production_Consumption!$AA$83:$AJ$83,0)))*'CA Population'!$L552*10^6</f>
        <v>90813.984812927461</v>
      </c>
      <c r="G552" s="143">
        <f>(INDEX(Production_Consumption!$AA$83:$AJ$99,MATCH('County Scaled Consumption '!$B552,Production_Consumption!$AA$83:$AA$99,0),MATCH('County Scaled Consumption '!G$2,Production_Consumption!$AA$83:$AJ$83,0)))*'CA Population'!$L552*10^6</f>
        <v>295556.37982981186</v>
      </c>
      <c r="H552" s="143">
        <f>(INDEX(Production_Consumption!$AA$83:$AJ$99,MATCH('County Scaled Consumption '!$B552,Production_Consumption!$AA$83:$AA$99,0),MATCH('County Scaled Consumption '!H$2,Production_Consumption!$AA$83:$AJ$83,0)))*'CA Population'!$L552*10^6</f>
        <v>7870.1426317820815</v>
      </c>
      <c r="I552" s="143">
        <f>(INDEX(Production_Consumption!$AA$83:$AJ$99,MATCH('County Scaled Consumption '!$B552,Production_Consumption!$AA$83:$AA$99,0),MATCH('County Scaled Consumption '!I$2,Production_Consumption!$AA$83:$AJ$83,0)))*'CA Population'!$L552*10^6</f>
        <v>143190.91231405039</v>
      </c>
      <c r="J552" s="143">
        <f>(INDEX(Production_Consumption!$AA$83:$AJ$99,MATCH('County Scaled Consumption '!$B552,Production_Consumption!$AA$83:$AA$99,0),MATCH('County Scaled Consumption '!J$2,Production_Consumption!$AA$83:$AJ$83,0)))*'CA Population'!$L552*10^6</f>
        <v>96661.305511600498</v>
      </c>
      <c r="K552" s="143">
        <f>(INDEX(Production_Consumption!$AA$83:$AJ$99,MATCH('County Scaled Consumption '!$B552,Production_Consumption!$AA$83:$AA$99,0),MATCH('County Scaled Consumption '!K$2,Production_Consumption!$AA$83:$AJ$83,0)))*'CA Population'!$L552*10^6</f>
        <v>1394199.9834735882</v>
      </c>
      <c r="L552" s="131">
        <f t="shared" si="8"/>
        <v>0</v>
      </c>
    </row>
    <row r="553" spans="1:12" x14ac:dyDescent="0.2">
      <c r="A553" s="132" t="s">
        <v>324</v>
      </c>
      <c r="B553" s="129">
        <v>2011</v>
      </c>
      <c r="C553" s="143">
        <f>(INDEX(Production_Consumption!$AA$83:$AJ$99,MATCH('County Scaled Consumption '!$B553,Production_Consumption!$AA$83:$AA$99,0),MATCH('County Scaled Consumption '!C$2,Production_Consumption!$AA$83:$AJ$83,0)))*'CA Population'!$L553*10^6</f>
        <v>1579.5635038838975</v>
      </c>
      <c r="D553" s="143">
        <f>(INDEX(Production_Consumption!$AA$83:$AJ$99,MATCH('County Scaled Consumption '!$B553,Production_Consumption!$AA$83:$AA$99,0),MATCH('County Scaled Consumption '!D$2,Production_Consumption!$AA$83:$AJ$83,0)))*'CA Population'!$L553*10^6</f>
        <v>6614.414376457853</v>
      </c>
      <c r="E553" s="143">
        <f>(INDEX(Production_Consumption!$AA$83:$AJ$99,MATCH('County Scaled Consumption '!$B553,Production_Consumption!$AA$83:$AA$99,0),MATCH('County Scaled Consumption '!E$2,Production_Consumption!$AA$83:$AJ$83,0)))*'CA Population'!$L553*10^6</f>
        <v>3441.5579047288729</v>
      </c>
      <c r="F553" s="143">
        <f>(INDEX(Production_Consumption!$AA$83:$AJ$99,MATCH('County Scaled Consumption '!$B553,Production_Consumption!$AA$83:$AA$99,0),MATCH('County Scaled Consumption '!F$2,Production_Consumption!$AA$83:$AJ$83,0)))*'CA Population'!$L553*10^6</f>
        <v>1390.158242057689</v>
      </c>
      <c r="G553" s="143">
        <f>(INDEX(Production_Consumption!$AA$83:$AJ$99,MATCH('County Scaled Consumption '!$B553,Production_Consumption!$AA$83:$AA$99,0),MATCH('County Scaled Consumption '!G$2,Production_Consumption!$AA$83:$AJ$83,0)))*'CA Population'!$L553*10^6</f>
        <v>4524.3046900707968</v>
      </c>
      <c r="H553" s="143">
        <f>(INDEX(Production_Consumption!$AA$83:$AJ$99,MATCH('County Scaled Consumption '!$B553,Production_Consumption!$AA$83:$AA$99,0),MATCH('County Scaled Consumption '!H$2,Production_Consumption!$AA$83:$AJ$83,0)))*'CA Population'!$L553*10^6</f>
        <v>120.47421625952069</v>
      </c>
      <c r="I553" s="143">
        <f>(INDEX(Production_Consumption!$AA$83:$AJ$99,MATCH('County Scaled Consumption '!$B553,Production_Consumption!$AA$83:$AA$99,0),MATCH('County Scaled Consumption '!I$2,Production_Consumption!$AA$83:$AJ$83,0)))*'CA Population'!$L553*10^6</f>
        <v>2191.9314227999921</v>
      </c>
      <c r="J553" s="143">
        <f>(INDEX(Production_Consumption!$AA$83:$AJ$99,MATCH('County Scaled Consumption '!$B553,Production_Consumption!$AA$83:$AA$99,0),MATCH('County Scaled Consumption '!J$2,Production_Consumption!$AA$83:$AJ$83,0)))*'CA Population'!$L553*10^6</f>
        <v>1479.6675954899779</v>
      </c>
      <c r="K553" s="143">
        <f>(INDEX(Production_Consumption!$AA$83:$AJ$99,MATCH('County Scaled Consumption '!$B553,Production_Consumption!$AA$83:$AA$99,0),MATCH('County Scaled Consumption '!K$2,Production_Consumption!$AA$83:$AJ$83,0)))*'CA Population'!$L553*10^6</f>
        <v>21342.0719517486</v>
      </c>
      <c r="L553" s="131">
        <f t="shared" si="8"/>
        <v>0</v>
      </c>
    </row>
    <row r="554" spans="1:12" x14ac:dyDescent="0.2">
      <c r="A554" s="132" t="s">
        <v>325</v>
      </c>
      <c r="B554" s="129">
        <v>2011</v>
      </c>
      <c r="C554" s="143">
        <f>(INDEX(Production_Consumption!$AA$83:$AJ$99,MATCH('County Scaled Consumption '!$B554,Production_Consumption!$AA$83:$AA$99,0),MATCH('County Scaled Consumption '!C$2,Production_Consumption!$AA$83:$AJ$83,0)))*'CA Population'!$L554*10^6</f>
        <v>2653.2201476181458</v>
      </c>
      <c r="D554" s="143">
        <f>(INDEX(Production_Consumption!$AA$83:$AJ$99,MATCH('County Scaled Consumption '!$B554,Production_Consumption!$AA$83:$AA$99,0),MATCH('County Scaled Consumption '!D$2,Production_Consumption!$AA$83:$AJ$83,0)))*'CA Population'!$L554*10^6</f>
        <v>11110.346272980889</v>
      </c>
      <c r="E554" s="143">
        <f>(INDEX(Production_Consumption!$AA$83:$AJ$99,MATCH('County Scaled Consumption '!$B554,Production_Consumption!$AA$83:$AA$99,0),MATCH('County Scaled Consumption '!E$2,Production_Consumption!$AA$83:$AJ$83,0)))*'CA Population'!$L554*10^6</f>
        <v>5780.8443595771432</v>
      </c>
      <c r="F554" s="143">
        <f>(INDEX(Production_Consumption!$AA$83:$AJ$99,MATCH('County Scaled Consumption '!$B554,Production_Consumption!$AA$83:$AA$99,0),MATCH('County Scaled Consumption '!F$2,Production_Consumption!$AA$83:$AJ$83,0)))*'CA Population'!$L554*10^6</f>
        <v>2335.0728521744777</v>
      </c>
      <c r="G554" s="143">
        <f>(INDEX(Production_Consumption!$AA$83:$AJ$99,MATCH('County Scaled Consumption '!$B554,Production_Consumption!$AA$83:$AA$99,0),MATCH('County Scaled Consumption '!G$2,Production_Consumption!$AA$83:$AJ$83,0)))*'CA Population'!$L554*10^6</f>
        <v>7599.5528689686907</v>
      </c>
      <c r="H554" s="143">
        <f>(INDEX(Production_Consumption!$AA$83:$AJ$99,MATCH('County Scaled Consumption '!$B554,Production_Consumption!$AA$83:$AA$99,0),MATCH('County Scaled Consumption '!H$2,Production_Consumption!$AA$83:$AJ$83,0)))*'CA Population'!$L554*10^6</f>
        <v>202.3626255369349</v>
      </c>
      <c r="I554" s="143">
        <f>(INDEX(Production_Consumption!$AA$83:$AJ$99,MATCH('County Scaled Consumption '!$B554,Production_Consumption!$AA$83:$AA$99,0),MATCH('County Scaled Consumption '!I$2,Production_Consumption!$AA$83:$AJ$83,0)))*'CA Population'!$L554*10^6</f>
        <v>3681.8251364192815</v>
      </c>
      <c r="J554" s="143">
        <f>(INDEX(Production_Consumption!$AA$83:$AJ$99,MATCH('County Scaled Consumption '!$B554,Production_Consumption!$AA$83:$AA$99,0),MATCH('County Scaled Consumption '!J$2,Production_Consumption!$AA$83:$AJ$83,0)))*'CA Population'!$L554*10^6</f>
        <v>2485.4232618559349</v>
      </c>
      <c r="K554" s="143">
        <f>(INDEX(Production_Consumption!$AA$83:$AJ$99,MATCH('County Scaled Consumption '!$B554,Production_Consumption!$AA$83:$AA$99,0),MATCH('County Scaled Consumption '!K$2,Production_Consumption!$AA$83:$AJ$83,0)))*'CA Population'!$L554*10^6</f>
        <v>35848.647525131499</v>
      </c>
      <c r="L554" s="131">
        <f t="shared" si="8"/>
        <v>0</v>
      </c>
    </row>
    <row r="555" spans="1:12" x14ac:dyDescent="0.2">
      <c r="A555" s="132" t="s">
        <v>326</v>
      </c>
      <c r="B555" s="129">
        <v>2011</v>
      </c>
      <c r="C555" s="143">
        <f>(INDEX(Production_Consumption!$AA$83:$AJ$99,MATCH('County Scaled Consumption '!$B555,Production_Consumption!$AA$83:$AA$99,0),MATCH('County Scaled Consumption '!C$2,Production_Consumption!$AA$83:$AJ$83,0)))*'CA Population'!$L555*10^6</f>
        <v>190.5935825078179</v>
      </c>
      <c r="D555" s="143">
        <f>(INDEX(Production_Consumption!$AA$83:$AJ$99,MATCH('County Scaled Consumption '!$B555,Production_Consumption!$AA$83:$AA$99,0),MATCH('County Scaled Consumption '!D$2,Production_Consumption!$AA$83:$AJ$83,0)))*'CA Population'!$L555*10^6</f>
        <v>798.1096860623461</v>
      </c>
      <c r="E555" s="143">
        <f>(INDEX(Production_Consumption!$AA$83:$AJ$99,MATCH('County Scaled Consumption '!$B555,Production_Consumption!$AA$83:$AA$99,0),MATCH('County Scaled Consumption '!E$2,Production_Consumption!$AA$83:$AJ$83,0)))*'CA Population'!$L555*10^6</f>
        <v>415.26589393685356</v>
      </c>
      <c r="F555" s="143">
        <f>(INDEX(Production_Consumption!$AA$83:$AJ$99,MATCH('County Scaled Consumption '!$B555,Production_Consumption!$AA$83:$AA$99,0),MATCH('County Scaled Consumption '!F$2,Production_Consumption!$AA$83:$AJ$83,0)))*'CA Population'!$L555*10^6</f>
        <v>167.73952991130912</v>
      </c>
      <c r="G555" s="143">
        <f>(INDEX(Production_Consumption!$AA$83:$AJ$99,MATCH('County Scaled Consumption '!$B555,Production_Consumption!$AA$83:$AA$99,0),MATCH('County Scaled Consumption '!G$2,Production_Consumption!$AA$83:$AJ$83,0)))*'CA Population'!$L555*10^6</f>
        <v>545.9124860236692</v>
      </c>
      <c r="H555" s="143">
        <f>(INDEX(Production_Consumption!$AA$83:$AJ$99,MATCH('County Scaled Consumption '!$B555,Production_Consumption!$AA$83:$AA$99,0),MATCH('County Scaled Consumption '!H$2,Production_Consumption!$AA$83:$AJ$83,0)))*'CA Population'!$L555*10^6</f>
        <v>14.536682077209733</v>
      </c>
      <c r="I555" s="143">
        <f>(INDEX(Production_Consumption!$AA$83:$AJ$99,MATCH('County Scaled Consumption '!$B555,Production_Consumption!$AA$83:$AA$99,0),MATCH('County Scaled Consumption '!I$2,Production_Consumption!$AA$83:$AJ$83,0)))*'CA Population'!$L555*10^6</f>
        <v>264.48323315630131</v>
      </c>
      <c r="J555" s="143">
        <f>(INDEX(Production_Consumption!$AA$83:$AJ$99,MATCH('County Scaled Consumption '!$B555,Production_Consumption!$AA$83:$AA$99,0),MATCH('County Scaled Consumption '!J$2,Production_Consumption!$AA$83:$AJ$83,0)))*'CA Population'!$L555*10^6</f>
        <v>178.53992400541853</v>
      </c>
      <c r="K555" s="143">
        <f>(INDEX(Production_Consumption!$AA$83:$AJ$99,MATCH('County Scaled Consumption '!$B555,Production_Consumption!$AA$83:$AA$99,0),MATCH('County Scaled Consumption '!K$2,Production_Consumption!$AA$83:$AJ$83,0)))*'CA Population'!$L555*10^6</f>
        <v>2575.1810176809254</v>
      </c>
      <c r="L555" s="131">
        <f t="shared" si="8"/>
        <v>0</v>
      </c>
    </row>
    <row r="556" spans="1:12" x14ac:dyDescent="0.2">
      <c r="A556" s="132" t="s">
        <v>327</v>
      </c>
      <c r="B556" s="129">
        <v>2011</v>
      </c>
      <c r="C556" s="143">
        <f>(INDEX(Production_Consumption!$AA$83:$AJ$99,MATCH('County Scaled Consumption '!$B556,Production_Consumption!$AA$83:$AA$99,0),MATCH('County Scaled Consumption '!C$2,Production_Consumption!$AA$83:$AJ$83,0)))*'CA Population'!$L556*10^6</f>
        <v>913.57724938531771</v>
      </c>
      <c r="D556" s="143">
        <f>(INDEX(Production_Consumption!$AA$83:$AJ$99,MATCH('County Scaled Consumption '!$B556,Production_Consumption!$AA$83:$AA$99,0),MATCH('County Scaled Consumption '!D$2,Production_Consumption!$AA$83:$AJ$83,0)))*'CA Population'!$L556*10^6</f>
        <v>3825.6002227709287</v>
      </c>
      <c r="E556" s="143">
        <f>(INDEX(Production_Consumption!$AA$83:$AJ$99,MATCH('County Scaled Consumption '!$B556,Production_Consumption!$AA$83:$AA$99,0),MATCH('County Scaled Consumption '!E$2,Production_Consumption!$AA$83:$AJ$83,0)))*'CA Population'!$L556*10^6</f>
        <v>1990.5049695511348</v>
      </c>
      <c r="F556" s="143">
        <f>(INDEX(Production_Consumption!$AA$83:$AJ$99,MATCH('County Scaled Consumption '!$B556,Production_Consumption!$AA$83:$AA$99,0),MATCH('County Scaled Consumption '!F$2,Production_Consumption!$AA$83:$AJ$83,0)))*'CA Population'!$L556*10^6</f>
        <v>804.03031588576266</v>
      </c>
      <c r="G556" s="143">
        <f>(INDEX(Production_Consumption!$AA$83:$AJ$99,MATCH('County Scaled Consumption '!$B556,Production_Consumption!$AA$83:$AA$99,0),MATCH('County Scaled Consumption '!G$2,Production_Consumption!$AA$83:$AJ$83,0)))*'CA Population'!$L556*10^6</f>
        <v>2616.7367275660863</v>
      </c>
      <c r="H556" s="143">
        <f>(INDEX(Production_Consumption!$AA$83:$AJ$99,MATCH('County Scaled Consumption '!$B556,Production_Consumption!$AA$83:$AA$99,0),MATCH('County Scaled Consumption '!H$2,Production_Consumption!$AA$83:$AJ$83,0)))*'CA Population'!$L556*10^6</f>
        <v>69.679061868420305</v>
      </c>
      <c r="I556" s="143">
        <f>(INDEX(Production_Consumption!$AA$83:$AJ$99,MATCH('County Scaled Consumption '!$B556,Production_Consumption!$AA$83:$AA$99,0),MATCH('County Scaled Consumption '!I$2,Production_Consumption!$AA$83:$AJ$83,0)))*'CA Population'!$L556*10^6</f>
        <v>1267.7544620137367</v>
      </c>
      <c r="J556" s="143">
        <f>(INDEX(Production_Consumption!$AA$83:$AJ$99,MATCH('County Scaled Consumption '!$B556,Production_Consumption!$AA$83:$AA$99,0),MATCH('County Scaled Consumption '!J$2,Production_Consumption!$AA$83:$AJ$83,0)))*'CA Population'!$L556*10^6</f>
        <v>855.80012995266156</v>
      </c>
      <c r="K556" s="143">
        <f>(INDEX(Production_Consumption!$AA$83:$AJ$99,MATCH('County Scaled Consumption '!$B556,Production_Consumption!$AA$83:$AA$99,0),MATCH('County Scaled Consumption '!K$2,Production_Consumption!$AA$83:$AJ$83,0)))*'CA Population'!$L556*10^6</f>
        <v>12343.683138994049</v>
      </c>
      <c r="L556" s="131">
        <f t="shared" si="8"/>
        <v>0</v>
      </c>
    </row>
    <row r="557" spans="1:12" x14ac:dyDescent="0.2">
      <c r="A557" s="132" t="s">
        <v>328</v>
      </c>
      <c r="B557" s="129">
        <v>2011</v>
      </c>
      <c r="C557" s="143">
        <f>(INDEX(Production_Consumption!$AA$83:$AJ$99,MATCH('County Scaled Consumption '!$B557,Production_Consumption!$AA$83:$AA$99,0),MATCH('County Scaled Consumption '!C$2,Production_Consumption!$AA$83:$AJ$83,0)))*'CA Population'!$L557*10^6</f>
        <v>2709.0897255271275</v>
      </c>
      <c r="D557" s="143">
        <f>(INDEX(Production_Consumption!$AA$83:$AJ$99,MATCH('County Scaled Consumption '!$B557,Production_Consumption!$AA$83:$AA$99,0),MATCH('County Scaled Consumption '!D$2,Production_Consumption!$AA$83:$AJ$83,0)))*'CA Population'!$L557*10^6</f>
        <v>11344.29985472619</v>
      </c>
      <c r="E557" s="143">
        <f>(INDEX(Production_Consumption!$AA$83:$AJ$99,MATCH('County Scaled Consumption '!$B557,Production_Consumption!$AA$83:$AA$99,0),MATCH('County Scaled Consumption '!E$2,Production_Consumption!$AA$83:$AJ$83,0)))*'CA Population'!$L557*10^6</f>
        <v>5902.5731707415816</v>
      </c>
      <c r="F557" s="143">
        <f>(INDEX(Production_Consumption!$AA$83:$AJ$99,MATCH('County Scaled Consumption '!$B557,Production_Consumption!$AA$83:$AA$99,0),MATCH('County Scaled Consumption '!F$2,Production_Consumption!$AA$83:$AJ$83,0)))*'CA Population'!$L557*10^6</f>
        <v>2384.2431159970356</v>
      </c>
      <c r="G557" s="143">
        <f>(INDEX(Production_Consumption!$AA$83:$AJ$99,MATCH('County Scaled Consumption '!$B557,Production_Consumption!$AA$83:$AA$99,0),MATCH('County Scaled Consumption '!G$2,Production_Consumption!$AA$83:$AJ$83,0)))*'CA Population'!$L557*10^6</f>
        <v>7759.5787196194296</v>
      </c>
      <c r="H557" s="143">
        <f>(INDEX(Production_Consumption!$AA$83:$AJ$99,MATCH('County Scaled Consumption '!$B557,Production_Consumption!$AA$83:$AA$99,0),MATCH('County Scaled Consumption '!H$2,Production_Consumption!$AA$83:$AJ$83,0)))*'CA Population'!$L557*10^6</f>
        <v>206.62383035382558</v>
      </c>
      <c r="I557" s="143">
        <f>(INDEX(Production_Consumption!$AA$83:$AJ$99,MATCH('County Scaled Consumption '!$B557,Production_Consumption!$AA$83:$AA$99,0),MATCH('County Scaled Consumption '!I$2,Production_Consumption!$AA$83:$AJ$83,0)))*'CA Population'!$L557*10^6</f>
        <v>3759.3543291970036</v>
      </c>
      <c r="J557" s="143">
        <f>(INDEX(Production_Consumption!$AA$83:$AJ$99,MATCH('County Scaled Consumption '!$B557,Production_Consumption!$AA$83:$AA$99,0),MATCH('County Scaled Consumption '!J$2,Production_Consumption!$AA$83:$AJ$83,0)))*'CA Population'!$L557*10^6</f>
        <v>2537.7594951269334</v>
      </c>
      <c r="K557" s="143">
        <f>(INDEX(Production_Consumption!$AA$83:$AJ$99,MATCH('County Scaled Consumption '!$B557,Production_Consumption!$AA$83:$AA$99,0),MATCH('County Scaled Consumption '!K$2,Production_Consumption!$AA$83:$AJ$83,0)))*'CA Population'!$L557*10^6</f>
        <v>36603.522241289123</v>
      </c>
      <c r="L557" s="131">
        <f t="shared" si="8"/>
        <v>0</v>
      </c>
    </row>
    <row r="558" spans="1:12" x14ac:dyDescent="0.2">
      <c r="A558" s="132" t="s">
        <v>329</v>
      </c>
      <c r="B558" s="129">
        <v>2011</v>
      </c>
      <c r="C558" s="143">
        <f>(INDEX(Production_Consumption!$AA$83:$AJ$99,MATCH('County Scaled Consumption '!$B558,Production_Consumption!$AA$83:$AA$99,0),MATCH('County Scaled Consumption '!C$2,Production_Consumption!$AA$83:$AJ$83,0)))*'CA Population'!$L558*10^6</f>
        <v>101.4842164709317</v>
      </c>
      <c r="D558" s="143">
        <f>(INDEX(Production_Consumption!$AA$83:$AJ$99,MATCH('County Scaled Consumption '!$B558,Production_Consumption!$AA$83:$AA$99,0),MATCH('County Scaled Consumption '!D$2,Production_Consumption!$AA$83:$AJ$83,0)))*'CA Population'!$L558*10^6</f>
        <v>424.96465558894738</v>
      </c>
      <c r="E558" s="143">
        <f>(INDEX(Production_Consumption!$AA$83:$AJ$99,MATCH('County Scaled Consumption '!$B558,Production_Consumption!$AA$83:$AA$99,0),MATCH('County Scaled Consumption '!E$2,Production_Consumption!$AA$83:$AJ$83,0)))*'CA Population'!$L558*10^6</f>
        <v>221.11412839177814</v>
      </c>
      <c r="F558" s="143">
        <f>(INDEX(Production_Consumption!$AA$83:$AJ$99,MATCH('County Scaled Consumption '!$B558,Production_Consumption!$AA$83:$AA$99,0),MATCH('County Scaled Consumption '!F$2,Production_Consumption!$AA$83:$AJ$83,0)))*'CA Population'!$L558*10^6</f>
        <v>89.315256790208863</v>
      </c>
      <c r="G558" s="143">
        <f>(INDEX(Production_Consumption!$AA$83:$AJ$99,MATCH('County Scaled Consumption '!$B558,Production_Consumption!$AA$83:$AA$99,0),MATCH('County Scaled Consumption '!G$2,Production_Consumption!$AA$83:$AJ$83,0)))*'CA Population'!$L558*10^6</f>
        <v>290.67873207922946</v>
      </c>
      <c r="H558" s="143">
        <f>(INDEX(Production_Consumption!$AA$83:$AJ$99,MATCH('County Scaled Consumption '!$B558,Production_Consumption!$AA$83:$AA$99,0),MATCH('County Scaled Consumption '!H$2,Production_Consumption!$AA$83:$AJ$83,0)))*'CA Population'!$L558*10^6</f>
        <v>7.7402595159894902</v>
      </c>
      <c r="I558" s="143">
        <f>(INDEX(Production_Consumption!$AA$83:$AJ$99,MATCH('County Scaled Consumption '!$B558,Production_Consumption!$AA$83:$AA$99,0),MATCH('County Scaled Consumption '!I$2,Production_Consumption!$AA$83:$AJ$83,0)))*'CA Population'!$L558*10^6</f>
        <v>140.82779353530961</v>
      </c>
      <c r="J558" s="143">
        <f>(INDEX(Production_Consumption!$AA$83:$AJ$99,MATCH('County Scaled Consumption '!$B558,Production_Consumption!$AA$83:$AA$99,0),MATCH('County Scaled Consumption '!J$2,Production_Consumption!$AA$83:$AJ$83,0)))*'CA Population'!$L558*10^6</f>
        <v>95.066077556553452</v>
      </c>
      <c r="K558" s="143">
        <f>(INDEX(Production_Consumption!$AA$83:$AJ$99,MATCH('County Scaled Consumption '!$B558,Production_Consumption!$AA$83:$AA$99,0),MATCH('County Scaled Consumption '!K$2,Production_Consumption!$AA$83:$AJ$83,0)))*'CA Population'!$L558*10^6</f>
        <v>1371.1911199289482</v>
      </c>
      <c r="L558" s="131">
        <f t="shared" si="8"/>
        <v>0</v>
      </c>
    </row>
    <row r="559" spans="1:12" x14ac:dyDescent="0.2">
      <c r="A559" s="132" t="s">
        <v>330</v>
      </c>
      <c r="B559" s="129">
        <v>2011</v>
      </c>
      <c r="C559" s="143">
        <f>(INDEX(Production_Consumption!$AA$83:$AJ$99,MATCH('County Scaled Consumption '!$B559,Production_Consumption!$AA$83:$AA$99,0),MATCH('County Scaled Consumption '!C$2,Production_Consumption!$AA$83:$AJ$83,0)))*'CA Population'!$L559*10^6</f>
        <v>149.65736841376025</v>
      </c>
      <c r="D559" s="143">
        <f>(INDEX(Production_Consumption!$AA$83:$AJ$99,MATCH('County Scaled Consumption '!$B559,Production_Consumption!$AA$83:$AA$99,0),MATCH('County Scaled Consumption '!D$2,Production_Consumption!$AA$83:$AJ$83,0)))*'CA Population'!$L559*10^6</f>
        <v>626.68949158728185</v>
      </c>
      <c r="E559" s="143">
        <f>(INDEX(Production_Consumption!$AA$83:$AJ$99,MATCH('County Scaled Consumption '!$B559,Production_Consumption!$AA$83:$AA$99,0),MATCH('County Scaled Consumption '!E$2,Production_Consumption!$AA$83:$AJ$83,0)))*'CA Population'!$L559*10^6</f>
        <v>326.07394257898466</v>
      </c>
      <c r="F559" s="143">
        <f>(INDEX(Production_Consumption!$AA$83:$AJ$99,MATCH('County Scaled Consumption '!$B559,Production_Consumption!$AA$83:$AA$99,0),MATCH('County Scaled Consumption '!F$2,Production_Consumption!$AA$83:$AJ$83,0)))*'CA Population'!$L559*10^6</f>
        <v>131.71197211982746</v>
      </c>
      <c r="G559" s="143">
        <f>(INDEX(Production_Consumption!$AA$83:$AJ$99,MATCH('County Scaled Consumption '!$B559,Production_Consumption!$AA$83:$AA$99,0),MATCH('County Scaled Consumption '!G$2,Production_Consumption!$AA$83:$AJ$83,0)))*'CA Population'!$L559*10^6</f>
        <v>428.65990012630562</v>
      </c>
      <c r="H559" s="143">
        <f>(INDEX(Production_Consumption!$AA$83:$AJ$99,MATCH('County Scaled Consumption '!$B559,Production_Consumption!$AA$83:$AA$99,0),MATCH('County Scaled Consumption '!H$2,Production_Consumption!$AA$83:$AJ$83,0)))*'CA Population'!$L559*10^6</f>
        <v>11.414453501095428</v>
      </c>
      <c r="I559" s="143">
        <f>(INDEX(Production_Consumption!$AA$83:$AJ$99,MATCH('County Scaled Consumption '!$B559,Production_Consumption!$AA$83:$AA$99,0),MATCH('County Scaled Consumption '!I$2,Production_Consumption!$AA$83:$AJ$83,0)))*'CA Population'!$L559*10^6</f>
        <v>207.67679657897946</v>
      </c>
      <c r="J559" s="143">
        <f>(INDEX(Production_Consumption!$AA$83:$AJ$99,MATCH('County Scaled Consumption '!$B559,Production_Consumption!$AA$83:$AA$99,0),MATCH('County Scaled Consumption '!J$2,Production_Consumption!$AA$83:$AJ$83,0)))*'CA Population'!$L559*10^6</f>
        <v>140.19262785171512</v>
      </c>
      <c r="K559" s="143">
        <f>(INDEX(Production_Consumption!$AA$83:$AJ$99,MATCH('County Scaled Consumption '!$B559,Production_Consumption!$AA$83:$AA$99,0),MATCH('County Scaled Consumption '!K$2,Production_Consumption!$AA$83:$AJ$83,0)))*'CA Population'!$L559*10^6</f>
        <v>2022.0765527579499</v>
      </c>
      <c r="L559" s="131">
        <f t="shared" si="8"/>
        <v>0</v>
      </c>
    </row>
    <row r="560" spans="1:12" x14ac:dyDescent="0.2">
      <c r="A560" s="132" t="s">
        <v>331</v>
      </c>
      <c r="B560" s="129">
        <v>2011</v>
      </c>
      <c r="C560" s="143">
        <f>(INDEX(Production_Consumption!$AA$83:$AJ$99,MATCH('County Scaled Consumption '!$B560,Production_Consumption!$AA$83:$AA$99,0),MATCH('County Scaled Consumption '!C$2,Production_Consumption!$AA$83:$AJ$83,0)))*'CA Population'!$L560*10^6</f>
        <v>4350.976526786877</v>
      </c>
      <c r="D560" s="143">
        <f>(INDEX(Production_Consumption!$AA$83:$AJ$99,MATCH('County Scaled Consumption '!$B560,Production_Consumption!$AA$83:$AA$99,0),MATCH('County Scaled Consumption '!D$2,Production_Consumption!$AA$83:$AJ$83,0)))*'CA Population'!$L560*10^6</f>
        <v>18219.692731344043</v>
      </c>
      <c r="E560" s="143">
        <f>(INDEX(Production_Consumption!$AA$83:$AJ$99,MATCH('County Scaled Consumption '!$B560,Production_Consumption!$AA$83:$AA$99,0),MATCH('County Scaled Consumption '!E$2,Production_Consumption!$AA$83:$AJ$83,0)))*'CA Population'!$L560*10^6</f>
        <v>9479.9212708030464</v>
      </c>
      <c r="F560" s="143">
        <f>(INDEX(Production_Consumption!$AA$83:$AJ$99,MATCH('County Scaled Consumption '!$B560,Production_Consumption!$AA$83:$AA$99,0),MATCH('County Scaled Consumption '!F$2,Production_Consumption!$AA$83:$AJ$83,0)))*'CA Population'!$L560*10^6</f>
        <v>3829.2514766515519</v>
      </c>
      <c r="G560" s="143">
        <f>(INDEX(Production_Consumption!$AA$83:$AJ$99,MATCH('County Scaled Consumption '!$B560,Production_Consumption!$AA$83:$AA$99,0),MATCH('County Scaled Consumption '!G$2,Production_Consumption!$AA$83:$AJ$83,0)))*'CA Population'!$L560*10^6</f>
        <v>12462.394489444174</v>
      </c>
      <c r="H560" s="143">
        <f>(INDEX(Production_Consumption!$AA$83:$AJ$99,MATCH('County Scaled Consumption '!$B560,Production_Consumption!$AA$83:$AA$99,0),MATCH('County Scaled Consumption '!H$2,Production_Consumption!$AA$83:$AJ$83,0)))*'CA Population'!$L560*10^6</f>
        <v>331.851480323104</v>
      </c>
      <c r="I560" s="143">
        <f>(INDEX(Production_Consumption!$AA$83:$AJ$99,MATCH('County Scaled Consumption '!$B560,Production_Consumption!$AA$83:$AA$99,0),MATCH('County Scaled Consumption '!I$2,Production_Consumption!$AA$83:$AJ$83,0)))*'CA Population'!$L560*10^6</f>
        <v>6037.7706533983892</v>
      </c>
      <c r="J560" s="143">
        <f>(INDEX(Production_Consumption!$AA$83:$AJ$99,MATCH('County Scaled Consumption '!$B560,Production_Consumption!$AA$83:$AA$99,0),MATCH('County Scaled Consumption '!J$2,Production_Consumption!$AA$83:$AJ$83,0)))*'CA Population'!$L560*10^6</f>
        <v>4075.8088925162233</v>
      </c>
      <c r="K560" s="143">
        <f>(INDEX(Production_Consumption!$AA$83:$AJ$99,MATCH('County Scaled Consumption '!$B560,Production_Consumption!$AA$83:$AA$99,0),MATCH('County Scaled Consumption '!K$2,Production_Consumption!$AA$83:$AJ$83,0)))*'CA Population'!$L560*10^6</f>
        <v>58787.667521267416</v>
      </c>
      <c r="L560" s="131">
        <f t="shared" si="8"/>
        <v>0</v>
      </c>
    </row>
    <row r="561" spans="1:12" x14ac:dyDescent="0.2">
      <c r="A561" s="132" t="s">
        <v>332</v>
      </c>
      <c r="B561" s="129">
        <v>2011</v>
      </c>
      <c r="C561" s="143">
        <f>(INDEX(Production_Consumption!$AA$83:$AJ$99,MATCH('County Scaled Consumption '!$B561,Production_Consumption!$AA$83:$AA$99,0),MATCH('County Scaled Consumption '!C$2,Production_Consumption!$AA$83:$AJ$83,0)))*'CA Population'!$L561*10^6</f>
        <v>1429.5615193821004</v>
      </c>
      <c r="D561" s="143">
        <f>(INDEX(Production_Consumption!$AA$83:$AJ$99,MATCH('County Scaled Consumption '!$B561,Production_Consumption!$AA$83:$AA$99,0),MATCH('County Scaled Consumption '!D$2,Production_Consumption!$AA$83:$AJ$83,0)))*'CA Population'!$L561*10^6</f>
        <v>5986.2818067027965</v>
      </c>
      <c r="E561" s="143">
        <f>(INDEX(Production_Consumption!$AA$83:$AJ$99,MATCH('County Scaled Consumption '!$B561,Production_Consumption!$AA$83:$AA$99,0),MATCH('County Scaled Consumption '!E$2,Production_Consumption!$AA$83:$AJ$83,0)))*'CA Population'!$L561*10^6</f>
        <v>3114.7331115389675</v>
      </c>
      <c r="F561" s="143">
        <f>(INDEX(Production_Consumption!$AA$83:$AJ$99,MATCH('County Scaled Consumption '!$B561,Production_Consumption!$AA$83:$AA$99,0),MATCH('County Scaled Consumption '!F$2,Production_Consumption!$AA$83:$AJ$83,0)))*'CA Population'!$L561*10^6</f>
        <v>1258.1429767217599</v>
      </c>
      <c r="G561" s="143">
        <f>(INDEX(Production_Consumption!$AA$83:$AJ$99,MATCH('County Scaled Consumption '!$B561,Production_Consumption!$AA$83:$AA$99,0),MATCH('County Scaled Consumption '!G$2,Production_Consumption!$AA$83:$AJ$83,0)))*'CA Population'!$L561*10^6</f>
        <v>4094.6577146040295</v>
      </c>
      <c r="H561" s="143">
        <f>(INDEX(Production_Consumption!$AA$83:$AJ$99,MATCH('County Scaled Consumption '!$B561,Production_Consumption!$AA$83:$AA$99,0),MATCH('County Scaled Consumption '!H$2,Production_Consumption!$AA$83:$AJ$83,0)))*'CA Population'!$L561*10^6</f>
        <v>109.03347869133044</v>
      </c>
      <c r="I561" s="143">
        <f>(INDEX(Production_Consumption!$AA$83:$AJ$99,MATCH('County Scaled Consumption '!$B561,Production_Consumption!$AA$83:$AA$99,0),MATCH('County Scaled Consumption '!I$2,Production_Consumption!$AA$83:$AJ$83,0)))*'CA Population'!$L561*10^6</f>
        <v>1983.7764087702346</v>
      </c>
      <c r="J561" s="143">
        <f>(INDEX(Production_Consumption!$AA$83:$AJ$99,MATCH('County Scaled Consumption '!$B561,Production_Consumption!$AA$83:$AA$99,0),MATCH('County Scaled Consumption '!J$2,Production_Consumption!$AA$83:$AJ$83,0)))*'CA Population'!$L561*10^6</f>
        <v>1339.1521460124791</v>
      </c>
      <c r="K561" s="143">
        <f>(INDEX(Production_Consumption!$AA$83:$AJ$99,MATCH('County Scaled Consumption '!$B561,Production_Consumption!$AA$83:$AA$99,0),MATCH('County Scaled Consumption '!K$2,Production_Consumption!$AA$83:$AJ$83,0)))*'CA Population'!$L561*10^6</f>
        <v>19315.339162423701</v>
      </c>
      <c r="L561" s="131">
        <f t="shared" si="8"/>
        <v>0</v>
      </c>
    </row>
    <row r="562" spans="1:12" x14ac:dyDescent="0.2">
      <c r="A562" s="132" t="s">
        <v>333</v>
      </c>
      <c r="B562" s="129">
        <v>2011</v>
      </c>
      <c r="C562" s="143">
        <f>(INDEX(Production_Consumption!$AA$83:$AJ$99,MATCH('County Scaled Consumption '!$B562,Production_Consumption!$AA$83:$AA$99,0),MATCH('County Scaled Consumption '!C$2,Production_Consumption!$AA$83:$AJ$83,0)))*'CA Population'!$L562*10^6</f>
        <v>1030.6005185531774</v>
      </c>
      <c r="D562" s="143">
        <f>(INDEX(Production_Consumption!$AA$83:$AJ$99,MATCH('County Scaled Consumption '!$B562,Production_Consumption!$AA$83:$AA$99,0),MATCH('County Scaled Consumption '!D$2,Production_Consumption!$AA$83:$AJ$83,0)))*'CA Population'!$L562*10^6</f>
        <v>4315.6345848340843</v>
      </c>
      <c r="E562" s="143">
        <f>(INDEX(Production_Consumption!$AA$83:$AJ$99,MATCH('County Scaled Consumption '!$B562,Production_Consumption!$AA$83:$AA$99,0),MATCH('County Scaled Consumption '!E$2,Production_Consumption!$AA$83:$AJ$83,0)))*'CA Population'!$L562*10^6</f>
        <v>2245.4756345807978</v>
      </c>
      <c r="F562" s="143">
        <f>(INDEX(Production_Consumption!$AA$83:$AJ$99,MATCH('County Scaled Consumption '!$B562,Production_Consumption!$AA$83:$AA$99,0),MATCH('County Scaled Consumption '!F$2,Production_Consumption!$AA$83:$AJ$83,0)))*'CA Population'!$L562*10^6</f>
        <v>907.02133951110545</v>
      </c>
      <c r="G562" s="143">
        <f>(INDEX(Production_Consumption!$AA$83:$AJ$99,MATCH('County Scaled Consumption '!$B562,Production_Consumption!$AA$83:$AA$99,0),MATCH('County Scaled Consumption '!G$2,Production_Consumption!$AA$83:$AJ$83,0)))*'CA Population'!$L562*10^6</f>
        <v>2951.9235840879887</v>
      </c>
      <c r="H562" s="143">
        <f>(INDEX(Production_Consumption!$AA$83:$AJ$99,MATCH('County Scaled Consumption '!$B562,Production_Consumption!$AA$83:$AA$99,0),MATCH('County Scaled Consumption '!H$2,Production_Consumption!$AA$83:$AJ$83,0)))*'CA Population'!$L562*10^6</f>
        <v>78.604493864322578</v>
      </c>
      <c r="I562" s="143">
        <f>(INDEX(Production_Consumption!$AA$83:$AJ$99,MATCH('County Scaled Consumption '!$B562,Production_Consumption!$AA$83:$AA$99,0),MATCH('County Scaled Consumption '!I$2,Production_Consumption!$AA$83:$AJ$83,0)))*'CA Population'!$L562*10^6</f>
        <v>1430.1455151477846</v>
      </c>
      <c r="J562" s="143">
        <f>(INDEX(Production_Consumption!$AA$83:$AJ$99,MATCH('County Scaled Consumption '!$B562,Production_Consumption!$AA$83:$AA$99,0),MATCH('County Scaled Consumption '!J$2,Production_Consumption!$AA$83:$AJ$83,0)))*'CA Population'!$L562*10^6</f>
        <v>965.42252809000865</v>
      </c>
      <c r="K562" s="143">
        <f>(INDEX(Production_Consumption!$AA$83:$AJ$99,MATCH('County Scaled Consumption '!$B562,Production_Consumption!$AA$83:$AA$99,0),MATCH('County Scaled Consumption '!K$2,Production_Consumption!$AA$83:$AJ$83,0)))*'CA Population'!$L562*10^6</f>
        <v>13924.828198669271</v>
      </c>
      <c r="L562" s="131">
        <f t="shared" si="8"/>
        <v>0</v>
      </c>
    </row>
    <row r="563" spans="1:12" x14ac:dyDescent="0.2">
      <c r="A563" s="132" t="s">
        <v>334</v>
      </c>
      <c r="B563" s="129">
        <v>2011</v>
      </c>
      <c r="C563" s="143">
        <f>(INDEX(Production_Consumption!$AA$83:$AJ$99,MATCH('County Scaled Consumption '!$B563,Production_Consumption!$AA$83:$AA$99,0),MATCH('County Scaled Consumption '!C$2,Production_Consumption!$AA$83:$AJ$83,0)))*'CA Population'!$L563*10^6</f>
        <v>31717.263808046522</v>
      </c>
      <c r="D563" s="143">
        <f>(INDEX(Production_Consumption!$AA$83:$AJ$99,MATCH('County Scaled Consumption '!$B563,Production_Consumption!$AA$83:$AA$99,0),MATCH('County Scaled Consumption '!D$2,Production_Consumption!$AA$83:$AJ$83,0)))*'CA Population'!$L563*10^6</f>
        <v>132815.88565322381</v>
      </c>
      <c r="E563" s="143">
        <f>(INDEX(Production_Consumption!$AA$83:$AJ$99,MATCH('County Scaled Consumption '!$B563,Production_Consumption!$AA$83:$AA$99,0),MATCH('County Scaled Consumption '!E$2,Production_Consumption!$AA$83:$AJ$83,0)))*'CA Population'!$L563*10^6</f>
        <v>69105.67362853988</v>
      </c>
      <c r="F563" s="143">
        <f>(INDEX(Production_Consumption!$AA$83:$AJ$99,MATCH('County Scaled Consumption '!$B563,Production_Consumption!$AA$83:$AA$99,0),MATCH('County Scaled Consumption '!F$2,Production_Consumption!$AA$83:$AJ$83,0)))*'CA Population'!$L563*10^6</f>
        <v>27914.050679101289</v>
      </c>
      <c r="G563" s="143">
        <f>(INDEX(Production_Consumption!$AA$83:$AJ$99,MATCH('County Scaled Consumption '!$B563,Production_Consumption!$AA$83:$AA$99,0),MATCH('County Scaled Consumption '!G$2,Production_Consumption!$AA$83:$AJ$83,0)))*'CA Population'!$L563*10^6</f>
        <v>90846.974528163832</v>
      </c>
      <c r="H563" s="143">
        <f>(INDEX(Production_Consumption!$AA$83:$AJ$99,MATCH('County Scaled Consumption '!$B563,Production_Consumption!$AA$83:$AA$99,0),MATCH('County Scaled Consumption '!H$2,Production_Consumption!$AA$83:$AJ$83,0)))*'CA Population'!$L563*10^6</f>
        <v>2419.0939394176639</v>
      </c>
      <c r="I563" s="143">
        <f>(INDEX(Production_Consumption!$AA$83:$AJ$99,MATCH('County Scaled Consumption '!$B563,Production_Consumption!$AA$83:$AA$99,0),MATCH('County Scaled Consumption '!I$2,Production_Consumption!$AA$83:$AJ$83,0)))*'CA Population'!$L563*10^6</f>
        <v>44013.467654292042</v>
      </c>
      <c r="J563" s="143">
        <f>(INDEX(Production_Consumption!$AA$83:$AJ$99,MATCH('County Scaled Consumption '!$B563,Production_Consumption!$AA$83:$AA$99,0),MATCH('County Scaled Consumption '!J$2,Production_Consumption!$AA$83:$AJ$83,0)))*'CA Population'!$L563*10^6</f>
        <v>29711.377452680794</v>
      </c>
      <c r="K563" s="143">
        <f>(INDEX(Production_Consumption!$AA$83:$AJ$99,MATCH('County Scaled Consumption '!$B563,Production_Consumption!$AA$83:$AA$99,0),MATCH('County Scaled Consumption '!K$2,Production_Consumption!$AA$83:$AJ$83,0)))*'CA Population'!$L563*10^6</f>
        <v>428543.78734346584</v>
      </c>
      <c r="L563" s="131">
        <f t="shared" si="8"/>
        <v>0</v>
      </c>
    </row>
    <row r="564" spans="1:12" x14ac:dyDescent="0.2">
      <c r="A564" s="132" t="s">
        <v>335</v>
      </c>
      <c r="B564" s="129">
        <v>2011</v>
      </c>
      <c r="C564" s="143">
        <f>(INDEX(Production_Consumption!$AA$83:$AJ$99,MATCH('County Scaled Consumption '!$B564,Production_Consumption!$AA$83:$AA$99,0),MATCH('County Scaled Consumption '!C$2,Production_Consumption!$AA$83:$AJ$83,0)))*'CA Population'!$L564*10^6</f>
        <v>3699.3701617800102</v>
      </c>
      <c r="D564" s="143">
        <f>(INDEX(Production_Consumption!$AA$83:$AJ$99,MATCH('County Scaled Consumption '!$B564,Production_Consumption!$AA$83:$AA$99,0),MATCH('County Scaled Consumption '!D$2,Production_Consumption!$AA$83:$AJ$83,0)))*'CA Population'!$L564*10^6</f>
        <v>15491.094293930628</v>
      </c>
      <c r="E564" s="143">
        <f>(INDEX(Production_Consumption!$AA$83:$AJ$99,MATCH('County Scaled Consumption '!$B564,Production_Consumption!$AA$83:$AA$99,0),MATCH('County Scaled Consumption '!E$2,Production_Consumption!$AA$83:$AJ$83,0)))*'CA Population'!$L564*10^6</f>
        <v>8060.1992838446431</v>
      </c>
      <c r="F564" s="143">
        <f>(INDEX(Production_Consumption!$AA$83:$AJ$99,MATCH('County Scaled Consumption '!$B564,Production_Consumption!$AA$83:$AA$99,0),MATCH('County Scaled Consumption '!F$2,Production_Consumption!$AA$83:$AJ$83,0)))*'CA Population'!$L564*10^6</f>
        <v>3255.7791492242354</v>
      </c>
      <c r="G564" s="143">
        <f>(INDEX(Production_Consumption!$AA$83:$AJ$99,MATCH('County Scaled Consumption '!$B564,Production_Consumption!$AA$83:$AA$99,0),MATCH('County Scaled Consumption '!G$2,Production_Consumption!$AA$83:$AJ$83,0)))*'CA Population'!$L564*10^6</f>
        <v>10596.014488873307</v>
      </c>
      <c r="H564" s="143">
        <f>(INDEX(Production_Consumption!$AA$83:$AJ$99,MATCH('County Scaled Consumption '!$B564,Production_Consumption!$AA$83:$AA$99,0),MATCH('County Scaled Consumption '!H$2,Production_Consumption!$AA$83:$AJ$83,0)))*'CA Population'!$L564*10^6</f>
        <v>282.1530883680519</v>
      </c>
      <c r="I564" s="143">
        <f>(INDEX(Production_Consumption!$AA$83:$AJ$99,MATCH('County Scaled Consumption '!$B564,Production_Consumption!$AA$83:$AA$99,0),MATCH('County Scaled Consumption '!I$2,Production_Consumption!$AA$83:$AJ$83,0)))*'CA Population'!$L564*10^6</f>
        <v>5133.5484026037075</v>
      </c>
      <c r="J564" s="143">
        <f>(INDEX(Production_Consumption!$AA$83:$AJ$99,MATCH('County Scaled Consumption '!$B564,Production_Consumption!$AA$83:$AA$99,0),MATCH('County Scaled Consumption '!J$2,Production_Consumption!$AA$83:$AJ$83,0)))*'CA Population'!$L564*10^6</f>
        <v>3465.411893000246</v>
      </c>
      <c r="K564" s="143">
        <f>(INDEX(Production_Consumption!$AA$83:$AJ$99,MATCH('County Scaled Consumption '!$B564,Production_Consumption!$AA$83:$AA$99,0),MATCH('County Scaled Consumption '!K$2,Production_Consumption!$AA$83:$AJ$83,0)))*'CA Population'!$L564*10^6</f>
        <v>49983.570761624833</v>
      </c>
      <c r="L564" s="131">
        <f t="shared" si="8"/>
        <v>0</v>
      </c>
    </row>
    <row r="565" spans="1:12" x14ac:dyDescent="0.2">
      <c r="A565" s="132" t="s">
        <v>336</v>
      </c>
      <c r="B565" s="129">
        <v>2011</v>
      </c>
      <c r="C565" s="143">
        <f>(INDEX(Production_Consumption!$AA$83:$AJ$99,MATCH('County Scaled Consumption '!$B565,Production_Consumption!$AA$83:$AA$99,0),MATCH('County Scaled Consumption '!C$2,Production_Consumption!$AA$83:$AJ$83,0)))*'CA Population'!$L565*10^6</f>
        <v>207.38578461578851</v>
      </c>
      <c r="D565" s="143">
        <f>(INDEX(Production_Consumption!$AA$83:$AJ$99,MATCH('County Scaled Consumption '!$B565,Production_Consumption!$AA$83:$AA$99,0),MATCH('County Scaled Consumption '!D$2,Production_Consumption!$AA$83:$AJ$83,0)))*'CA Population'!$L565*10^6</f>
        <v>868.42694951028056</v>
      </c>
      <c r="E565" s="143">
        <f>(INDEX(Production_Consumption!$AA$83:$AJ$99,MATCH('County Scaled Consumption '!$B565,Production_Consumption!$AA$83:$AA$99,0),MATCH('County Scaled Consumption '!E$2,Production_Consumption!$AA$83:$AJ$83,0)))*'CA Population'!$L565*10^6</f>
        <v>451.85279643263249</v>
      </c>
      <c r="F565" s="143">
        <f>(INDEX(Production_Consumption!$AA$83:$AJ$99,MATCH('County Scaled Consumption '!$B565,Production_Consumption!$AA$83:$AA$99,0),MATCH('County Scaled Consumption '!F$2,Production_Consumption!$AA$83:$AJ$83,0)))*'CA Population'!$L565*10^6</f>
        <v>182.51818116863117</v>
      </c>
      <c r="G565" s="143">
        <f>(INDEX(Production_Consumption!$AA$83:$AJ$99,MATCH('County Scaled Consumption '!$B565,Production_Consumption!$AA$83:$AA$99,0),MATCH('County Scaled Consumption '!G$2,Production_Consumption!$AA$83:$AJ$83,0)))*'CA Population'!$L565*10^6</f>
        <v>594.009975340751</v>
      </c>
      <c r="H565" s="143">
        <f>(INDEX(Production_Consumption!$AA$83:$AJ$99,MATCH('County Scaled Consumption '!$B565,Production_Consumption!$AA$83:$AA$99,0),MATCH('County Scaled Consumption '!H$2,Production_Consumption!$AA$83:$AJ$83,0)))*'CA Population'!$L565*10^6</f>
        <v>15.817432982921927</v>
      </c>
      <c r="I565" s="143">
        <f>(INDEX(Production_Consumption!$AA$83:$AJ$99,MATCH('County Scaled Consumption '!$B565,Production_Consumption!$AA$83:$AA$99,0),MATCH('County Scaled Consumption '!I$2,Production_Consumption!$AA$83:$AJ$83,0)))*'CA Population'!$L565*10^6</f>
        <v>287.78546530332517</v>
      </c>
      <c r="J565" s="143">
        <f>(INDEX(Production_Consumption!$AA$83:$AJ$99,MATCH('County Scaled Consumption '!$B565,Production_Consumption!$AA$83:$AA$99,0),MATCH('County Scaled Consumption '!J$2,Production_Consumption!$AA$83:$AJ$83,0)))*'CA Population'!$L565*10^6</f>
        <v>194.27014140724378</v>
      </c>
      <c r="K565" s="143">
        <f>(INDEX(Production_Consumption!$AA$83:$AJ$99,MATCH('County Scaled Consumption '!$B565,Production_Consumption!$AA$83:$AA$99,0),MATCH('County Scaled Consumption '!K$2,Production_Consumption!$AA$83:$AJ$83,0)))*'CA Population'!$L565*10^6</f>
        <v>2802.0667267615745</v>
      </c>
      <c r="L565" s="131">
        <f t="shared" si="8"/>
        <v>0</v>
      </c>
    </row>
    <row r="566" spans="1:12" x14ac:dyDescent="0.2">
      <c r="A566" s="132" t="s">
        <v>337</v>
      </c>
      <c r="B566" s="129">
        <v>2011</v>
      </c>
      <c r="C566" s="143">
        <f>(INDEX(Production_Consumption!$AA$83:$AJ$99,MATCH('County Scaled Consumption '!$B566,Production_Consumption!$AA$83:$AA$99,0),MATCH('County Scaled Consumption '!C$2,Production_Consumption!$AA$83:$AJ$83,0)))*'CA Population'!$L566*10^6</f>
        <v>23137.524150784695</v>
      </c>
      <c r="D566" s="143">
        <f>(INDEX(Production_Consumption!$AA$83:$AJ$99,MATCH('County Scaled Consumption '!$B566,Production_Consumption!$AA$83:$AA$99,0),MATCH('County Scaled Consumption '!D$2,Production_Consumption!$AA$83:$AJ$83,0)))*'CA Population'!$L566*10^6</f>
        <v>96888.268184398388</v>
      </c>
      <c r="E566" s="143">
        <f>(INDEX(Production_Consumption!$AA$83:$AJ$99,MATCH('County Scaled Consumption '!$B566,Production_Consumption!$AA$83:$AA$99,0),MATCH('County Scaled Consumption '!E$2,Production_Consumption!$AA$83:$AJ$83,0)))*'CA Population'!$L566*10^6</f>
        <v>50412.110017224892</v>
      </c>
      <c r="F566" s="143">
        <f>(INDEX(Production_Consumption!$AA$83:$AJ$99,MATCH('County Scaled Consumption '!$B566,Production_Consumption!$AA$83:$AA$99,0),MATCH('County Scaled Consumption '!F$2,Production_Consumption!$AA$83:$AJ$83,0)))*'CA Population'!$L566*10^6</f>
        <v>20363.106529072087</v>
      </c>
      <c r="G566" s="143">
        <f>(INDEX(Production_Consumption!$AA$83:$AJ$99,MATCH('County Scaled Consumption '!$B566,Production_Consumption!$AA$83:$AA$99,0),MATCH('County Scaled Consumption '!G$2,Production_Consumption!$AA$83:$AJ$83,0)))*'CA Population'!$L566*10^6</f>
        <v>66272.238358652234</v>
      </c>
      <c r="H566" s="143">
        <f>(INDEX(Production_Consumption!$AA$83:$AJ$99,MATCH('County Scaled Consumption '!$B566,Production_Consumption!$AA$83:$AA$99,0),MATCH('County Scaled Consumption '!H$2,Production_Consumption!$AA$83:$AJ$83,0)))*'CA Population'!$L566*10^6</f>
        <v>1764.7122647475439</v>
      </c>
      <c r="I566" s="143">
        <f>(INDEX(Production_Consumption!$AA$83:$AJ$99,MATCH('County Scaled Consumption '!$B566,Production_Consumption!$AA$83:$AA$99,0),MATCH('County Scaled Consumption '!I$2,Production_Consumption!$AA$83:$AJ$83,0)))*'CA Population'!$L566*10^6</f>
        <v>32107.519645266791</v>
      </c>
      <c r="J566" s="143">
        <f>(INDEX(Production_Consumption!$AA$83:$AJ$99,MATCH('County Scaled Consumption '!$B566,Production_Consumption!$AA$83:$AA$99,0),MATCH('County Scaled Consumption '!J$2,Production_Consumption!$AA$83:$AJ$83,0)))*'CA Population'!$L566*10^6</f>
        <v>21674.243955119462</v>
      </c>
      <c r="K566" s="143">
        <f>(INDEX(Production_Consumption!$AA$83:$AJ$99,MATCH('County Scaled Consumption '!$B566,Production_Consumption!$AA$83:$AA$99,0),MATCH('County Scaled Consumption '!K$2,Production_Consumption!$AA$83:$AJ$83,0)))*'CA Population'!$L566*10^6</f>
        <v>312619.72310526611</v>
      </c>
      <c r="L566" s="131">
        <f t="shared" si="8"/>
        <v>0</v>
      </c>
    </row>
    <row r="567" spans="1:12" x14ac:dyDescent="0.2">
      <c r="A567" s="132" t="s">
        <v>338</v>
      </c>
      <c r="B567" s="129">
        <v>2011</v>
      </c>
      <c r="C567" s="143">
        <f>(INDEX(Production_Consumption!$AA$83:$AJ$99,MATCH('County Scaled Consumption '!$B567,Production_Consumption!$AA$83:$AA$99,0),MATCH('County Scaled Consumption '!C$2,Production_Consumption!$AA$83:$AJ$83,0)))*'CA Population'!$L567*10^6</f>
        <v>14928.434760573991</v>
      </c>
      <c r="D567" s="143">
        <f>(INDEX(Production_Consumption!$AA$83:$AJ$99,MATCH('County Scaled Consumption '!$B567,Production_Consumption!$AA$83:$AA$99,0),MATCH('County Scaled Consumption '!D$2,Production_Consumption!$AA$83:$AJ$83,0)))*'CA Population'!$L567*10^6</f>
        <v>62512.74687947693</v>
      </c>
      <c r="E567" s="143">
        <f>(INDEX(Production_Consumption!$AA$83:$AJ$99,MATCH('County Scaled Consumption '!$B567,Production_Consumption!$AA$83:$AA$99,0),MATCH('County Scaled Consumption '!E$2,Production_Consumption!$AA$83:$AJ$83,0)))*'CA Population'!$L567*10^6</f>
        <v>32526.120367528485</v>
      </c>
      <c r="F567" s="143">
        <f>(INDEX(Production_Consumption!$AA$83:$AJ$99,MATCH('County Scaled Consumption '!$B567,Production_Consumption!$AA$83:$AA$99,0),MATCH('County Scaled Consumption '!F$2,Production_Consumption!$AA$83:$AJ$83,0)))*'CA Population'!$L567*10^6</f>
        <v>13138.36801901561</v>
      </c>
      <c r="G567" s="143">
        <f>(INDEX(Production_Consumption!$AA$83:$AJ$99,MATCH('County Scaled Consumption '!$B567,Production_Consumption!$AA$83:$AA$99,0),MATCH('County Scaled Consumption '!G$2,Production_Consumption!$AA$83:$AJ$83,0)))*'CA Population'!$L567*10^6</f>
        <v>42759.146584868977</v>
      </c>
      <c r="H567" s="143">
        <f>(INDEX(Production_Consumption!$AA$83:$AJ$99,MATCH('County Scaled Consumption '!$B567,Production_Consumption!$AA$83:$AA$99,0),MATCH('County Scaled Consumption '!H$2,Production_Consumption!$AA$83:$AJ$83,0)))*'CA Population'!$L567*10^6</f>
        <v>1138.600298968247</v>
      </c>
      <c r="I567" s="143">
        <f>(INDEX(Production_Consumption!$AA$83:$AJ$99,MATCH('County Scaled Consumption '!$B567,Production_Consumption!$AA$83:$AA$99,0),MATCH('County Scaled Consumption '!I$2,Production_Consumption!$AA$83:$AJ$83,0)))*'CA Population'!$L567*10^6</f>
        <v>20715.916241710649</v>
      </c>
      <c r="J567" s="143">
        <f>(INDEX(Production_Consumption!$AA$83:$AJ$99,MATCH('County Scaled Consumption '!$B567,Production_Consumption!$AA$83:$AA$99,0),MATCH('County Scaled Consumption '!J$2,Production_Consumption!$AA$83:$AJ$83,0)))*'CA Population'!$L567*10^6</f>
        <v>13984.319789798801</v>
      </c>
      <c r="K567" s="143">
        <f>(INDEX(Production_Consumption!$AA$83:$AJ$99,MATCH('County Scaled Consumption '!$B567,Production_Consumption!$AA$83:$AA$99,0),MATCH('County Scaled Consumption '!K$2,Production_Consumption!$AA$83:$AJ$83,0)))*'CA Population'!$L567*10^6</f>
        <v>201703.65294194169</v>
      </c>
      <c r="L567" s="131">
        <f t="shared" si="8"/>
        <v>0</v>
      </c>
    </row>
    <row r="568" spans="1:12" x14ac:dyDescent="0.2">
      <c r="A568" s="132" t="s">
        <v>339</v>
      </c>
      <c r="B568" s="129">
        <v>2011</v>
      </c>
      <c r="C568" s="143">
        <f>(INDEX(Production_Consumption!$AA$83:$AJ$99,MATCH('County Scaled Consumption '!$B568,Production_Consumption!$AA$83:$AA$99,0),MATCH('County Scaled Consumption '!C$2,Production_Consumption!$AA$83:$AJ$83,0)))*'CA Population'!$L568*10^6</f>
        <v>581.9103719293812</v>
      </c>
      <c r="D568" s="143">
        <f>(INDEX(Production_Consumption!$AA$83:$AJ$99,MATCH('County Scaled Consumption '!$B568,Production_Consumption!$AA$83:$AA$99,0),MATCH('County Scaled Consumption '!D$2,Production_Consumption!$AA$83:$AJ$83,0)))*'CA Population'!$L568*10^6</f>
        <v>2436.746810391327</v>
      </c>
      <c r="E568" s="143">
        <f>(INDEX(Production_Consumption!$AA$83:$AJ$99,MATCH('County Scaled Consumption '!$B568,Production_Consumption!$AA$83:$AA$99,0),MATCH('County Scaled Consumption '!E$2,Production_Consumption!$AA$83:$AJ$83,0)))*'CA Population'!$L568*10^6</f>
        <v>1267.86813916187</v>
      </c>
      <c r="F568" s="143">
        <f>(INDEX(Production_Consumption!$AA$83:$AJ$99,MATCH('County Scaled Consumption '!$B568,Production_Consumption!$AA$83:$AA$99,0),MATCH('County Scaled Consumption '!F$2,Production_Consumption!$AA$83:$AJ$83,0)))*'CA Population'!$L568*10^6</f>
        <v>512.13357214661539</v>
      </c>
      <c r="G568" s="143">
        <f>(INDEX(Production_Consumption!$AA$83:$AJ$99,MATCH('County Scaled Consumption '!$B568,Production_Consumption!$AA$83:$AA$99,0),MATCH('County Scaled Consumption '!G$2,Production_Consumption!$AA$83:$AJ$83,0)))*'CA Population'!$L568*10^6</f>
        <v>1666.7514908058142</v>
      </c>
      <c r="H568" s="143">
        <f>(INDEX(Production_Consumption!$AA$83:$AJ$99,MATCH('County Scaled Consumption '!$B568,Production_Consumption!$AA$83:$AA$99,0),MATCH('County Scaled Consumption '!H$2,Production_Consumption!$AA$83:$AJ$83,0)))*'CA Population'!$L568*10^6</f>
        <v>44.382638506841154</v>
      </c>
      <c r="I568" s="143">
        <f>(INDEX(Production_Consumption!$AA$83:$AJ$99,MATCH('County Scaled Consumption '!$B568,Production_Consumption!$AA$83:$AA$99,0),MATCH('County Scaled Consumption '!I$2,Production_Consumption!$AA$83:$AJ$83,0)))*'CA Population'!$L568*10^6</f>
        <v>807.50639423421057</v>
      </c>
      <c r="J568" s="143">
        <f>(INDEX(Production_Consumption!$AA$83:$AJ$99,MATCH('County Scaled Consumption '!$B568,Production_Consumption!$AA$83:$AA$99,0),MATCH('County Scaled Consumption '!J$2,Production_Consumption!$AA$83:$AJ$83,0)))*'CA Population'!$L568*10^6</f>
        <v>545.10877131959546</v>
      </c>
      <c r="K568" s="143">
        <f>(INDEX(Production_Consumption!$AA$83:$AJ$99,MATCH('County Scaled Consumption '!$B568,Production_Consumption!$AA$83:$AA$99,0),MATCH('County Scaled Consumption '!K$2,Production_Consumption!$AA$83:$AJ$83,0)))*'CA Population'!$L568*10^6</f>
        <v>7862.408188495654</v>
      </c>
      <c r="L568" s="131">
        <f t="shared" si="8"/>
        <v>0</v>
      </c>
    </row>
    <row r="569" spans="1:12" x14ac:dyDescent="0.2">
      <c r="A569" s="132" t="s">
        <v>340</v>
      </c>
      <c r="B569" s="129">
        <v>2011</v>
      </c>
      <c r="C569" s="143">
        <f>(INDEX(Production_Consumption!$AA$83:$AJ$99,MATCH('County Scaled Consumption '!$B569,Production_Consumption!$AA$83:$AA$99,0),MATCH('County Scaled Consumption '!C$2,Production_Consumption!$AA$83:$AJ$83,0)))*'CA Population'!$L569*10^6</f>
        <v>21462.794392043874</v>
      </c>
      <c r="D569" s="143">
        <f>(INDEX(Production_Consumption!$AA$83:$AJ$99,MATCH('County Scaled Consumption '!$B569,Production_Consumption!$AA$83:$AA$99,0),MATCH('County Scaled Consumption '!D$2,Production_Consumption!$AA$83:$AJ$83,0)))*'CA Population'!$L569*10^6</f>
        <v>89875.345585427465</v>
      </c>
      <c r="E569" s="143">
        <f>(INDEX(Production_Consumption!$AA$83:$AJ$99,MATCH('County Scaled Consumption '!$B569,Production_Consumption!$AA$83:$AA$99,0),MATCH('County Scaled Consumption '!E$2,Production_Consumption!$AA$83:$AJ$83,0)))*'CA Population'!$L569*10^6</f>
        <v>46763.203578637789</v>
      </c>
      <c r="F569" s="143">
        <f>(INDEX(Production_Consumption!$AA$83:$AJ$99,MATCH('County Scaled Consumption '!$B569,Production_Consumption!$AA$83:$AA$99,0),MATCH('County Scaled Consumption '!F$2,Production_Consumption!$AA$83:$AJ$83,0)))*'CA Population'!$L569*10^6</f>
        <v>18889.193405852722</v>
      </c>
      <c r="G569" s="143">
        <f>(INDEX(Production_Consumption!$AA$83:$AJ$99,MATCH('County Scaled Consumption '!$B569,Production_Consumption!$AA$83:$AA$99,0),MATCH('County Scaled Consumption '!G$2,Production_Consumption!$AA$83:$AJ$83,0)))*'CA Population'!$L569*10^6</f>
        <v>61475.351317744011</v>
      </c>
      <c r="H569" s="143">
        <f>(INDEX(Production_Consumption!$AA$83:$AJ$99,MATCH('County Scaled Consumption '!$B569,Production_Consumption!$AA$83:$AA$99,0),MATCH('County Scaled Consumption '!H$2,Production_Consumption!$AA$83:$AJ$83,0)))*'CA Population'!$L569*10^6</f>
        <v>1636.9796635354392</v>
      </c>
      <c r="I569" s="143">
        <f>(INDEX(Production_Consumption!$AA$83:$AJ$99,MATCH('County Scaled Consumption '!$B569,Production_Consumption!$AA$83:$AA$99,0),MATCH('County Scaled Consumption '!I$2,Production_Consumption!$AA$83:$AJ$83,0)))*'CA Population'!$L569*10^6</f>
        <v>29783.527748862427</v>
      </c>
      <c r="J569" s="143">
        <f>(INDEX(Production_Consumption!$AA$83:$AJ$99,MATCH('County Scaled Consumption '!$B569,Production_Consumption!$AA$83:$AA$99,0),MATCH('County Scaled Consumption '!J$2,Production_Consumption!$AA$83:$AJ$83,0)))*'CA Population'!$L569*10^6</f>
        <v>20105.428678545635</v>
      </c>
      <c r="K569" s="143">
        <f>(INDEX(Production_Consumption!$AA$83:$AJ$99,MATCH('County Scaled Consumption '!$B569,Production_Consumption!$AA$83:$AA$99,0),MATCH('County Scaled Consumption '!K$2,Production_Consumption!$AA$83:$AJ$83,0)))*'CA Population'!$L569*10^6</f>
        <v>289991.82437064935</v>
      </c>
      <c r="L569" s="131">
        <f t="shared" si="8"/>
        <v>0</v>
      </c>
    </row>
    <row r="570" spans="1:12" x14ac:dyDescent="0.2">
      <c r="A570" s="132" t="s">
        <v>341</v>
      </c>
      <c r="B570" s="129">
        <v>2011</v>
      </c>
      <c r="C570" s="143">
        <f>(INDEX(Production_Consumption!$AA$83:$AJ$99,MATCH('County Scaled Consumption '!$B570,Production_Consumption!$AA$83:$AA$99,0),MATCH('County Scaled Consumption '!C$2,Production_Consumption!$AA$83:$AJ$83,0)))*'CA Population'!$L570*10^6</f>
        <v>32661.282145208414</v>
      </c>
      <c r="D570" s="143">
        <f>(INDEX(Production_Consumption!$AA$83:$AJ$99,MATCH('County Scaled Consumption '!$B570,Production_Consumption!$AA$83:$AA$99,0),MATCH('County Scaled Consumption '!D$2,Production_Consumption!$AA$83:$AJ$83,0)))*'CA Population'!$L570*10^6</f>
        <v>136768.95778081485</v>
      </c>
      <c r="E570" s="143">
        <f>(INDEX(Production_Consumption!$AA$83:$AJ$99,MATCH('County Scaled Consumption '!$B570,Production_Consumption!$AA$83:$AA$99,0),MATCH('County Scaled Consumption '!E$2,Production_Consumption!$AA$83:$AJ$83,0)))*'CA Population'!$L570*10^6</f>
        <v>71162.503735389037</v>
      </c>
      <c r="F570" s="143">
        <f>(INDEX(Production_Consumption!$AA$83:$AJ$99,MATCH('County Scaled Consumption '!$B570,Production_Consumption!$AA$83:$AA$99,0),MATCH('County Scaled Consumption '!F$2,Production_Consumption!$AA$83:$AJ$83,0)))*'CA Population'!$L570*10^6</f>
        <v>28744.871895742708</v>
      </c>
      <c r="G570" s="143">
        <f>(INDEX(Production_Consumption!$AA$83:$AJ$99,MATCH('County Scaled Consumption '!$B570,Production_Consumption!$AA$83:$AA$99,0),MATCH('County Scaled Consumption '!G$2,Production_Consumption!$AA$83:$AJ$83,0)))*'CA Population'!$L570*10^6</f>
        <v>93550.9029108041</v>
      </c>
      <c r="H570" s="143">
        <f>(INDEX(Production_Consumption!$AA$83:$AJ$99,MATCH('County Scaled Consumption '!$B570,Production_Consumption!$AA$83:$AA$99,0),MATCH('County Scaled Consumption '!H$2,Production_Consumption!$AA$83:$AJ$83,0)))*'CA Population'!$L570*10^6</f>
        <v>2491.0947605461283</v>
      </c>
      <c r="I570" s="143">
        <f>(INDEX(Production_Consumption!$AA$83:$AJ$99,MATCH('County Scaled Consumption '!$B570,Production_Consumption!$AA$83:$AA$99,0),MATCH('County Scaled Consumption '!I$2,Production_Consumption!$AA$83:$AJ$83,0)))*'CA Population'!$L570*10^6</f>
        <v>45323.464657791214</v>
      </c>
      <c r="J570" s="143">
        <f>(INDEX(Production_Consumption!$AA$83:$AJ$99,MATCH('County Scaled Consumption '!$B570,Production_Consumption!$AA$83:$AA$99,0),MATCH('County Scaled Consumption '!J$2,Production_Consumption!$AA$83:$AJ$83,0)))*'CA Population'!$L570*10^6</f>
        <v>30595.693492911018</v>
      </c>
      <c r="K570" s="143">
        <f>(INDEX(Production_Consumption!$AA$83:$AJ$99,MATCH('County Scaled Consumption '!$B570,Production_Consumption!$AA$83:$AA$99,0),MATCH('County Scaled Consumption '!K$2,Production_Consumption!$AA$83:$AJ$83,0)))*'CA Population'!$L570*10^6</f>
        <v>441298.77137920749</v>
      </c>
      <c r="L570" s="131">
        <f t="shared" si="8"/>
        <v>0</v>
      </c>
    </row>
    <row r="571" spans="1:12" x14ac:dyDescent="0.2">
      <c r="A571" s="132" t="s">
        <v>342</v>
      </c>
      <c r="B571" s="129">
        <v>2011</v>
      </c>
      <c r="C571" s="143">
        <f>(INDEX(Production_Consumption!$AA$83:$AJ$99,MATCH('County Scaled Consumption '!$B571,Production_Consumption!$AA$83:$AA$99,0),MATCH('County Scaled Consumption '!C$2,Production_Consumption!$AA$83:$AJ$83,0)))*'CA Population'!$L571*10^6</f>
        <v>8531.5978340542715</v>
      </c>
      <c r="D571" s="143">
        <f>(INDEX(Production_Consumption!$AA$83:$AJ$99,MATCH('County Scaled Consumption '!$B571,Production_Consumption!$AA$83:$AA$99,0),MATCH('County Scaled Consumption '!D$2,Production_Consumption!$AA$83:$AJ$83,0)))*'CA Population'!$L571*10^6</f>
        <v>35726.02382175142</v>
      </c>
      <c r="E571" s="143">
        <f>(INDEX(Production_Consumption!$AA$83:$AJ$99,MATCH('County Scaled Consumption '!$B571,Production_Consumption!$AA$83:$AA$99,0),MATCH('County Scaled Consumption '!E$2,Production_Consumption!$AA$83:$AJ$83,0)))*'CA Population'!$L571*10^6</f>
        <v>18588.67205627423</v>
      </c>
      <c r="F571" s="143">
        <f>(INDEX(Production_Consumption!$AA$83:$AJ$99,MATCH('County Scaled Consumption '!$B571,Production_Consumption!$AA$83:$AA$99,0),MATCH('County Scaled Consumption '!F$2,Production_Consumption!$AA$83:$AJ$83,0)))*'CA Population'!$L571*10^6</f>
        <v>7508.5750068101343</v>
      </c>
      <c r="G571" s="143">
        <f>(INDEX(Production_Consumption!$AA$83:$AJ$99,MATCH('County Scaled Consumption '!$B571,Production_Consumption!$AA$83:$AA$99,0),MATCH('County Scaled Consumption '!G$2,Production_Consumption!$AA$83:$AJ$83,0)))*'CA Population'!$L571*10^6</f>
        <v>24436.844735586383</v>
      </c>
      <c r="H571" s="143">
        <f>(INDEX(Production_Consumption!$AA$83:$AJ$99,MATCH('County Scaled Consumption '!$B571,Production_Consumption!$AA$83:$AA$99,0),MATCH('County Scaled Consumption '!H$2,Production_Consumption!$AA$83:$AJ$83,0)))*'CA Population'!$L571*10^6</f>
        <v>650.70987014565878</v>
      </c>
      <c r="I571" s="143">
        <f>(INDEX(Production_Consumption!$AA$83:$AJ$99,MATCH('County Scaled Consumption '!$B571,Production_Consumption!$AA$83:$AA$99,0),MATCH('County Scaled Consumption '!I$2,Production_Consumption!$AA$83:$AJ$83,0)))*'CA Population'!$L571*10^6</f>
        <v>11839.142480295284</v>
      </c>
      <c r="J571" s="143">
        <f>(INDEX(Production_Consumption!$AA$83:$AJ$99,MATCH('County Scaled Consumption '!$B571,Production_Consumption!$AA$83:$AA$99,0),MATCH('County Scaled Consumption '!J$2,Production_Consumption!$AA$83:$AJ$83,0)))*'CA Population'!$L571*10^6</f>
        <v>7992.0362946866908</v>
      </c>
      <c r="K571" s="143">
        <f>(INDEX(Production_Consumption!$AA$83:$AJ$99,MATCH('County Scaled Consumption '!$B571,Production_Consumption!$AA$83:$AA$99,0),MATCH('County Scaled Consumption '!K$2,Production_Consumption!$AA$83:$AJ$83,0)))*'CA Population'!$L571*10^6</f>
        <v>115273.60209960408</v>
      </c>
      <c r="L571" s="131">
        <f t="shared" si="8"/>
        <v>0</v>
      </c>
    </row>
    <row r="572" spans="1:12" x14ac:dyDescent="0.2">
      <c r="A572" s="132" t="s">
        <v>343</v>
      </c>
      <c r="B572" s="129">
        <v>2011</v>
      </c>
      <c r="C572" s="143">
        <f>(INDEX(Production_Consumption!$AA$83:$AJ$99,MATCH('County Scaled Consumption '!$B572,Production_Consumption!$AA$83:$AA$99,0),MATCH('County Scaled Consumption '!C$2,Production_Consumption!$AA$83:$AJ$83,0)))*'CA Population'!$L572*10^6</f>
        <v>7228.6983913933009</v>
      </c>
      <c r="D572" s="143">
        <f>(INDEX(Production_Consumption!$AA$83:$AJ$99,MATCH('County Scaled Consumption '!$B572,Production_Consumption!$AA$83:$AA$99,0),MATCH('County Scaled Consumption '!D$2,Production_Consumption!$AA$83:$AJ$83,0)))*'CA Population'!$L572*10^6</f>
        <v>30270.138836168026</v>
      </c>
      <c r="E572" s="143">
        <f>(INDEX(Production_Consumption!$AA$83:$AJ$99,MATCH('County Scaled Consumption '!$B572,Production_Consumption!$AA$83:$AA$99,0),MATCH('County Scaled Consumption '!E$2,Production_Consumption!$AA$83:$AJ$83,0)))*'CA Population'!$L572*10^6</f>
        <v>15749.910673821892</v>
      </c>
      <c r="F572" s="143">
        <f>(INDEX(Production_Consumption!$AA$83:$AJ$99,MATCH('County Scaled Consumption '!$B572,Production_Consumption!$AA$83:$AA$99,0),MATCH('County Scaled Consumption '!F$2,Production_Consumption!$AA$83:$AJ$83,0)))*'CA Population'!$L572*10^6</f>
        <v>6361.9060730610481</v>
      </c>
      <c r="G572" s="143">
        <f>(INDEX(Production_Consumption!$AA$83:$AJ$99,MATCH('County Scaled Consumption '!$B572,Production_Consumption!$AA$83:$AA$99,0),MATCH('County Scaled Consumption '!G$2,Production_Consumption!$AA$83:$AJ$83,0)))*'CA Population'!$L572*10^6</f>
        <v>20704.982075663254</v>
      </c>
      <c r="H572" s="143">
        <f>(INDEX(Production_Consumption!$AA$83:$AJ$99,MATCH('County Scaled Consumption '!$B572,Production_Consumption!$AA$83:$AA$99,0),MATCH('County Scaled Consumption '!H$2,Production_Consumption!$AA$83:$AJ$83,0)))*'CA Population'!$L572*10^6</f>
        <v>551.33698084200455</v>
      </c>
      <c r="I572" s="143">
        <f>(INDEX(Production_Consumption!$AA$83:$AJ$99,MATCH('County Scaled Consumption '!$B572,Production_Consumption!$AA$83:$AA$99,0),MATCH('County Scaled Consumption '!I$2,Production_Consumption!$AA$83:$AJ$83,0)))*'CA Population'!$L572*10^6</f>
        <v>10031.132721842992</v>
      </c>
      <c r="J572" s="143">
        <f>(INDEX(Production_Consumption!$AA$83:$AJ$99,MATCH('County Scaled Consumption '!$B572,Production_Consumption!$AA$83:$AA$99,0),MATCH('County Scaled Consumption '!J$2,Production_Consumption!$AA$83:$AJ$83,0)))*'CA Population'!$L572*10^6</f>
        <v>6771.5357698599937</v>
      </c>
      <c r="K572" s="143">
        <f>(INDEX(Production_Consumption!$AA$83:$AJ$99,MATCH('County Scaled Consumption '!$B572,Production_Consumption!$AA$83:$AA$99,0),MATCH('County Scaled Consumption '!K$2,Production_Consumption!$AA$83:$AJ$83,0)))*'CA Population'!$L572*10^6</f>
        <v>97669.641522652513</v>
      </c>
      <c r="L572" s="131">
        <f t="shared" si="8"/>
        <v>0</v>
      </c>
    </row>
    <row r="573" spans="1:12" x14ac:dyDescent="0.2">
      <c r="A573" s="132" t="s">
        <v>344</v>
      </c>
      <c r="B573" s="129">
        <v>2011</v>
      </c>
      <c r="C573" s="143">
        <f>(INDEX(Production_Consumption!$AA$83:$AJ$99,MATCH('County Scaled Consumption '!$B573,Production_Consumption!$AA$83:$AA$99,0),MATCH('County Scaled Consumption '!C$2,Production_Consumption!$AA$83:$AJ$83,0)))*'CA Population'!$L573*10^6</f>
        <v>2819.1475725519426</v>
      </c>
      <c r="D573" s="143">
        <f>(INDEX(Production_Consumption!$AA$83:$AJ$99,MATCH('County Scaled Consumption '!$B573,Production_Consumption!$AA$83:$AA$99,0),MATCH('County Scaled Consumption '!D$2,Production_Consumption!$AA$83:$AJ$83,0)))*'CA Population'!$L573*10^6</f>
        <v>11805.166545943717</v>
      </c>
      <c r="E573" s="143">
        <f>(INDEX(Production_Consumption!$AA$83:$AJ$99,MATCH('County Scaled Consumption '!$B573,Production_Consumption!$AA$83:$AA$99,0),MATCH('County Scaled Consumption '!E$2,Production_Consumption!$AA$83:$AJ$83,0)))*'CA Population'!$L573*10^6</f>
        <v>6142.367552211118</v>
      </c>
      <c r="F573" s="143">
        <f>(INDEX(Production_Consumption!$AA$83:$AJ$99,MATCH('County Scaled Consumption '!$B573,Production_Consumption!$AA$83:$AA$99,0),MATCH('County Scaled Consumption '!F$2,Production_Consumption!$AA$83:$AJ$83,0)))*'CA Population'!$L573*10^6</f>
        <v>2481.1039403757154</v>
      </c>
      <c r="G573" s="143">
        <f>(INDEX(Production_Consumption!$AA$83:$AJ$99,MATCH('County Scaled Consumption '!$B573,Production_Consumption!$AA$83:$AA$99,0),MATCH('County Scaled Consumption '!G$2,Production_Consumption!$AA$83:$AJ$83,0)))*'CA Population'!$L573*10^6</f>
        <v>8074.8146897144088</v>
      </c>
      <c r="H573" s="143">
        <f>(INDEX(Production_Consumption!$AA$83:$AJ$99,MATCH('County Scaled Consumption '!$B573,Production_Consumption!$AA$83:$AA$99,0),MATCH('County Scaled Consumption '!H$2,Production_Consumption!$AA$83:$AJ$83,0)))*'CA Population'!$L573*10^6</f>
        <v>215.01800559965943</v>
      </c>
      <c r="I573" s="143">
        <f>(INDEX(Production_Consumption!$AA$83:$AJ$99,MATCH('County Scaled Consumption '!$B573,Production_Consumption!$AA$83:$AA$99,0),MATCH('County Scaled Consumption '!I$2,Production_Consumption!$AA$83:$AJ$83,0)))*'CA Population'!$L573*10^6</f>
        <v>3912.0795932501655</v>
      </c>
      <c r="J573" s="143">
        <f>(INDEX(Production_Consumption!$AA$83:$AJ$99,MATCH('County Scaled Consumption '!$B573,Production_Consumption!$AA$83:$AA$99,0),MATCH('County Scaled Consumption '!J$2,Production_Consumption!$AA$83:$AJ$83,0)))*'CA Population'!$L573*10^6</f>
        <v>2640.8569834340456</v>
      </c>
      <c r="K573" s="143">
        <f>(INDEX(Production_Consumption!$AA$83:$AJ$99,MATCH('County Scaled Consumption '!$B573,Production_Consumption!$AA$83:$AA$99,0),MATCH('County Scaled Consumption '!K$2,Production_Consumption!$AA$83:$AJ$83,0)))*'CA Population'!$L573*10^6</f>
        <v>38090.554883080775</v>
      </c>
      <c r="L573" s="131">
        <f t="shared" si="8"/>
        <v>0</v>
      </c>
    </row>
    <row r="574" spans="1:12" x14ac:dyDescent="0.2">
      <c r="A574" s="132" t="s">
        <v>345</v>
      </c>
      <c r="B574" s="129">
        <v>2011</v>
      </c>
      <c r="C574" s="143">
        <f>(INDEX(Production_Consumption!$AA$83:$AJ$99,MATCH('County Scaled Consumption '!$B574,Production_Consumption!$AA$83:$AA$99,0),MATCH('County Scaled Consumption '!C$2,Production_Consumption!$AA$83:$AJ$83,0)))*'CA Population'!$L574*10^6</f>
        <v>7589.1981482149758</v>
      </c>
      <c r="D574" s="143">
        <f>(INDEX(Production_Consumption!$AA$83:$AJ$99,MATCH('County Scaled Consumption '!$B574,Production_Consumption!$AA$83:$AA$99,0),MATCH('County Scaled Consumption '!D$2,Production_Consumption!$AA$83:$AJ$83,0)))*'CA Population'!$L574*10^6</f>
        <v>31779.72978858478</v>
      </c>
      <c r="E574" s="143">
        <f>(INDEX(Production_Consumption!$AA$83:$AJ$99,MATCH('County Scaled Consumption '!$B574,Production_Consumption!$AA$83:$AA$99,0),MATCH('County Scaled Consumption '!E$2,Production_Consumption!$AA$83:$AJ$83,0)))*'CA Population'!$L574*10^6</f>
        <v>16535.368671991535</v>
      </c>
      <c r="F574" s="143">
        <f>(INDEX(Production_Consumption!$AA$83:$AJ$99,MATCH('County Scaled Consumption '!$B574,Production_Consumption!$AA$83:$AA$99,0),MATCH('County Scaled Consumption '!F$2,Production_Consumption!$AA$83:$AJ$83,0)))*'CA Population'!$L574*10^6</f>
        <v>6679.178349214043</v>
      </c>
      <c r="G574" s="143">
        <f>(INDEX(Production_Consumption!$AA$83:$AJ$99,MATCH('County Scaled Consumption '!$B574,Production_Consumption!$AA$83:$AA$99,0),MATCH('County Scaled Consumption '!G$2,Production_Consumption!$AA$83:$AJ$83,0)))*'CA Population'!$L574*10^6</f>
        <v>21737.552615908891</v>
      </c>
      <c r="H574" s="143">
        <f>(INDEX(Production_Consumption!$AA$83:$AJ$99,MATCH('County Scaled Consumption '!$B574,Production_Consumption!$AA$83:$AA$99,0),MATCH('County Scaled Consumption '!H$2,Production_Consumption!$AA$83:$AJ$83,0)))*'CA Population'!$L574*10^6</f>
        <v>578.83250448385195</v>
      </c>
      <c r="I574" s="143">
        <f>(INDEX(Production_Consumption!$AA$83:$AJ$99,MATCH('County Scaled Consumption '!$B574,Production_Consumption!$AA$83:$AA$99,0),MATCH('County Scaled Consumption '!I$2,Production_Consumption!$AA$83:$AJ$83,0)))*'CA Population'!$L574*10^6</f>
        <v>10531.391649670984</v>
      </c>
      <c r="J574" s="143">
        <f>(INDEX(Production_Consumption!$AA$83:$AJ$99,MATCH('County Scaled Consumption '!$B574,Production_Consumption!$AA$83:$AA$99,0),MATCH('County Scaled Consumption '!J$2,Production_Consumption!$AA$83:$AJ$83,0)))*'CA Population'!$L574*10^6</f>
        <v>7109.2365378503</v>
      </c>
      <c r="K574" s="143">
        <f>(INDEX(Production_Consumption!$AA$83:$AJ$99,MATCH('County Scaled Consumption '!$B574,Production_Consumption!$AA$83:$AA$99,0),MATCH('County Scaled Consumption '!K$2,Production_Consumption!$AA$83:$AJ$83,0)))*'CA Population'!$L574*10^6</f>
        <v>102540.48826591937</v>
      </c>
      <c r="L574" s="131">
        <f t="shared" si="8"/>
        <v>0</v>
      </c>
    </row>
    <row r="575" spans="1:12" x14ac:dyDescent="0.2">
      <c r="A575" s="132" t="s">
        <v>346</v>
      </c>
      <c r="B575" s="129">
        <v>2011</v>
      </c>
      <c r="C575" s="143">
        <f>(INDEX(Production_Consumption!$AA$83:$AJ$99,MATCH('County Scaled Consumption '!$B575,Production_Consumption!$AA$83:$AA$99,0),MATCH('County Scaled Consumption '!C$2,Production_Consumption!$AA$83:$AJ$83,0)))*'CA Population'!$L575*10^6</f>
        <v>4438.0704108543359</v>
      </c>
      <c r="D575" s="143">
        <f>(INDEX(Production_Consumption!$AA$83:$AJ$99,MATCH('County Scaled Consumption '!$B575,Production_Consumption!$AA$83:$AA$99,0),MATCH('County Scaled Consumption '!D$2,Production_Consumption!$AA$83:$AJ$83,0)))*'CA Population'!$L575*10^6</f>
        <v>18584.397941018029</v>
      </c>
      <c r="E575" s="143">
        <f>(INDEX(Production_Consumption!$AA$83:$AJ$99,MATCH('County Scaled Consumption '!$B575,Production_Consumption!$AA$83:$AA$99,0),MATCH('County Scaled Consumption '!E$2,Production_Consumption!$AA$83:$AJ$83,0)))*'CA Population'!$L575*10^6</f>
        <v>9669.681697926675</v>
      </c>
      <c r="F575" s="143">
        <f>(INDEX(Production_Consumption!$AA$83:$AJ$99,MATCH('County Scaled Consumption '!$B575,Production_Consumption!$AA$83:$AA$99,0),MATCH('County Scaled Consumption '!F$2,Production_Consumption!$AA$83:$AJ$83,0)))*'CA Population'!$L575*10^6</f>
        <v>3905.9019439936328</v>
      </c>
      <c r="G575" s="143">
        <f>(INDEX(Production_Consumption!$AA$83:$AJ$99,MATCH('County Scaled Consumption '!$B575,Production_Consumption!$AA$83:$AA$99,0),MATCH('County Scaled Consumption '!G$2,Production_Consumption!$AA$83:$AJ$83,0)))*'CA Population'!$L575*10^6</f>
        <v>12711.855348215606</v>
      </c>
      <c r="H575" s="143">
        <f>(INDEX(Production_Consumption!$AA$83:$AJ$99,MATCH('County Scaled Consumption '!$B575,Production_Consumption!$AA$83:$AA$99,0),MATCH('County Scaled Consumption '!H$2,Production_Consumption!$AA$83:$AJ$83,0)))*'CA Population'!$L575*10^6</f>
        <v>338.49418091616349</v>
      </c>
      <c r="I575" s="143">
        <f>(INDEX(Production_Consumption!$AA$83:$AJ$99,MATCH('County Scaled Consumption '!$B575,Production_Consumption!$AA$83:$AA$99,0),MATCH('County Scaled Consumption '!I$2,Production_Consumption!$AA$83:$AJ$83,0)))*'CA Population'!$L575*10^6</f>
        <v>6158.6292455042212</v>
      </c>
      <c r="J575" s="143">
        <f>(INDEX(Production_Consumption!$AA$83:$AJ$99,MATCH('County Scaled Consumption '!$B575,Production_Consumption!$AA$83:$AA$99,0),MATCH('County Scaled Consumption '!J$2,Production_Consumption!$AA$83:$AJ$83,0)))*'CA Population'!$L575*10^6</f>
        <v>4157.3947215779281</v>
      </c>
      <c r="K575" s="143">
        <f>(INDEX(Production_Consumption!$AA$83:$AJ$99,MATCH('County Scaled Consumption '!$B575,Production_Consumption!$AA$83:$AA$99,0),MATCH('County Scaled Consumption '!K$2,Production_Consumption!$AA$83:$AJ$83,0)))*'CA Population'!$L575*10^6</f>
        <v>59964.425490006593</v>
      </c>
      <c r="L575" s="131">
        <f t="shared" si="8"/>
        <v>0</v>
      </c>
    </row>
    <row r="576" spans="1:12" x14ac:dyDescent="0.2">
      <c r="A576" s="132" t="s">
        <v>347</v>
      </c>
      <c r="B576" s="129">
        <v>2011</v>
      </c>
      <c r="C576" s="143">
        <f>(INDEX(Production_Consumption!$AA$83:$AJ$99,MATCH('County Scaled Consumption '!$B576,Production_Consumption!$AA$83:$AA$99,0),MATCH('County Scaled Consumption '!C$2,Production_Consumption!$AA$83:$AJ$83,0)))*'CA Population'!$L576*10^6</f>
        <v>18860.80716951385</v>
      </c>
      <c r="D576" s="143">
        <f>(INDEX(Production_Consumption!$AA$83:$AJ$99,MATCH('County Scaled Consumption '!$B576,Production_Consumption!$AA$83:$AA$99,0),MATCH('County Scaled Consumption '!D$2,Production_Consumption!$AA$83:$AJ$83,0)))*'CA Population'!$L576*10^6</f>
        <v>78979.536933389085</v>
      </c>
      <c r="E576" s="143">
        <f>(INDEX(Production_Consumption!$AA$83:$AJ$99,MATCH('County Scaled Consumption '!$B576,Production_Consumption!$AA$83:$AA$99,0),MATCH('County Scaled Consumption '!E$2,Production_Consumption!$AA$83:$AJ$83,0)))*'CA Population'!$L576*10^6</f>
        <v>41093.985676550874</v>
      </c>
      <c r="F576" s="143">
        <f>(INDEX(Production_Consumption!$AA$83:$AJ$99,MATCH('County Scaled Consumption '!$B576,Production_Consumption!$AA$83:$AA$99,0),MATCH('County Scaled Consumption '!F$2,Production_Consumption!$AA$83:$AJ$83,0)))*'CA Population'!$L576*10^6</f>
        <v>16599.210145138706</v>
      </c>
      <c r="G576" s="143">
        <f>(INDEX(Production_Consumption!$AA$83:$AJ$99,MATCH('County Scaled Consumption '!$B576,Production_Consumption!$AA$83:$AA$99,0),MATCH('County Scaled Consumption '!G$2,Production_Consumption!$AA$83:$AJ$83,0)))*'CA Population'!$L576*10^6</f>
        <v>54022.543649390747</v>
      </c>
      <c r="H576" s="143">
        <f>(INDEX(Production_Consumption!$AA$83:$AJ$99,MATCH('County Scaled Consumption '!$B576,Production_Consumption!$AA$83:$AA$99,0),MATCH('County Scaled Consumption '!H$2,Production_Consumption!$AA$83:$AJ$83,0)))*'CA Population'!$L576*10^6</f>
        <v>1438.524602639937</v>
      </c>
      <c r="I576" s="143">
        <f>(INDEX(Production_Consumption!$AA$83:$AJ$99,MATCH('County Scaled Consumption '!$B576,Production_Consumption!$AA$83:$AA$99,0),MATCH('County Scaled Consumption '!I$2,Production_Consumption!$AA$83:$AJ$83,0)))*'CA Population'!$L576*10^6</f>
        <v>26172.797606792214</v>
      </c>
      <c r="J576" s="143">
        <f>(INDEX(Production_Consumption!$AA$83:$AJ$99,MATCH('County Scaled Consumption '!$B576,Production_Consumption!$AA$83:$AA$99,0),MATCH('County Scaled Consumption '!J$2,Production_Consumption!$AA$83:$AJ$83,0)))*'CA Population'!$L576*10^6</f>
        <v>17667.998231722882</v>
      </c>
      <c r="K576" s="143">
        <f>(INDEX(Production_Consumption!$AA$83:$AJ$99,MATCH('County Scaled Consumption '!$B576,Production_Consumption!$AA$83:$AA$99,0),MATCH('County Scaled Consumption '!K$2,Production_Consumption!$AA$83:$AJ$83,0)))*'CA Population'!$L576*10^6</f>
        <v>254835.40401513831</v>
      </c>
      <c r="L576" s="131">
        <f t="shared" si="8"/>
        <v>0</v>
      </c>
    </row>
    <row r="577" spans="1:12" x14ac:dyDescent="0.2">
      <c r="A577" s="132" t="s">
        <v>348</v>
      </c>
      <c r="B577" s="129">
        <v>2011</v>
      </c>
      <c r="C577" s="143">
        <f>(INDEX(Production_Consumption!$AA$83:$AJ$99,MATCH('County Scaled Consumption '!$B577,Production_Consumption!$AA$83:$AA$99,0),MATCH('County Scaled Consumption '!C$2,Production_Consumption!$AA$83:$AJ$83,0)))*'CA Population'!$L577*10^6</f>
        <v>2770.45227502118</v>
      </c>
      <c r="D577" s="143">
        <f>(INDEX(Production_Consumption!$AA$83:$AJ$99,MATCH('County Scaled Consumption '!$B577,Production_Consumption!$AA$83:$AA$99,0),MATCH('County Scaled Consumption '!D$2,Production_Consumption!$AA$83:$AJ$83,0)))*'CA Population'!$L577*10^6</f>
        <v>11601.255227873</v>
      </c>
      <c r="E577" s="143">
        <f>(INDEX(Production_Consumption!$AA$83:$AJ$99,MATCH('County Scaled Consumption '!$B577,Production_Consumption!$AA$83:$AA$99,0),MATCH('County Scaled Consumption '!E$2,Production_Consumption!$AA$83:$AJ$83,0)))*'CA Population'!$L577*10^6</f>
        <v>6036.2700855831226</v>
      </c>
      <c r="F577" s="143">
        <f>(INDEX(Production_Consumption!$AA$83:$AJ$99,MATCH('County Scaled Consumption '!$B577,Production_Consumption!$AA$83:$AA$99,0),MATCH('County Scaled Consumption '!F$2,Production_Consumption!$AA$83:$AJ$83,0)))*'CA Population'!$L577*10^6</f>
        <v>2438.2476898701852</v>
      </c>
      <c r="G577" s="143">
        <f>(INDEX(Production_Consumption!$AA$83:$AJ$99,MATCH('County Scaled Consumption '!$B577,Production_Consumption!$AA$83:$AA$99,0),MATCH('County Scaled Consumption '!G$2,Production_Consumption!$AA$83:$AJ$83,0)))*'CA Population'!$L577*10^6</f>
        <v>7935.3379529696622</v>
      </c>
      <c r="H577" s="143">
        <f>(INDEX(Production_Consumption!$AA$83:$AJ$99,MATCH('County Scaled Consumption '!$B577,Production_Consumption!$AA$83:$AA$99,0),MATCH('County Scaled Consumption '!H$2,Production_Consumption!$AA$83:$AJ$83,0)))*'CA Population'!$L577*10^6</f>
        <v>211.30398727047043</v>
      </c>
      <c r="I577" s="143">
        <f>(INDEX(Production_Consumption!$AA$83:$AJ$99,MATCH('County Scaled Consumption '!$B577,Production_Consumption!$AA$83:$AA$99,0),MATCH('County Scaled Consumption '!I$2,Production_Consumption!$AA$83:$AJ$83,0)))*'CA Population'!$L577*10^6</f>
        <v>3844.5060183113778</v>
      </c>
      <c r="J577" s="143">
        <f>(INDEX(Production_Consumption!$AA$83:$AJ$99,MATCH('County Scaled Consumption '!$B577,Production_Consumption!$AA$83:$AA$99,0),MATCH('County Scaled Consumption '!J$2,Production_Consumption!$AA$83:$AJ$83,0)))*'CA Population'!$L577*10^6</f>
        <v>2595.2413094634544</v>
      </c>
      <c r="K577" s="143">
        <f>(INDEX(Production_Consumption!$AA$83:$AJ$99,MATCH('County Scaled Consumption '!$B577,Production_Consumption!$AA$83:$AA$99,0),MATCH('County Scaled Consumption '!K$2,Production_Consumption!$AA$83:$AJ$83,0)))*'CA Population'!$L577*10^6</f>
        <v>37432.614546362449</v>
      </c>
      <c r="L577" s="131">
        <f t="shared" si="8"/>
        <v>0</v>
      </c>
    </row>
    <row r="578" spans="1:12" x14ac:dyDescent="0.2">
      <c r="A578" s="132" t="s">
        <v>349</v>
      </c>
      <c r="B578" s="129">
        <v>2011</v>
      </c>
      <c r="C578" s="143">
        <f>(INDEX(Production_Consumption!$AA$83:$AJ$99,MATCH('County Scaled Consumption '!$B578,Production_Consumption!$AA$83:$AA$99,0),MATCH('County Scaled Consumption '!C$2,Production_Consumption!$AA$83:$AJ$83,0)))*'CA Population'!$L578*10^6</f>
        <v>1857.5747007236939</v>
      </c>
      <c r="D578" s="143">
        <f>(INDEX(Production_Consumption!$AA$83:$AJ$99,MATCH('County Scaled Consumption '!$B578,Production_Consumption!$AA$83:$AA$99,0),MATCH('County Scaled Consumption '!D$2,Production_Consumption!$AA$83:$AJ$83,0)))*'CA Population'!$L578*10^6</f>
        <v>7778.5848910790673</v>
      </c>
      <c r="E578" s="143">
        <f>(INDEX(Production_Consumption!$AA$83:$AJ$99,MATCH('County Scaled Consumption '!$B578,Production_Consumption!$AA$83:$AA$99,0),MATCH('County Scaled Consumption '!E$2,Production_Consumption!$AA$83:$AJ$83,0)))*'CA Population'!$L578*10^6</f>
        <v>4047.2895703026452</v>
      </c>
      <c r="F578" s="143">
        <f>(INDEX(Production_Consumption!$AA$83:$AJ$99,MATCH('County Scaled Consumption '!$B578,Production_Consumption!$AA$83:$AA$99,0),MATCH('County Scaled Consumption '!F$2,Production_Consumption!$AA$83:$AJ$83,0)))*'CA Population'!$L578*10^6</f>
        <v>1634.8331511201443</v>
      </c>
      <c r="G578" s="143">
        <f>(INDEX(Production_Consumption!$AA$83:$AJ$99,MATCH('County Scaled Consumption '!$B578,Production_Consumption!$AA$83:$AA$99,0),MATCH('County Scaled Consumption '!G$2,Production_Consumption!$AA$83:$AJ$83,0)))*'CA Population'!$L578*10^6</f>
        <v>5320.6052874584539</v>
      </c>
      <c r="H578" s="143">
        <f>(INDEX(Production_Consumption!$AA$83:$AJ$99,MATCH('County Scaled Consumption '!$B578,Production_Consumption!$AA$83:$AA$99,0),MATCH('County Scaled Consumption '!H$2,Production_Consumption!$AA$83:$AJ$83,0)))*'CA Population'!$L578*10^6</f>
        <v>141.67829002312146</v>
      </c>
      <c r="I578" s="143">
        <f>(INDEX(Production_Consumption!$AA$83:$AJ$99,MATCH('County Scaled Consumption '!$B578,Production_Consumption!$AA$83:$AA$99,0),MATCH('County Scaled Consumption '!I$2,Production_Consumption!$AA$83:$AJ$83,0)))*'CA Population'!$L578*10^6</f>
        <v>2577.7224826371003</v>
      </c>
      <c r="J578" s="143">
        <f>(INDEX(Production_Consumption!$AA$83:$AJ$99,MATCH('County Scaled Consumption '!$B578,Production_Consumption!$AA$83:$AA$99,0),MATCH('County Scaled Consumption '!J$2,Production_Consumption!$AA$83:$AJ$83,0)))*'CA Population'!$L578*10^6</f>
        <v>1740.0966052358685</v>
      </c>
      <c r="K578" s="143">
        <f>(INDEX(Production_Consumption!$AA$83:$AJ$99,MATCH('County Scaled Consumption '!$B578,Production_Consumption!$AA$83:$AA$99,0),MATCH('County Scaled Consumption '!K$2,Production_Consumption!$AA$83:$AJ$83,0)))*'CA Population'!$L578*10^6</f>
        <v>25098.384978580092</v>
      </c>
      <c r="L578" s="131">
        <f t="shared" si="8"/>
        <v>0</v>
      </c>
    </row>
    <row r="579" spans="1:12" x14ac:dyDescent="0.2">
      <c r="A579" s="132" t="s">
        <v>350</v>
      </c>
      <c r="B579" s="129">
        <v>2011</v>
      </c>
      <c r="C579" s="143">
        <f>(INDEX(Production_Consumption!$AA$83:$AJ$99,MATCH('County Scaled Consumption '!$B579,Production_Consumption!$AA$83:$AA$99,0),MATCH('County Scaled Consumption '!C$2,Production_Consumption!$AA$83:$AJ$83,0)))*'CA Population'!$L579*10^6</f>
        <v>33.845477009908379</v>
      </c>
      <c r="D579" s="143">
        <f>(INDEX(Production_Consumption!$AA$83:$AJ$99,MATCH('County Scaled Consumption '!$B579,Production_Consumption!$AA$83:$AA$99,0),MATCH('County Scaled Consumption '!D$2,Production_Consumption!$AA$83:$AJ$83,0)))*'CA Population'!$L579*10^6</f>
        <v>141.72776793206202</v>
      </c>
      <c r="E579" s="143">
        <f>(INDEX(Production_Consumption!$AA$83:$AJ$99,MATCH('County Scaled Consumption '!$B579,Production_Consumption!$AA$83:$AA$99,0),MATCH('County Scaled Consumption '!E$2,Production_Consumption!$AA$83:$AJ$83,0)))*'CA Population'!$L579*10^6</f>
        <v>73.742631211952357</v>
      </c>
      <c r="F579" s="143">
        <f>(INDEX(Production_Consumption!$AA$83:$AJ$99,MATCH('County Scaled Consumption '!$B579,Production_Consumption!$AA$83:$AA$99,0),MATCH('County Scaled Consumption '!F$2,Production_Consumption!$AA$83:$AJ$83,0)))*'CA Population'!$L579*10^6</f>
        <v>29.787070102600012</v>
      </c>
      <c r="G579" s="143">
        <f>(INDEX(Production_Consumption!$AA$83:$AJ$99,MATCH('County Scaled Consumption '!$B579,Production_Consumption!$AA$83:$AA$99,0),MATCH('County Scaled Consumption '!G$2,Production_Consumption!$AA$83:$AJ$83,0)))*'CA Population'!$L579*10^6</f>
        <v>96.942762982998843</v>
      </c>
      <c r="H579" s="143">
        <f>(INDEX(Production_Consumption!$AA$83:$AJ$99,MATCH('County Scaled Consumption '!$B579,Production_Consumption!$AA$83:$AA$99,0),MATCH('County Scaled Consumption '!H$2,Production_Consumption!$AA$83:$AJ$83,0)))*'CA Population'!$L579*10^6</f>
        <v>2.5814139834659331</v>
      </c>
      <c r="I579" s="143">
        <f>(INDEX(Production_Consumption!$AA$83:$AJ$99,MATCH('County Scaled Consumption '!$B579,Production_Consumption!$AA$83:$AA$99,0),MATCH('County Scaled Consumption '!I$2,Production_Consumption!$AA$83:$AJ$83,0)))*'CA Population'!$L579*10^6</f>
        <v>46.966750241607173</v>
      </c>
      <c r="J579" s="143">
        <f>(INDEX(Production_Consumption!$AA$83:$AJ$99,MATCH('County Scaled Consumption '!$B579,Production_Consumption!$AA$83:$AA$99,0),MATCH('County Scaled Consumption '!J$2,Production_Consumption!$AA$83:$AJ$83,0)))*'CA Population'!$L579*10^6</f>
        <v>31.704996641365486</v>
      </c>
      <c r="K579" s="143">
        <f>(INDEX(Production_Consumption!$AA$83:$AJ$99,MATCH('County Scaled Consumption '!$B579,Production_Consumption!$AA$83:$AA$99,0),MATCH('County Scaled Consumption '!K$2,Production_Consumption!$AA$83:$AJ$83,0)))*'CA Population'!$L579*10^6</f>
        <v>457.29887010596019</v>
      </c>
      <c r="L579" s="131">
        <f t="shared" si="8"/>
        <v>0</v>
      </c>
    </row>
    <row r="580" spans="1:12" x14ac:dyDescent="0.2">
      <c r="A580" s="132" t="s">
        <v>351</v>
      </c>
      <c r="B580" s="129">
        <v>2011</v>
      </c>
      <c r="C580" s="143">
        <f>(INDEX(Production_Consumption!$AA$83:$AJ$99,MATCH('County Scaled Consumption '!$B580,Production_Consumption!$AA$83:$AA$99,0),MATCH('County Scaled Consumption '!C$2,Production_Consumption!$AA$83:$AJ$83,0)))*'CA Population'!$L580*10^6</f>
        <v>469.55508431765514</v>
      </c>
      <c r="D580" s="143">
        <f>(INDEX(Production_Consumption!$AA$83:$AJ$99,MATCH('County Scaled Consumption '!$B580,Production_Consumption!$AA$83:$AA$99,0),MATCH('County Scaled Consumption '!D$2,Production_Consumption!$AA$83:$AJ$83,0)))*'CA Population'!$L580*10^6</f>
        <v>1966.2595980553024</v>
      </c>
      <c r="E580" s="143">
        <f>(INDEX(Production_Consumption!$AA$83:$AJ$99,MATCH('County Scaled Consumption '!$B580,Production_Consumption!$AA$83:$AA$99,0),MATCH('County Scaled Consumption '!E$2,Production_Consumption!$AA$83:$AJ$83,0)))*'CA Population'!$L580*10^6</f>
        <v>1023.068086952862</v>
      </c>
      <c r="F580" s="143">
        <f>(INDEX(Production_Consumption!$AA$83:$AJ$99,MATCH('County Scaled Consumption '!$B580,Production_Consumption!$AA$83:$AA$99,0),MATCH('County Scaled Consumption '!F$2,Production_Consumption!$AA$83:$AJ$83,0)))*'CA Population'!$L580*10^6</f>
        <v>413.25079299392377</v>
      </c>
      <c r="G580" s="143">
        <f>(INDEX(Production_Consumption!$AA$83:$AJ$99,MATCH('County Scaled Consumption '!$B580,Production_Consumption!$AA$83:$AA$99,0),MATCH('County Scaled Consumption '!G$2,Production_Consumption!$AA$83:$AJ$83,0)))*'CA Population'!$L580*10^6</f>
        <v>1344.935018441086</v>
      </c>
      <c r="H580" s="143">
        <f>(INDEX(Production_Consumption!$AA$83:$AJ$99,MATCH('County Scaled Consumption '!$B580,Production_Consumption!$AA$83:$AA$99,0),MATCH('County Scaled Consumption '!H$2,Production_Consumption!$AA$83:$AJ$83,0)))*'CA Population'!$L580*10^6</f>
        <v>35.813236147041721</v>
      </c>
      <c r="I580" s="143">
        <f>(INDEX(Production_Consumption!$AA$83:$AJ$99,MATCH('County Scaled Consumption '!$B580,Production_Consumption!$AA$83:$AA$99,0),MATCH('County Scaled Consumption '!I$2,Production_Consumption!$AA$83:$AJ$83,0)))*'CA Population'!$L580*10^6</f>
        <v>651.59301384252547</v>
      </c>
      <c r="J580" s="143">
        <f>(INDEX(Production_Consumption!$AA$83:$AJ$99,MATCH('County Scaled Consumption '!$B580,Production_Consumption!$AA$83:$AA$99,0),MATCH('County Scaled Consumption '!J$2,Production_Consumption!$AA$83:$AJ$83,0)))*'CA Population'!$L580*10^6</f>
        <v>439.85913884059164</v>
      </c>
      <c r="K580" s="143">
        <f>(INDEX(Production_Consumption!$AA$83:$AJ$99,MATCH('County Scaled Consumption '!$B580,Production_Consumption!$AA$83:$AA$99,0),MATCH('County Scaled Consumption '!K$2,Production_Consumption!$AA$83:$AJ$83,0)))*'CA Population'!$L580*10^6</f>
        <v>6344.3339695909881</v>
      </c>
      <c r="L580" s="131">
        <f t="shared" ref="L580:L643" si="9">K580-SUM(C580:J580)</f>
        <v>0</v>
      </c>
    </row>
    <row r="581" spans="1:12" x14ac:dyDescent="0.2">
      <c r="A581" s="132" t="s">
        <v>352</v>
      </c>
      <c r="B581" s="129">
        <v>2011</v>
      </c>
      <c r="C581" s="143">
        <f>(INDEX(Production_Consumption!$AA$83:$AJ$99,MATCH('County Scaled Consumption '!$B581,Production_Consumption!$AA$83:$AA$99,0),MATCH('County Scaled Consumption '!C$2,Production_Consumption!$AA$83:$AJ$83,0)))*'CA Population'!$L581*10^6</f>
        <v>4313.162743308666</v>
      </c>
      <c r="D581" s="143">
        <f>(INDEX(Production_Consumption!$AA$83:$AJ$99,MATCH('County Scaled Consumption '!$B581,Production_Consumption!$AA$83:$AA$99,0),MATCH('County Scaled Consumption '!D$2,Production_Consumption!$AA$83:$AJ$83,0)))*'CA Population'!$L581*10^6</f>
        <v>18061.347699661845</v>
      </c>
      <c r="E581" s="143">
        <f>(INDEX(Production_Consumption!$AA$83:$AJ$99,MATCH('County Scaled Consumption '!$B581,Production_Consumption!$AA$83:$AA$99,0),MATCH('County Scaled Consumption '!E$2,Production_Consumption!$AA$83:$AJ$83,0)))*'CA Population'!$L581*10^6</f>
        <v>9397.5324810410984</v>
      </c>
      <c r="F581" s="143">
        <f>(INDEX(Production_Consumption!$AA$83:$AJ$99,MATCH('County Scaled Consumption '!$B581,Production_Consumption!$AA$83:$AA$99,0),MATCH('County Scaled Consumption '!F$2,Production_Consumption!$AA$83:$AJ$83,0)))*'CA Population'!$L581*10^6</f>
        <v>3795.9719392120223</v>
      </c>
      <c r="G581" s="143">
        <f>(INDEX(Production_Consumption!$AA$83:$AJ$99,MATCH('County Scaled Consumption '!$B581,Production_Consumption!$AA$83:$AA$99,0),MATCH('County Scaled Consumption '!G$2,Production_Consumption!$AA$83:$AJ$83,0)))*'CA Population'!$L581*10^6</f>
        <v>12354.085404358879</v>
      </c>
      <c r="H581" s="143">
        <f>(INDEX(Production_Consumption!$AA$83:$AJ$99,MATCH('County Scaled Consumption '!$B581,Production_Consumption!$AA$83:$AA$99,0),MATCH('County Scaled Consumption '!H$2,Production_Consumption!$AA$83:$AJ$83,0)))*'CA Population'!$L581*10^6</f>
        <v>328.96740132460656</v>
      </c>
      <c r="I581" s="143">
        <f>(INDEX(Production_Consumption!$AA$83:$AJ$99,MATCH('County Scaled Consumption '!$B581,Production_Consumption!$AA$83:$AA$99,0),MATCH('County Scaled Consumption '!I$2,Production_Consumption!$AA$83:$AJ$83,0)))*'CA Population'!$L581*10^6</f>
        <v>5985.297156753878</v>
      </c>
      <c r="J581" s="143">
        <f>(INDEX(Production_Consumption!$AA$83:$AJ$99,MATCH('County Scaled Consumption '!$B581,Production_Consumption!$AA$83:$AA$99,0),MATCH('County Scaled Consumption '!J$2,Production_Consumption!$AA$83:$AJ$83,0)))*'CA Population'!$L581*10^6</f>
        <v>4040.3865559415904</v>
      </c>
      <c r="K581" s="143">
        <f>(INDEX(Production_Consumption!$AA$83:$AJ$99,MATCH('County Scaled Consumption '!$B581,Production_Consumption!$AA$83:$AA$99,0),MATCH('County Scaled Consumption '!K$2,Production_Consumption!$AA$83:$AJ$83,0)))*'CA Population'!$L581*10^6</f>
        <v>58276.751381602582</v>
      </c>
      <c r="L581" s="131">
        <f t="shared" si="9"/>
        <v>0</v>
      </c>
    </row>
    <row r="582" spans="1:12" x14ac:dyDescent="0.2">
      <c r="A582" s="132" t="s">
        <v>353</v>
      </c>
      <c r="B582" s="129">
        <v>2011</v>
      </c>
      <c r="C582" s="143">
        <f>(INDEX(Production_Consumption!$AA$83:$AJ$99,MATCH('County Scaled Consumption '!$B582,Production_Consumption!$AA$83:$AA$99,0),MATCH('County Scaled Consumption '!C$2,Production_Consumption!$AA$83:$AJ$83,0)))*'CA Population'!$L582*10^6</f>
        <v>5076.0487760161132</v>
      </c>
      <c r="D582" s="143">
        <f>(INDEX(Production_Consumption!$AA$83:$AJ$99,MATCH('County Scaled Consumption '!$B582,Production_Consumption!$AA$83:$AA$99,0),MATCH('County Scaled Consumption '!D$2,Production_Consumption!$AA$83:$AJ$83,0)))*'CA Population'!$L582*10^6</f>
        <v>21255.929196342167</v>
      </c>
      <c r="E582" s="143">
        <f>(INDEX(Production_Consumption!$AA$83:$AJ$99,MATCH('County Scaled Consumption '!$B582,Production_Consumption!$AA$83:$AA$99,0),MATCH('County Scaled Consumption '!E$2,Production_Consumption!$AA$83:$AJ$83,0)))*'CA Population'!$L582*10^6</f>
        <v>11059.710956180485</v>
      </c>
      <c r="F582" s="143">
        <f>(INDEX(Production_Consumption!$AA$83:$AJ$99,MATCH('County Scaled Consumption '!$B582,Production_Consumption!$AA$83:$AA$99,0),MATCH('County Scaled Consumption '!F$2,Production_Consumption!$AA$83:$AJ$83,0)))*'CA Population'!$L582*10^6</f>
        <v>4467.3804033296519</v>
      </c>
      <c r="G582" s="143">
        <f>(INDEX(Production_Consumption!$AA$83:$AJ$99,MATCH('County Scaled Consumption '!$B582,Production_Consumption!$AA$83:$AA$99,0),MATCH('County Scaled Consumption '!G$2,Production_Consumption!$AA$83:$AJ$83,0)))*'CA Population'!$L582*10^6</f>
        <v>14539.201005777271</v>
      </c>
      <c r="H582" s="143">
        <f>(INDEX(Production_Consumption!$AA$83:$AJ$99,MATCH('County Scaled Consumption '!$B582,Production_Consumption!$AA$83:$AA$99,0),MATCH('County Scaled Consumption '!H$2,Production_Consumption!$AA$83:$AJ$83,0)))*'CA Population'!$L582*10^6</f>
        <v>387.15315749064695</v>
      </c>
      <c r="I582" s="143">
        <f>(INDEX(Production_Consumption!$AA$83:$AJ$99,MATCH('County Scaled Consumption '!$B582,Production_Consumption!$AA$83:$AA$99,0),MATCH('County Scaled Consumption '!I$2,Production_Consumption!$AA$83:$AJ$83,0)))*'CA Population'!$L582*10^6</f>
        <v>7043.940169836299</v>
      </c>
      <c r="J582" s="143">
        <f>(INDEX(Production_Consumption!$AA$83:$AJ$99,MATCH('County Scaled Consumption '!$B582,Production_Consumption!$AA$83:$AA$99,0),MATCH('County Scaled Consumption '!J$2,Production_Consumption!$AA$83:$AJ$83,0)))*'CA Population'!$L582*10^6</f>
        <v>4755.0255931651855</v>
      </c>
      <c r="K582" s="143">
        <f>(INDEX(Production_Consumption!$AA$83:$AJ$99,MATCH('County Scaled Consumption '!$B582,Production_Consumption!$AA$83:$AA$99,0),MATCH('County Scaled Consumption '!K$2,Production_Consumption!$AA$83:$AJ$83,0)))*'CA Population'!$L582*10^6</f>
        <v>68584.389258137831</v>
      </c>
      <c r="L582" s="131">
        <f t="shared" si="9"/>
        <v>0</v>
      </c>
    </row>
    <row r="583" spans="1:12" x14ac:dyDescent="0.2">
      <c r="A583" s="132" t="s">
        <v>354</v>
      </c>
      <c r="B583" s="129">
        <v>2011</v>
      </c>
      <c r="C583" s="143">
        <f>(INDEX(Production_Consumption!$AA$83:$AJ$99,MATCH('County Scaled Consumption '!$B583,Production_Consumption!$AA$83:$AA$99,0),MATCH('County Scaled Consumption '!C$2,Production_Consumption!$AA$83:$AJ$83,0)))*'CA Population'!$L583*10^6</f>
        <v>5409.7937929120299</v>
      </c>
      <c r="D583" s="143">
        <f>(INDEX(Production_Consumption!$AA$83:$AJ$99,MATCH('County Scaled Consumption '!$B583,Production_Consumption!$AA$83:$AA$99,0),MATCH('County Scaled Consumption '!D$2,Production_Consumption!$AA$83:$AJ$83,0)))*'CA Population'!$L583*10^6</f>
        <v>22653.484807369867</v>
      </c>
      <c r="E583" s="143">
        <f>(INDEX(Production_Consumption!$AA$83:$AJ$99,MATCH('County Scaled Consumption '!$B583,Production_Consumption!$AA$83:$AA$99,0),MATCH('County Scaled Consumption '!E$2,Production_Consumption!$AA$83:$AJ$83,0)))*'CA Population'!$L583*10^6</f>
        <v>11786.875643284091</v>
      </c>
      <c r="F583" s="143">
        <f>(INDEX(Production_Consumption!$AA$83:$AJ$99,MATCH('County Scaled Consumption '!$B583,Production_Consumption!$AA$83:$AA$99,0),MATCH('County Scaled Consumption '!F$2,Production_Consumption!$AA$83:$AJ$83,0)))*'CA Population'!$L583*10^6</f>
        <v>4761.1060970689296</v>
      </c>
      <c r="G583" s="143">
        <f>(INDEX(Production_Consumption!$AA$83:$AJ$99,MATCH('County Scaled Consumption '!$B583,Production_Consumption!$AA$83:$AA$99,0),MATCH('County Scaled Consumption '!G$2,Production_Consumption!$AA$83:$AJ$83,0)))*'CA Population'!$L583*10^6</f>
        <v>15495.138605954275</v>
      </c>
      <c r="H583" s="143">
        <f>(INDEX(Production_Consumption!$AA$83:$AJ$99,MATCH('County Scaled Consumption '!$B583,Production_Consumption!$AA$83:$AA$99,0),MATCH('County Scaled Consumption '!H$2,Production_Consumption!$AA$83:$AJ$83,0)))*'CA Population'!$L583*10^6</f>
        <v>412.60808174167687</v>
      </c>
      <c r="I583" s="143">
        <f>(INDEX(Production_Consumption!$AA$83:$AJ$99,MATCH('County Scaled Consumption '!$B583,Production_Consumption!$AA$83:$AA$99,0),MATCH('County Scaled Consumption '!I$2,Production_Consumption!$AA$83:$AJ$83,0)))*'CA Population'!$L583*10^6</f>
        <v>7507.0720337583998</v>
      </c>
      <c r="J583" s="143">
        <f>(INDEX(Production_Consumption!$AA$83:$AJ$99,MATCH('County Scaled Consumption '!$B583,Production_Consumption!$AA$83:$AA$99,0),MATCH('County Scaled Consumption '!J$2,Production_Consumption!$AA$83:$AJ$83,0)))*'CA Population'!$L583*10^6</f>
        <v>5067.6636640264642</v>
      </c>
      <c r="K583" s="143">
        <f>(INDEX(Production_Consumption!$AA$83:$AJ$99,MATCH('County Scaled Consumption '!$B583,Production_Consumption!$AA$83:$AA$99,0),MATCH('County Scaled Consumption '!K$2,Production_Consumption!$AA$83:$AJ$83,0)))*'CA Population'!$L583*10^6</f>
        <v>73093.742726115743</v>
      </c>
      <c r="L583" s="131">
        <f t="shared" si="9"/>
        <v>0</v>
      </c>
    </row>
    <row r="584" spans="1:12" x14ac:dyDescent="0.2">
      <c r="A584" s="132" t="s">
        <v>355</v>
      </c>
      <c r="B584" s="129">
        <v>2011</v>
      </c>
      <c r="C584" s="143">
        <f>(INDEX(Production_Consumption!$AA$83:$AJ$99,MATCH('County Scaled Consumption '!$B584,Production_Consumption!$AA$83:$AA$99,0),MATCH('County Scaled Consumption '!C$2,Production_Consumption!$AA$83:$AJ$83,0)))*'CA Population'!$L584*10^6</f>
        <v>988.26495428345561</v>
      </c>
      <c r="D584" s="143">
        <f>(INDEX(Production_Consumption!$AA$83:$AJ$99,MATCH('County Scaled Consumption '!$B584,Production_Consumption!$AA$83:$AA$99,0),MATCH('County Scaled Consumption '!D$2,Production_Consumption!$AA$83:$AJ$83,0)))*'CA Population'!$L584*10^6</f>
        <v>4138.3546184050256</v>
      </c>
      <c r="E584" s="143">
        <f>(INDEX(Production_Consumption!$AA$83:$AJ$99,MATCH('County Scaled Consumption '!$B584,Production_Consumption!$AA$83:$AA$99,0),MATCH('County Scaled Consumption '!E$2,Production_Consumption!$AA$83:$AJ$83,0)))*'CA Population'!$L584*10^6</f>
        <v>2153.234774681614</v>
      </c>
      <c r="F584" s="143">
        <f>(INDEX(Production_Consumption!$AA$83:$AJ$99,MATCH('County Scaled Consumption '!$B584,Production_Consumption!$AA$83:$AA$99,0),MATCH('County Scaled Consumption '!F$2,Production_Consumption!$AA$83:$AJ$83,0)))*'CA Population'!$L584*10^6</f>
        <v>869.7622274481804</v>
      </c>
      <c r="G584" s="143">
        <f>(INDEX(Production_Consumption!$AA$83:$AJ$99,MATCH('County Scaled Consumption '!$B584,Production_Consumption!$AA$83:$AA$99,0),MATCH('County Scaled Consumption '!G$2,Production_Consumption!$AA$83:$AJ$83,0)))*'CA Population'!$L584*10^6</f>
        <v>2830.6628740808687</v>
      </c>
      <c r="H584" s="143">
        <f>(INDEX(Production_Consumption!$AA$83:$AJ$99,MATCH('County Scaled Consumption '!$B584,Production_Consumption!$AA$83:$AA$99,0),MATCH('County Scaled Consumption '!H$2,Production_Consumption!$AA$83:$AJ$83,0)))*'CA Population'!$L584*10^6</f>
        <v>75.375536046065591</v>
      </c>
      <c r="I584" s="143">
        <f>(INDEX(Production_Consumption!$AA$83:$AJ$99,MATCH('County Scaled Consumption '!$B584,Production_Consumption!$AA$83:$AA$99,0),MATCH('County Scaled Consumption '!I$2,Production_Consumption!$AA$83:$AJ$83,0)))*'CA Population'!$L584*10^6</f>
        <v>1371.3972258915444</v>
      </c>
      <c r="J584" s="143">
        <f>(INDEX(Production_Consumption!$AA$83:$AJ$99,MATCH('County Scaled Consumption '!$B584,Production_Consumption!$AA$83:$AA$99,0),MATCH('County Scaled Consumption '!J$2,Production_Consumption!$AA$83:$AJ$83,0)))*'CA Population'!$L584*10^6</f>
        <v>925.76438048615319</v>
      </c>
      <c r="K584" s="143">
        <f>(INDEX(Production_Consumption!$AA$83:$AJ$99,MATCH('County Scaled Consumption '!$B584,Production_Consumption!$AA$83:$AA$99,0),MATCH('County Scaled Consumption '!K$2,Production_Consumption!$AA$83:$AJ$83,0)))*'CA Population'!$L584*10^6</f>
        <v>13352.816591322908</v>
      </c>
      <c r="L584" s="131">
        <f t="shared" si="9"/>
        <v>0</v>
      </c>
    </row>
    <row r="585" spans="1:12" x14ac:dyDescent="0.2">
      <c r="A585" s="132" t="s">
        <v>356</v>
      </c>
      <c r="B585" s="129">
        <v>2011</v>
      </c>
      <c r="C585" s="143">
        <f>(INDEX(Production_Consumption!$AA$83:$AJ$99,MATCH('County Scaled Consumption '!$B585,Production_Consumption!$AA$83:$AA$99,0),MATCH('County Scaled Consumption '!C$2,Production_Consumption!$AA$83:$AJ$83,0)))*'CA Population'!$L585*10^6</f>
        <v>660.98409976616813</v>
      </c>
      <c r="D585" s="143">
        <f>(INDEX(Production_Consumption!$AA$83:$AJ$99,MATCH('County Scaled Consumption '!$B585,Production_Consumption!$AA$83:$AA$99,0),MATCH('County Scaled Consumption '!D$2,Production_Consumption!$AA$83:$AJ$83,0)))*'CA Population'!$L585*10^6</f>
        <v>2767.8676554334661</v>
      </c>
      <c r="E585" s="143">
        <f>(INDEX(Production_Consumption!$AA$83:$AJ$99,MATCH('County Scaled Consumption '!$B585,Production_Consumption!$AA$83:$AA$99,0),MATCH('County Scaled Consumption '!E$2,Production_Consumption!$AA$83:$AJ$83,0)))*'CA Population'!$L585*10^6</f>
        <v>1440.1542247949781</v>
      </c>
      <c r="F585" s="143">
        <f>(INDEX(Production_Consumption!$AA$83:$AJ$99,MATCH('County Scaled Consumption '!$B585,Production_Consumption!$AA$83:$AA$99,0),MATCH('County Scaled Consumption '!F$2,Production_Consumption!$AA$83:$AJ$83,0)))*'CA Population'!$L585*10^6</f>
        <v>581.72557918669156</v>
      </c>
      <c r="G585" s="143">
        <f>(INDEX(Production_Consumption!$AA$83:$AJ$99,MATCH('County Scaled Consumption '!$B585,Production_Consumption!$AA$83:$AA$99,0),MATCH('County Scaled Consumption '!G$2,Production_Consumption!$AA$83:$AJ$83,0)))*'CA Population'!$L585*10^6</f>
        <v>1893.2404143810277</v>
      </c>
      <c r="H585" s="143">
        <f>(INDEX(Production_Consumption!$AA$83:$AJ$99,MATCH('County Scaled Consumption '!$B585,Production_Consumption!$AA$83:$AA$99,0),MATCH('County Scaled Consumption '!H$2,Production_Consumption!$AA$83:$AJ$83,0)))*'CA Population'!$L585*10^6</f>
        <v>50.413637174784391</v>
      </c>
      <c r="I585" s="143">
        <f>(INDEX(Production_Consumption!$AA$83:$AJ$99,MATCH('County Scaled Consumption '!$B585,Production_Consumption!$AA$83:$AA$99,0),MATCH('County Scaled Consumption '!I$2,Production_Consumption!$AA$83:$AJ$83,0)))*'CA Population'!$L585*10^6</f>
        <v>917.23556203101691</v>
      </c>
      <c r="J585" s="143">
        <f>(INDEX(Production_Consumption!$AA$83:$AJ$99,MATCH('County Scaled Consumption '!$B585,Production_Consumption!$AA$83:$AA$99,0),MATCH('County Scaled Consumption '!J$2,Production_Consumption!$AA$83:$AJ$83,0)))*'CA Population'!$L585*10^6</f>
        <v>619.18166072669794</v>
      </c>
      <c r="K585" s="143">
        <f>(INDEX(Production_Consumption!$AA$83:$AJ$99,MATCH('County Scaled Consumption '!$B585,Production_Consumption!$AA$83:$AA$99,0),MATCH('County Scaled Consumption '!K$2,Production_Consumption!$AA$83:$AJ$83,0)))*'CA Population'!$L585*10^6</f>
        <v>8930.8028334948303</v>
      </c>
      <c r="L585" s="131">
        <f t="shared" si="9"/>
        <v>0</v>
      </c>
    </row>
    <row r="586" spans="1:12" x14ac:dyDescent="0.2">
      <c r="A586" s="132" t="s">
        <v>357</v>
      </c>
      <c r="B586" s="129">
        <v>2011</v>
      </c>
      <c r="C586" s="143">
        <f>(INDEX(Production_Consumption!$AA$83:$AJ$99,MATCH('County Scaled Consumption '!$B586,Production_Consumption!$AA$83:$AA$99,0),MATCH('County Scaled Consumption '!C$2,Production_Consumption!$AA$83:$AJ$83,0)))*'CA Population'!$L586*10^6</f>
        <v>143.60047959372113</v>
      </c>
      <c r="D586" s="143">
        <f>(INDEX(Production_Consumption!$AA$83:$AJ$99,MATCH('County Scaled Consumption '!$B586,Production_Consumption!$AA$83:$AA$99,0),MATCH('County Scaled Consumption '!D$2,Production_Consumption!$AA$83:$AJ$83,0)))*'CA Population'!$L586*10^6</f>
        <v>601.32629954760398</v>
      </c>
      <c r="E586" s="143">
        <f>(INDEX(Production_Consumption!$AA$83:$AJ$99,MATCH('County Scaled Consumption '!$B586,Production_Consumption!$AA$83:$AA$99,0),MATCH('County Scaled Consumption '!E$2,Production_Consumption!$AA$83:$AJ$83,0)))*'CA Population'!$L586*10^6</f>
        <v>312.8771742658306</v>
      </c>
      <c r="F586" s="143">
        <f>(INDEX(Production_Consumption!$AA$83:$AJ$99,MATCH('County Scaled Consumption '!$B586,Production_Consumption!$AA$83:$AA$99,0),MATCH('County Scaled Consumption '!F$2,Production_Consumption!$AA$83:$AJ$83,0)))*'CA Population'!$L586*10^6</f>
        <v>126.3813640792511</v>
      </c>
      <c r="G586" s="143">
        <f>(INDEX(Production_Consumption!$AA$83:$AJ$99,MATCH('County Scaled Consumption '!$B586,Production_Consumption!$AA$83:$AA$99,0),MATCH('County Scaled Consumption '!G$2,Production_Consumption!$AA$83:$AJ$83,0)))*'CA Population'!$L586*10^6</f>
        <v>411.31130323332832</v>
      </c>
      <c r="H586" s="143">
        <f>(INDEX(Production_Consumption!$AA$83:$AJ$99,MATCH('County Scaled Consumption '!$B586,Production_Consumption!$AA$83:$AA$99,0),MATCH('County Scaled Consumption '!H$2,Production_Consumption!$AA$83:$AJ$83,0)))*'CA Population'!$L586*10^6</f>
        <v>10.952491109731577</v>
      </c>
      <c r="I586" s="143">
        <f>(INDEX(Production_Consumption!$AA$83:$AJ$99,MATCH('County Scaled Consumption '!$B586,Production_Consumption!$AA$83:$AA$99,0),MATCH('County Scaled Consumption '!I$2,Production_Consumption!$AA$83:$AJ$83,0)))*'CA Population'!$L586*10^6</f>
        <v>199.27176259560019</v>
      </c>
      <c r="J586" s="143">
        <f>(INDEX(Production_Consumption!$AA$83:$AJ$99,MATCH('County Scaled Consumption '!$B586,Production_Consumption!$AA$83:$AA$99,0),MATCH('County Scaled Consumption '!J$2,Production_Consumption!$AA$83:$AJ$83,0)))*'CA Population'!$L586*10^6</f>
        <v>134.5187932167284</v>
      </c>
      <c r="K586" s="143">
        <f>(INDEX(Production_Consumption!$AA$83:$AJ$99,MATCH('County Scaled Consumption '!$B586,Production_Consumption!$AA$83:$AA$99,0),MATCH('County Scaled Consumption '!K$2,Production_Consumption!$AA$83:$AJ$83,0)))*'CA Population'!$L586*10^6</f>
        <v>1940.2396676417952</v>
      </c>
      <c r="L586" s="131">
        <f t="shared" si="9"/>
        <v>0</v>
      </c>
    </row>
    <row r="587" spans="1:12" x14ac:dyDescent="0.2">
      <c r="A587" s="132" t="s">
        <v>358</v>
      </c>
      <c r="B587" s="129">
        <v>2011</v>
      </c>
      <c r="C587" s="143">
        <f>(INDEX(Production_Consumption!$AA$83:$AJ$99,MATCH('County Scaled Consumption '!$B587,Production_Consumption!$AA$83:$AA$99,0),MATCH('County Scaled Consumption '!C$2,Production_Consumption!$AA$83:$AJ$83,0)))*'CA Population'!$L587*10^6</f>
        <v>4657.1209279045797</v>
      </c>
      <c r="D587" s="143">
        <f>(INDEX(Production_Consumption!$AA$83:$AJ$99,MATCH('County Scaled Consumption '!$B587,Production_Consumption!$AA$83:$AA$99,0),MATCH('County Scaled Consumption '!D$2,Production_Consumption!$AA$83:$AJ$83,0)))*'CA Population'!$L587*10^6</f>
        <v>19501.670900025412</v>
      </c>
      <c r="E587" s="143">
        <f>(INDEX(Production_Consumption!$AA$83:$AJ$99,MATCH('County Scaled Consumption '!$B587,Production_Consumption!$AA$83:$AA$99,0),MATCH('County Scaled Consumption '!E$2,Production_Consumption!$AA$83:$AJ$83,0)))*'CA Population'!$L587*10^6</f>
        <v>10146.949649886539</v>
      </c>
      <c r="F587" s="143">
        <f>(INDEX(Production_Consumption!$AA$83:$AJ$99,MATCH('County Scaled Consumption '!$B587,Production_Consumption!$AA$83:$AA$99,0),MATCH('County Scaled Consumption '!F$2,Production_Consumption!$AA$83:$AJ$83,0)))*'CA Population'!$L587*10^6</f>
        <v>4098.686140992133</v>
      </c>
      <c r="G587" s="143">
        <f>(INDEX(Production_Consumption!$AA$83:$AJ$99,MATCH('County Scaled Consumption '!$B587,Production_Consumption!$AA$83:$AA$99,0),MATCH('County Scaled Consumption '!G$2,Production_Consumption!$AA$83:$AJ$83,0)))*'CA Population'!$L587*10^6</f>
        <v>13339.276328262315</v>
      </c>
      <c r="H587" s="143">
        <f>(INDEX(Production_Consumption!$AA$83:$AJ$99,MATCH('County Scaled Consumption '!$B587,Production_Consumption!$AA$83:$AA$99,0),MATCH('County Scaled Consumption '!H$2,Production_Consumption!$AA$83:$AJ$83,0)))*'CA Population'!$L587*10^6</f>
        <v>355.2012897459017</v>
      </c>
      <c r="I587" s="143">
        <f>(INDEX(Production_Consumption!$AA$83:$AJ$99,MATCH('County Scaled Consumption '!$B587,Production_Consumption!$AA$83:$AA$99,0),MATCH('County Scaled Consumption '!I$2,Production_Consumption!$AA$83:$AJ$83,0)))*'CA Population'!$L587*10^6</f>
        <v>6462.6016469445021</v>
      </c>
      <c r="J587" s="143">
        <f>(INDEX(Production_Consumption!$AA$83:$AJ$99,MATCH('County Scaled Consumption '!$B587,Production_Consumption!$AA$83:$AA$99,0),MATCH('County Scaled Consumption '!J$2,Production_Consumption!$AA$83:$AJ$83,0)))*'CA Population'!$L587*10^6</f>
        <v>4362.5918858942759</v>
      </c>
      <c r="K587" s="143">
        <f>(INDEX(Production_Consumption!$AA$83:$AJ$99,MATCH('County Scaled Consumption '!$B587,Production_Consumption!$AA$83:$AA$99,0),MATCH('County Scaled Consumption '!K$2,Production_Consumption!$AA$83:$AJ$83,0)))*'CA Population'!$L587*10^6</f>
        <v>62924.098769655655</v>
      </c>
      <c r="L587" s="131">
        <f t="shared" si="9"/>
        <v>0</v>
      </c>
    </row>
    <row r="588" spans="1:12" x14ac:dyDescent="0.2">
      <c r="A588" s="132" t="s">
        <v>359</v>
      </c>
      <c r="B588" s="129">
        <v>2011</v>
      </c>
      <c r="C588" s="143">
        <f>(INDEX(Production_Consumption!$AA$83:$AJ$99,MATCH('County Scaled Consumption '!$B588,Production_Consumption!$AA$83:$AA$99,0),MATCH('County Scaled Consumption '!C$2,Production_Consumption!$AA$83:$AJ$83,0)))*'CA Population'!$L588*10^6</f>
        <v>577.06486087334986</v>
      </c>
      <c r="D588" s="143">
        <f>(INDEX(Production_Consumption!$AA$83:$AJ$99,MATCH('County Scaled Consumption '!$B588,Production_Consumption!$AA$83:$AA$99,0),MATCH('County Scaled Consumption '!D$2,Production_Consumption!$AA$83:$AJ$83,0)))*'CA Population'!$L588*10^6</f>
        <v>2416.4562567595844</v>
      </c>
      <c r="E588" s="143">
        <f>(INDEX(Production_Consumption!$AA$83:$AJ$99,MATCH('County Scaled Consumption '!$B588,Production_Consumption!$AA$83:$AA$99,0),MATCH('County Scaled Consumption '!E$2,Production_Consumption!$AA$83:$AJ$83,0)))*'CA Population'!$L588*10^6</f>
        <v>1257.3107245113467</v>
      </c>
      <c r="F588" s="143">
        <f>(INDEX(Production_Consumption!$AA$83:$AJ$99,MATCH('County Scaled Consumption '!$B588,Production_Consumption!$AA$83:$AA$99,0),MATCH('County Scaled Consumption '!F$2,Production_Consumption!$AA$83:$AJ$83,0)))*'CA Population'!$L588*10^6</f>
        <v>507.86908571415427</v>
      </c>
      <c r="G588" s="143">
        <f>(INDEX(Production_Consumption!$AA$83:$AJ$99,MATCH('County Scaled Consumption '!$B588,Production_Consumption!$AA$83:$AA$99,0),MATCH('County Scaled Consumption '!G$2,Production_Consumption!$AA$83:$AJ$83,0)))*'CA Population'!$L588*10^6</f>
        <v>1652.8726132914323</v>
      </c>
      <c r="H588" s="143">
        <f>(INDEX(Production_Consumption!$AA$83:$AJ$99,MATCH('County Scaled Consumption '!$B588,Production_Consumption!$AA$83:$AA$99,0),MATCH('County Scaled Consumption '!H$2,Production_Consumption!$AA$83:$AJ$83,0)))*'CA Population'!$L588*10^6</f>
        <v>44.01306859375007</v>
      </c>
      <c r="I588" s="143">
        <f>(INDEX(Production_Consumption!$AA$83:$AJ$99,MATCH('County Scaled Consumption '!$B588,Production_Consumption!$AA$83:$AA$99,0),MATCH('County Scaled Consumption '!I$2,Production_Consumption!$AA$83:$AJ$83,0)))*'CA Population'!$L588*10^6</f>
        <v>800.78236704750702</v>
      </c>
      <c r="J588" s="143">
        <f>(INDEX(Production_Consumption!$AA$83:$AJ$99,MATCH('County Scaled Consumption '!$B588,Production_Consumption!$AA$83:$AA$99,0),MATCH('County Scaled Consumption '!J$2,Production_Consumption!$AA$83:$AJ$83,0)))*'CA Population'!$L588*10^6</f>
        <v>540.56970361160597</v>
      </c>
      <c r="K588" s="143">
        <f>(INDEX(Production_Consumption!$AA$83:$AJ$99,MATCH('County Scaled Consumption '!$B588,Production_Consumption!$AA$83:$AA$99,0),MATCH('County Scaled Consumption '!K$2,Production_Consumption!$AA$83:$AJ$83,0)))*'CA Population'!$L588*10^6</f>
        <v>7796.9386804027317</v>
      </c>
      <c r="L588" s="131">
        <f t="shared" si="9"/>
        <v>0</v>
      </c>
    </row>
    <row r="589" spans="1:12" x14ac:dyDescent="0.2">
      <c r="A589" s="132" t="s">
        <v>360</v>
      </c>
      <c r="B589" s="129">
        <v>2011</v>
      </c>
      <c r="C589" s="143">
        <f>(INDEX(Production_Consumption!$AA$83:$AJ$99,MATCH('County Scaled Consumption '!$B589,Production_Consumption!$AA$83:$AA$99,0),MATCH('County Scaled Consumption '!C$2,Production_Consumption!$AA$83:$AJ$83,0)))*'CA Population'!$L589*10^6</f>
        <v>8667.1990432408384</v>
      </c>
      <c r="D589" s="143">
        <f>(INDEX(Production_Consumption!$AA$83:$AJ$99,MATCH('County Scaled Consumption '!$B589,Production_Consumption!$AA$83:$AA$99,0),MATCH('County Scaled Consumption '!D$2,Production_Consumption!$AA$83:$AJ$83,0)))*'CA Population'!$L589*10^6</f>
        <v>36293.853215950061</v>
      </c>
      <c r="E589" s="143">
        <f>(INDEX(Production_Consumption!$AA$83:$AJ$99,MATCH('County Scaled Consumption '!$B589,Production_Consumption!$AA$83:$AA$99,0),MATCH('County Scaled Consumption '!E$2,Production_Consumption!$AA$83:$AJ$83,0)))*'CA Population'!$L589*10^6</f>
        <v>18884.120395147169</v>
      </c>
      <c r="F589" s="143">
        <f>(INDEX(Production_Consumption!$AA$83:$AJ$99,MATCH('County Scaled Consumption '!$B589,Production_Consumption!$AA$83:$AA$99,0),MATCH('County Scaled Consumption '!F$2,Production_Consumption!$AA$83:$AJ$83,0)))*'CA Population'!$L589*10^6</f>
        <v>7627.9162919944165</v>
      </c>
      <c r="G589" s="143">
        <f>(INDEX(Production_Consumption!$AA$83:$AJ$99,MATCH('County Scaled Consumption '!$B589,Production_Consumption!$AA$83:$AA$99,0),MATCH('County Scaled Consumption '!G$2,Production_Consumption!$AA$83:$AJ$83,0)))*'CA Population'!$L589*10^6</f>
        <v>24825.2439263714</v>
      </c>
      <c r="H589" s="143">
        <f>(INDEX(Production_Consumption!$AA$83:$AJ$99,MATCH('County Scaled Consumption '!$B589,Production_Consumption!$AA$83:$AA$99,0),MATCH('County Scaled Consumption '!H$2,Production_Consumption!$AA$83:$AJ$83,0)))*'CA Population'!$L589*10^6</f>
        <v>661.05225230403744</v>
      </c>
      <c r="I589" s="143">
        <f>(INDEX(Production_Consumption!$AA$83:$AJ$99,MATCH('County Scaled Consumption '!$B589,Production_Consumption!$AA$83:$AA$99,0),MATCH('County Scaled Consumption '!I$2,Production_Consumption!$AA$83:$AJ$83,0)))*'CA Population'!$L589*10^6</f>
        <v>12027.313801457662</v>
      </c>
      <c r="J589" s="143">
        <f>(INDEX(Production_Consumption!$AA$83:$AJ$99,MATCH('County Scaled Consumption '!$B589,Production_Consumption!$AA$83:$AA$99,0),MATCH('County Scaled Consumption '!J$2,Production_Consumption!$AA$83:$AJ$83,0)))*'CA Population'!$L589*10^6</f>
        <v>8119.0617131958325</v>
      </c>
      <c r="K589" s="143">
        <f>(INDEX(Production_Consumption!$AA$83:$AJ$99,MATCH('County Scaled Consumption '!$B589,Production_Consumption!$AA$83:$AA$99,0),MATCH('County Scaled Consumption '!K$2,Production_Consumption!$AA$83:$AJ$83,0)))*'CA Population'!$L589*10^6</f>
        <v>117105.76063966143</v>
      </c>
      <c r="L589" s="131">
        <f t="shared" si="9"/>
        <v>0</v>
      </c>
    </row>
    <row r="590" spans="1:12" x14ac:dyDescent="0.2">
      <c r="A590" s="132" t="s">
        <v>361</v>
      </c>
      <c r="B590" s="129">
        <v>2011</v>
      </c>
      <c r="C590" s="143">
        <f>(INDEX(Production_Consumption!$AA$83:$AJ$99,MATCH('County Scaled Consumption '!$B590,Production_Consumption!$AA$83:$AA$99,0),MATCH('County Scaled Consumption '!C$2,Production_Consumption!$AA$83:$AJ$83,0)))*'CA Population'!$L590*10^6</f>
        <v>2121.540181248055</v>
      </c>
      <c r="D590" s="143">
        <f>(INDEX(Production_Consumption!$AA$83:$AJ$99,MATCH('County Scaled Consumption '!$B590,Production_Consumption!$AA$83:$AA$99,0),MATCH('County Scaled Consumption '!D$2,Production_Consumption!$AA$83:$AJ$83,0)))*'CA Population'!$L590*10^6</f>
        <v>8883.9390379530978</v>
      </c>
      <c r="E590" s="143">
        <f>(INDEX(Production_Consumption!$AA$83:$AJ$99,MATCH('County Scaled Consumption '!$B590,Production_Consumption!$AA$83:$AA$99,0),MATCH('County Scaled Consumption '!E$2,Production_Consumption!$AA$83:$AJ$83,0)))*'CA Population'!$L590*10^6</f>
        <v>4622.41838521919</v>
      </c>
      <c r="F590" s="143">
        <f>(INDEX(Production_Consumption!$AA$83:$AJ$99,MATCH('County Scaled Consumption '!$B590,Production_Consumption!$AA$83:$AA$99,0),MATCH('County Scaled Consumption '!F$2,Production_Consumption!$AA$83:$AJ$83,0)))*'CA Population'!$L590*10^6</f>
        <v>1867.1465639505734</v>
      </c>
      <c r="G590" s="143">
        <f>(INDEX(Production_Consumption!$AA$83:$AJ$99,MATCH('County Scaled Consumption '!$B590,Production_Consumption!$AA$83:$AA$99,0),MATCH('County Scaled Consumption '!G$2,Production_Consumption!$AA$83:$AJ$83,0)))*'CA Population'!$L590*10^6</f>
        <v>6076.6750868787758</v>
      </c>
      <c r="H590" s="143">
        <f>(INDEX(Production_Consumption!$AA$83:$AJ$99,MATCH('County Scaled Consumption '!$B590,Production_Consumption!$AA$83:$AA$99,0),MATCH('County Scaled Consumption '!H$2,Production_Consumption!$AA$83:$AJ$83,0)))*'CA Population'!$L590*10^6</f>
        <v>161.81108893088708</v>
      </c>
      <c r="I590" s="143">
        <f>(INDEX(Production_Consumption!$AA$83:$AJ$99,MATCH('County Scaled Consumption '!$B590,Production_Consumption!$AA$83:$AA$99,0),MATCH('County Scaled Consumption '!I$2,Production_Consumption!$AA$83:$AJ$83,0)))*'CA Population'!$L590*10^6</f>
        <v>2944.0225584955097</v>
      </c>
      <c r="J590" s="143">
        <f>(INDEX(Production_Consumption!$AA$83:$AJ$99,MATCH('County Scaled Consumption '!$B590,Production_Consumption!$AA$83:$AA$99,0),MATCH('County Scaled Consumption '!J$2,Production_Consumption!$AA$83:$AJ$83,0)))*'CA Population'!$L590*10^6</f>
        <v>1987.3681881126954</v>
      </c>
      <c r="K590" s="143">
        <f>(INDEX(Production_Consumption!$AA$83:$AJ$99,MATCH('County Scaled Consumption '!$B590,Production_Consumption!$AA$83:$AA$99,0),MATCH('County Scaled Consumption '!K$2,Production_Consumption!$AA$83:$AJ$83,0)))*'CA Population'!$L590*10^6</f>
        <v>28664.921090788783</v>
      </c>
      <c r="L590" s="131">
        <f t="shared" si="9"/>
        <v>0</v>
      </c>
    </row>
    <row r="591" spans="1:12" x14ac:dyDescent="0.2">
      <c r="A591" s="132" t="s">
        <v>362</v>
      </c>
      <c r="B591" s="129">
        <v>2011</v>
      </c>
      <c r="C591" s="143">
        <f>(INDEX(Production_Consumption!$AA$83:$AJ$99,MATCH('County Scaled Consumption '!$B591,Production_Consumption!$AA$83:$AA$99,0),MATCH('County Scaled Consumption '!C$2,Production_Consumption!$AA$83:$AJ$83,0)))*'CA Population'!$L591*10^6</f>
        <v>758.5208955923157</v>
      </c>
      <c r="D591" s="143">
        <f>(INDEX(Production_Consumption!$AA$83:$AJ$99,MATCH('County Scaled Consumption '!$B591,Production_Consumption!$AA$83:$AA$99,0),MATCH('County Scaled Consumption '!D$2,Production_Consumption!$AA$83:$AJ$83,0)))*'CA Population'!$L591*10^6</f>
        <v>3176.3025065551756</v>
      </c>
      <c r="E591" s="143">
        <f>(INDEX(Production_Consumption!$AA$83:$AJ$99,MATCH('County Scaled Consumption '!$B591,Production_Consumption!$AA$83:$AA$99,0),MATCH('County Scaled Consumption '!E$2,Production_Consumption!$AA$83:$AJ$83,0)))*'CA Population'!$L591*10^6</f>
        <v>1652.6677007343906</v>
      </c>
      <c r="F591" s="143">
        <f>(INDEX(Production_Consumption!$AA$83:$AJ$99,MATCH('County Scaled Consumption '!$B591,Production_Consumption!$AA$83:$AA$99,0),MATCH('County Scaled Consumption '!F$2,Production_Consumption!$AA$83:$AJ$83,0)))*'CA Population'!$L591*10^6</f>
        <v>667.56675004700776</v>
      </c>
      <c r="G591" s="143">
        <f>(INDEX(Production_Consumption!$AA$83:$AJ$99,MATCH('County Scaled Consumption '!$B591,Production_Consumption!$AA$83:$AA$99,0),MATCH('County Scaled Consumption '!G$2,Production_Consumption!$AA$83:$AJ$83,0)))*'CA Population'!$L591*10^6</f>
        <v>2172.6126471058687</v>
      </c>
      <c r="H591" s="143">
        <f>(INDEX(Production_Consumption!$AA$83:$AJ$99,MATCH('County Scaled Consumption '!$B591,Production_Consumption!$AA$83:$AA$99,0),MATCH('County Scaled Consumption '!H$2,Production_Consumption!$AA$83:$AJ$83,0)))*'CA Population'!$L591*10^6</f>
        <v>57.85282464950572</v>
      </c>
      <c r="I591" s="143">
        <f>(INDEX(Production_Consumption!$AA$83:$AJ$99,MATCH('County Scaled Consumption '!$B591,Production_Consumption!$AA$83:$AA$99,0),MATCH('County Scaled Consumption '!I$2,Production_Consumption!$AA$83:$AJ$83,0)))*'CA Population'!$L591*10^6</f>
        <v>1052.5855920392278</v>
      </c>
      <c r="J591" s="143">
        <f>(INDEX(Production_Consumption!$AA$83:$AJ$99,MATCH('County Scaled Consumption '!$B591,Production_Consumption!$AA$83:$AA$99,0),MATCH('County Scaled Consumption '!J$2,Production_Consumption!$AA$83:$AJ$83,0)))*'CA Population'!$L591*10^6</f>
        <v>710.54996329700145</v>
      </c>
      <c r="K591" s="143">
        <f>(INDEX(Production_Consumption!$AA$83:$AJ$99,MATCH('County Scaled Consumption '!$B591,Production_Consumption!$AA$83:$AA$99,0),MATCH('County Scaled Consumption '!K$2,Production_Consumption!$AA$83:$AJ$83,0)))*'CA Population'!$L591*10^6</f>
        <v>10248.658880020494</v>
      </c>
      <c r="L591" s="131">
        <f t="shared" si="9"/>
        <v>0</v>
      </c>
    </row>
    <row r="592" spans="1:12" x14ac:dyDescent="0.2">
      <c r="A592" s="132" t="s">
        <v>363</v>
      </c>
      <c r="B592" s="129">
        <v>2011</v>
      </c>
      <c r="C592" s="143">
        <f>(INDEX(Production_Consumption!$AA$83:$AJ$99,MATCH('County Scaled Consumption '!$B592,Production_Consumption!$AA$83:$AA$99,0),MATCH('County Scaled Consumption '!C$2,Production_Consumption!$AA$83:$AJ$83,0)))*'CA Population'!$L592*10^6</f>
        <v>392252.72494502401</v>
      </c>
      <c r="D592" s="143">
        <f>(INDEX(Production_Consumption!$AA$83:$AJ$99,MATCH('County Scaled Consumption '!$B592,Production_Consumption!$AA$83:$AA$99,0),MATCH('County Scaled Consumption '!D$2,Production_Consumption!$AA$83:$AJ$83,0)))*'CA Population'!$L592*10^6</f>
        <v>1642556.3497140913</v>
      </c>
      <c r="E592" s="143">
        <f>(INDEX(Production_Consumption!$AA$83:$AJ$99,MATCH('County Scaled Consumption '!$B592,Production_Consumption!$AA$83:$AA$99,0),MATCH('County Scaled Consumption '!E$2,Production_Consumption!$AA$83:$AJ$83,0)))*'CA Population'!$L592*10^6</f>
        <v>854641.46447208221</v>
      </c>
      <c r="F592" s="143">
        <f>(INDEX(Production_Consumption!$AA$83:$AJ$99,MATCH('County Scaled Consumption '!$B592,Production_Consumption!$AA$83:$AA$99,0),MATCH('County Scaled Consumption '!F$2,Production_Consumption!$AA$83:$AJ$83,0)))*'CA Population'!$L592*10^6</f>
        <v>345217.74984742457</v>
      </c>
      <c r="G592" s="143">
        <f>(INDEX(Production_Consumption!$AA$83:$AJ$99,MATCH('County Scaled Consumption '!$B592,Production_Consumption!$AA$83:$AA$99,0),MATCH('County Scaled Consumption '!G$2,Production_Consumption!$AA$83:$AJ$83,0)))*'CA Population'!$L592*10^6</f>
        <v>1123519.7817613455</v>
      </c>
      <c r="H592" s="143">
        <f>(INDEX(Production_Consumption!$AA$83:$AJ$99,MATCH('County Scaled Consumption '!$B592,Production_Consumption!$AA$83:$AA$99,0),MATCH('County Scaled Consumption '!H$2,Production_Consumption!$AA$83:$AJ$83,0)))*'CA Population'!$L592*10^6</f>
        <v>29917.34076991348</v>
      </c>
      <c r="I592" s="143">
        <f>(INDEX(Production_Consumption!$AA$83:$AJ$99,MATCH('County Scaled Consumption '!$B592,Production_Consumption!$AA$83:$AA$99,0),MATCH('County Scaled Consumption '!I$2,Production_Consumption!$AA$83:$AJ$83,0)))*'CA Population'!$L592*10^6</f>
        <v>544321.94170847198</v>
      </c>
      <c r="J592" s="143">
        <f>(INDEX(Production_Consumption!$AA$83:$AJ$99,MATCH('County Scaled Consumption '!$B592,Production_Consumption!$AA$83:$AA$99,0),MATCH('County Scaled Consumption '!J$2,Production_Consumption!$AA$83:$AJ$83,0)))*'CA Population'!$L592*10^6</f>
        <v>367445.59171991149</v>
      </c>
      <c r="K592" s="143">
        <f>(INDEX(Production_Consumption!$AA$83:$AJ$99,MATCH('County Scaled Consumption '!$B592,Production_Consumption!$AA$83:$AA$99,0),MATCH('County Scaled Consumption '!K$2,Production_Consumption!$AA$83:$AJ$83,0)))*'CA Population'!$L592*10^6</f>
        <v>5299872.9449382648</v>
      </c>
      <c r="L592" s="131">
        <f t="shared" si="9"/>
        <v>0</v>
      </c>
    </row>
    <row r="593" spans="1:12" x14ac:dyDescent="0.2">
      <c r="A593" s="132" t="s">
        <v>305</v>
      </c>
      <c r="B593" s="129">
        <v>2010</v>
      </c>
      <c r="C593" s="143">
        <f>(INDEX(Production_Consumption!$AA$83:$AJ$99,MATCH('County Scaled Consumption '!$B593,Production_Consumption!$AA$83:$AA$99,0),MATCH('County Scaled Consumption '!C$2,Production_Consumption!$AA$83:$AJ$83,0)))*'CA Population'!$L593*10^6</f>
        <v>15966.461313892916</v>
      </c>
      <c r="D593" s="143">
        <f>(INDEX(Production_Consumption!$AA$83:$AJ$99,MATCH('County Scaled Consumption '!$B593,Production_Consumption!$AA$83:$AA$99,0),MATCH('County Scaled Consumption '!D$2,Production_Consumption!$AA$83:$AJ$83,0)))*'CA Population'!$L593*10^6</f>
        <v>67257.007292321636</v>
      </c>
      <c r="E593" s="143">
        <f>(INDEX(Production_Consumption!$AA$83:$AJ$99,MATCH('County Scaled Consumption '!$B593,Production_Consumption!$AA$83:$AA$99,0),MATCH('County Scaled Consumption '!E$2,Production_Consumption!$AA$83:$AJ$83,0)))*'CA Population'!$L593*10^6</f>
        <v>39187.584717559504</v>
      </c>
      <c r="F593" s="143">
        <f>(INDEX(Production_Consumption!$AA$83:$AJ$99,MATCH('County Scaled Consumption '!$B593,Production_Consumption!$AA$83:$AA$99,0),MATCH('County Scaled Consumption '!F$2,Production_Consumption!$AA$83:$AJ$83,0)))*'CA Population'!$L593*10^6</f>
        <v>20655.021479186715</v>
      </c>
      <c r="G593" s="143">
        <f>(INDEX(Production_Consumption!$AA$83:$AJ$99,MATCH('County Scaled Consumption '!$B593,Production_Consumption!$AA$83:$AA$99,0),MATCH('County Scaled Consumption '!G$2,Production_Consumption!$AA$83:$AJ$83,0)))*'CA Population'!$L593*10^6</f>
        <v>44328.577649494575</v>
      </c>
      <c r="H593" s="143">
        <f>(INDEX(Production_Consumption!$AA$83:$AJ$99,MATCH('County Scaled Consumption '!$B593,Production_Consumption!$AA$83:$AA$99,0),MATCH('County Scaled Consumption '!H$2,Production_Consumption!$AA$83:$AJ$83,0)))*'CA Population'!$L593*10^6</f>
        <v>1190.5216017163254</v>
      </c>
      <c r="I593" s="143">
        <f>(INDEX(Production_Consumption!$AA$83:$AJ$99,MATCH('County Scaled Consumption '!$B593,Production_Consumption!$AA$83:$AA$99,0),MATCH('County Scaled Consumption '!I$2,Production_Consumption!$AA$83:$AJ$83,0)))*'CA Population'!$L593*10^6</f>
        <v>23523.692283046959</v>
      </c>
      <c r="J593" s="143">
        <f>(INDEX(Production_Consumption!$AA$83:$AJ$99,MATCH('County Scaled Consumption '!$B593,Production_Consumption!$AA$83:$AA$99,0),MATCH('County Scaled Consumption '!J$2,Production_Consumption!$AA$83:$AJ$83,0)))*'CA Population'!$L593*10^6</f>
        <v>17281.734186409783</v>
      </c>
      <c r="K593" s="143">
        <f>(INDEX(Production_Consumption!$AA$83:$AJ$99,MATCH('County Scaled Consumption '!$B593,Production_Consumption!$AA$83:$AA$99,0),MATCH('County Scaled Consumption '!K$2,Production_Consumption!$AA$83:$AJ$83,0)))*'CA Population'!$L593*10^6</f>
        <v>229390.60052362838</v>
      </c>
      <c r="L593" s="131">
        <f t="shared" si="9"/>
        <v>0</v>
      </c>
    </row>
    <row r="594" spans="1:12" x14ac:dyDescent="0.2">
      <c r="A594" s="132" t="s">
        <v>306</v>
      </c>
      <c r="B594" s="129">
        <v>2010</v>
      </c>
      <c r="C594" s="143">
        <f>(INDEX(Production_Consumption!$AA$83:$AJ$99,MATCH('County Scaled Consumption '!$B594,Production_Consumption!$AA$83:$AA$99,0),MATCH('County Scaled Consumption '!C$2,Production_Consumption!$AA$83:$AJ$83,0)))*'CA Population'!$L594*10^6</f>
        <v>12.42200376212228</v>
      </c>
      <c r="D594" s="143">
        <f>(INDEX(Production_Consumption!$AA$83:$AJ$99,MATCH('County Scaled Consumption '!$B594,Production_Consumption!$AA$83:$AA$99,0),MATCH('County Scaled Consumption '!D$2,Production_Consumption!$AA$83:$AJ$83,0)))*'CA Population'!$L594*10^6</f>
        <v>52.326359685432564</v>
      </c>
      <c r="E594" s="143">
        <f>(INDEX(Production_Consumption!$AA$83:$AJ$99,MATCH('County Scaled Consumption '!$B594,Production_Consumption!$AA$83:$AA$99,0),MATCH('County Scaled Consumption '!E$2,Production_Consumption!$AA$83:$AJ$83,0)))*'CA Population'!$L594*10^6</f>
        <v>30.488178640212531</v>
      </c>
      <c r="F594" s="143">
        <f>(INDEX(Production_Consumption!$AA$83:$AJ$99,MATCH('County Scaled Consumption '!$B594,Production_Consumption!$AA$83:$AA$99,0),MATCH('County Scaled Consumption '!F$2,Production_Consumption!$AA$83:$AJ$83,0)))*'CA Population'!$L594*10^6</f>
        <v>16.069732013687865</v>
      </c>
      <c r="G594" s="143">
        <f>(INDEX(Production_Consumption!$AA$83:$AJ$99,MATCH('County Scaled Consumption '!$B594,Production_Consumption!$AA$83:$AA$99,0),MATCH('County Scaled Consumption '!G$2,Production_Consumption!$AA$83:$AJ$83,0)))*'CA Population'!$L594*10^6</f>
        <v>34.487902328890726</v>
      </c>
      <c r="H594" s="143">
        <f>(INDEX(Production_Consumption!$AA$83:$AJ$99,MATCH('County Scaled Consumption '!$B594,Production_Consumption!$AA$83:$AA$99,0),MATCH('County Scaled Consumption '!H$2,Production_Consumption!$AA$83:$AJ$83,0)))*'CA Population'!$L594*10^6</f>
        <v>0.92623302838807231</v>
      </c>
      <c r="I594" s="143">
        <f>(INDEX(Production_Consumption!$AA$83:$AJ$99,MATCH('County Scaled Consumption '!$B594,Production_Consumption!$AA$83:$AA$99,0),MATCH('County Scaled Consumption '!I$2,Production_Consumption!$AA$83:$AJ$83,0)))*'CA Population'!$L594*10^6</f>
        <v>18.301575301770463</v>
      </c>
      <c r="J594" s="143">
        <f>(INDEX(Production_Consumption!$AA$83:$AJ$99,MATCH('County Scaled Consumption '!$B594,Production_Consumption!$AA$83:$AA$99,0),MATCH('County Scaled Consumption '!J$2,Production_Consumption!$AA$83:$AJ$83,0)))*'CA Population'!$L594*10^6</f>
        <v>13.445294035991884</v>
      </c>
      <c r="K594" s="143">
        <f>(INDEX(Production_Consumption!$AA$83:$AJ$99,MATCH('County Scaled Consumption '!$B594,Production_Consumption!$AA$83:$AA$99,0),MATCH('County Scaled Consumption '!K$2,Production_Consumption!$AA$83:$AJ$83,0)))*'CA Population'!$L594*10^6</f>
        <v>178.46727879649634</v>
      </c>
      <c r="L594" s="131">
        <f t="shared" si="9"/>
        <v>0</v>
      </c>
    </row>
    <row r="595" spans="1:12" x14ac:dyDescent="0.2">
      <c r="A595" s="132" t="s">
        <v>307</v>
      </c>
      <c r="B595" s="129">
        <v>2010</v>
      </c>
      <c r="C595" s="143">
        <f>(INDEX(Production_Consumption!$AA$83:$AJ$99,MATCH('County Scaled Consumption '!$B595,Production_Consumption!$AA$83:$AA$99,0),MATCH('County Scaled Consumption '!C$2,Production_Consumption!$AA$83:$AJ$83,0)))*'CA Population'!$L595*10^6</f>
        <v>402.69493217276579</v>
      </c>
      <c r="D595" s="143">
        <f>(INDEX(Production_Consumption!$AA$83:$AJ$99,MATCH('County Scaled Consumption '!$B595,Production_Consumption!$AA$83:$AA$99,0),MATCH('County Scaled Consumption '!D$2,Production_Consumption!$AA$83:$AJ$83,0)))*'CA Population'!$L595*10^6</f>
        <v>1696.3092483215416</v>
      </c>
      <c r="E595" s="143">
        <f>(INDEX(Production_Consumption!$AA$83:$AJ$99,MATCH('County Scaled Consumption '!$B595,Production_Consumption!$AA$83:$AA$99,0),MATCH('County Scaled Consumption '!E$2,Production_Consumption!$AA$83:$AJ$83,0)))*'CA Population'!$L595*10^6</f>
        <v>988.36188305049825</v>
      </c>
      <c r="F595" s="143">
        <f>(INDEX(Production_Consumption!$AA$83:$AJ$99,MATCH('County Scaled Consumption '!$B595,Production_Consumption!$AA$83:$AA$99,0),MATCH('County Scaled Consumption '!F$2,Production_Consumption!$AA$83:$AJ$83,0)))*'CA Population'!$L595*10^6</f>
        <v>520.94652096458253</v>
      </c>
      <c r="G595" s="143">
        <f>(INDEX(Production_Consumption!$AA$83:$AJ$99,MATCH('County Scaled Consumption '!$B595,Production_Consumption!$AA$83:$AA$99,0),MATCH('County Scaled Consumption '!G$2,Production_Consumption!$AA$83:$AJ$83,0)))*'CA Population'!$L595*10^6</f>
        <v>1118.0244149870439</v>
      </c>
      <c r="H595" s="143">
        <f>(INDEX(Production_Consumption!$AA$83:$AJ$99,MATCH('County Scaled Consumption '!$B595,Production_Consumption!$AA$83:$AA$99,0),MATCH('County Scaled Consumption '!H$2,Production_Consumption!$AA$83:$AJ$83,0)))*'CA Population'!$L595*10^6</f>
        <v>30.026504071770265</v>
      </c>
      <c r="I595" s="143">
        <f>(INDEX(Production_Consumption!$AA$83:$AJ$99,MATCH('County Scaled Consumption '!$B595,Production_Consumption!$AA$83:$AA$99,0),MATCH('County Scaled Consumption '!I$2,Production_Consumption!$AA$83:$AJ$83,0)))*'CA Population'!$L595*10^6</f>
        <v>593.29813176147979</v>
      </c>
      <c r="J595" s="143">
        <f>(INDEX(Production_Consumption!$AA$83:$AJ$99,MATCH('County Scaled Consumption '!$B595,Production_Consumption!$AA$83:$AA$99,0),MATCH('County Scaled Consumption '!J$2,Production_Consumption!$AA$83:$AJ$83,0)))*'CA Population'!$L595*10^6</f>
        <v>435.86782563826961</v>
      </c>
      <c r="K595" s="143">
        <f>(INDEX(Production_Consumption!$AA$83:$AJ$99,MATCH('County Scaled Consumption '!$B595,Production_Consumption!$AA$83:$AA$99,0),MATCH('County Scaled Consumption '!K$2,Production_Consumption!$AA$83:$AJ$83,0)))*'CA Population'!$L595*10^6</f>
        <v>5785.5294609679513</v>
      </c>
      <c r="L595" s="131">
        <f t="shared" si="9"/>
        <v>0</v>
      </c>
    </row>
    <row r="596" spans="1:12" x14ac:dyDescent="0.2">
      <c r="A596" s="132" t="s">
        <v>308</v>
      </c>
      <c r="B596" s="129">
        <v>2010</v>
      </c>
      <c r="C596" s="143">
        <f>(INDEX(Production_Consumption!$AA$83:$AJ$99,MATCH('County Scaled Consumption '!$B596,Production_Consumption!$AA$83:$AA$99,0),MATCH('County Scaled Consumption '!C$2,Production_Consumption!$AA$83:$AJ$83,0)))*'CA Population'!$L596*10^6</f>
        <v>2325.8219809931074</v>
      </c>
      <c r="D596" s="143">
        <f>(INDEX(Production_Consumption!$AA$83:$AJ$99,MATCH('County Scaled Consumption '!$B596,Production_Consumption!$AA$83:$AA$99,0),MATCH('County Scaled Consumption '!D$2,Production_Consumption!$AA$83:$AJ$83,0)))*'CA Population'!$L596*10^6</f>
        <v>9797.2758559958838</v>
      </c>
      <c r="E596" s="143">
        <f>(INDEX(Production_Consumption!$AA$83:$AJ$99,MATCH('County Scaled Consumption '!$B596,Production_Consumption!$AA$83:$AA$99,0),MATCH('County Scaled Consumption '!E$2,Production_Consumption!$AA$83:$AJ$83,0)))*'CA Population'!$L596*10^6</f>
        <v>5708.4249368908568</v>
      </c>
      <c r="F596" s="143">
        <f>(INDEX(Production_Consumption!$AA$83:$AJ$99,MATCH('County Scaled Consumption '!$B596,Production_Consumption!$AA$83:$AA$99,0),MATCH('County Scaled Consumption '!F$2,Production_Consumption!$AA$83:$AJ$83,0)))*'CA Population'!$L596*10^6</f>
        <v>3008.8008876692174</v>
      </c>
      <c r="G596" s="143">
        <f>(INDEX(Production_Consumption!$AA$83:$AJ$99,MATCH('County Scaled Consumption '!$B596,Production_Consumption!$AA$83:$AA$99,0),MATCH('County Scaled Consumption '!G$2,Production_Consumption!$AA$83:$AJ$83,0)))*'CA Population'!$L596*10^6</f>
        <v>6457.3093722178373</v>
      </c>
      <c r="H596" s="143">
        <f>(INDEX(Production_Consumption!$AA$83:$AJ$99,MATCH('County Scaled Consumption '!$B596,Production_Consumption!$AA$83:$AA$99,0),MATCH('County Scaled Consumption '!H$2,Production_Consumption!$AA$83:$AJ$83,0)))*'CA Population'!$L596*10^6</f>
        <v>173.42235425138375</v>
      </c>
      <c r="I596" s="143">
        <f>(INDEX(Production_Consumption!$AA$83:$AJ$99,MATCH('County Scaled Consumption '!$B596,Production_Consumption!$AA$83:$AA$99,0),MATCH('County Scaled Consumption '!I$2,Production_Consumption!$AA$83:$AJ$83,0)))*'CA Population'!$L596*10^6</f>
        <v>3426.6779288421289</v>
      </c>
      <c r="J596" s="143">
        <f>(INDEX(Production_Consumption!$AA$83:$AJ$99,MATCH('County Scaled Consumption '!$B596,Production_Consumption!$AA$83:$AA$99,0),MATCH('County Scaled Consumption '!J$2,Production_Consumption!$AA$83:$AJ$83,0)))*'CA Population'!$L596*10^6</f>
        <v>2517.4167556750758</v>
      </c>
      <c r="K596" s="143">
        <f>(INDEX(Production_Consumption!$AA$83:$AJ$99,MATCH('County Scaled Consumption '!$B596,Production_Consumption!$AA$83:$AA$99,0),MATCH('County Scaled Consumption '!K$2,Production_Consumption!$AA$83:$AJ$83,0)))*'CA Population'!$L596*10^6</f>
        <v>33415.150072535493</v>
      </c>
      <c r="L596" s="131">
        <f t="shared" si="9"/>
        <v>0</v>
      </c>
    </row>
    <row r="597" spans="1:12" x14ac:dyDescent="0.2">
      <c r="A597" s="132" t="s">
        <v>309</v>
      </c>
      <c r="B597" s="129">
        <v>2010</v>
      </c>
      <c r="C597" s="143">
        <f>(INDEX(Production_Consumption!$AA$83:$AJ$99,MATCH('County Scaled Consumption '!$B597,Production_Consumption!$AA$83:$AA$99,0),MATCH('County Scaled Consumption '!C$2,Production_Consumption!$AA$83:$AJ$83,0)))*'CA Population'!$L597*10^6</f>
        <v>481.84688295319933</v>
      </c>
      <c r="D597" s="143">
        <f>(INDEX(Production_Consumption!$AA$83:$AJ$99,MATCH('County Scaled Consumption '!$B597,Production_Consumption!$AA$83:$AA$99,0),MATCH('County Scaled Consumption '!D$2,Production_Consumption!$AA$83:$AJ$83,0)))*'CA Population'!$L597*10^6</f>
        <v>2029.7283589299107</v>
      </c>
      <c r="E597" s="143">
        <f>(INDEX(Production_Consumption!$AA$83:$AJ$99,MATCH('County Scaled Consumption '!$B597,Production_Consumption!$AA$83:$AA$99,0),MATCH('County Scaled Consumption '!E$2,Production_Consumption!$AA$83:$AJ$83,0)))*'CA Population'!$L597*10^6</f>
        <v>1182.6299626073246</v>
      </c>
      <c r="F597" s="143">
        <f>(INDEX(Production_Consumption!$AA$83:$AJ$99,MATCH('County Scaled Consumption '!$B597,Production_Consumption!$AA$83:$AA$99,0),MATCH('County Scaled Consumption '!F$2,Production_Consumption!$AA$83:$AJ$83,0)))*'CA Population'!$L597*10^6</f>
        <v>623.34148571903449</v>
      </c>
      <c r="G597" s="143">
        <f>(INDEX(Production_Consumption!$AA$83:$AJ$99,MATCH('County Scaled Consumption '!$B597,Production_Consumption!$AA$83:$AA$99,0),MATCH('County Scaled Consumption '!G$2,Production_Consumption!$AA$83:$AJ$83,0)))*'CA Population'!$L597*10^6</f>
        <v>1337.778393486112</v>
      </c>
      <c r="H597" s="143">
        <f>(INDEX(Production_Consumption!$AA$83:$AJ$99,MATCH('County Scaled Consumption '!$B597,Production_Consumption!$AA$83:$AA$99,0),MATCH('County Scaled Consumption '!H$2,Production_Consumption!$AA$83:$AJ$83,0)))*'CA Population'!$L597*10^6</f>
        <v>35.92838210031622</v>
      </c>
      <c r="I597" s="143">
        <f>(INDEX(Production_Consumption!$AA$83:$AJ$99,MATCH('County Scaled Consumption '!$B597,Production_Consumption!$AA$83:$AA$99,0),MATCH('County Scaled Consumption '!I$2,Production_Consumption!$AA$83:$AJ$83,0)))*'CA Population'!$L597*10^6</f>
        <v>709.91421200348441</v>
      </c>
      <c r="J597" s="143">
        <f>(INDEX(Production_Consumption!$AA$83:$AJ$99,MATCH('County Scaled Consumption '!$B597,Production_Consumption!$AA$83:$AA$99,0),MATCH('County Scaled Consumption '!J$2,Production_Consumption!$AA$83:$AJ$83,0)))*'CA Population'!$L597*10^6</f>
        <v>521.54009495526634</v>
      </c>
      <c r="K597" s="143">
        <f>(INDEX(Production_Consumption!$AA$83:$AJ$99,MATCH('County Scaled Consumption '!$B597,Production_Consumption!$AA$83:$AA$99,0),MATCH('County Scaled Consumption '!K$2,Production_Consumption!$AA$83:$AJ$83,0)))*'CA Population'!$L597*10^6</f>
        <v>6922.7077727546475</v>
      </c>
      <c r="L597" s="131">
        <f t="shared" si="9"/>
        <v>0</v>
      </c>
    </row>
    <row r="598" spans="1:12" x14ac:dyDescent="0.2">
      <c r="A598" s="132" t="s">
        <v>310</v>
      </c>
      <c r="B598" s="129">
        <v>2010</v>
      </c>
      <c r="C598" s="143">
        <f>(INDEX(Production_Consumption!$AA$83:$AJ$99,MATCH('County Scaled Consumption '!$B598,Production_Consumption!$AA$83:$AA$99,0),MATCH('County Scaled Consumption '!C$2,Production_Consumption!$AA$83:$AJ$83,0)))*'CA Population'!$L598*10^6</f>
        <v>226.43991368586987</v>
      </c>
      <c r="D598" s="143">
        <f>(INDEX(Production_Consumption!$AA$83:$AJ$99,MATCH('County Scaled Consumption '!$B598,Production_Consumption!$AA$83:$AA$99,0),MATCH('County Scaled Consumption '!D$2,Production_Consumption!$AA$83:$AJ$83,0)))*'CA Population'!$L598*10^6</f>
        <v>953.85387072534468</v>
      </c>
      <c r="E598" s="143">
        <f>(INDEX(Production_Consumption!$AA$83:$AJ$99,MATCH('County Scaled Consumption '!$B598,Production_Consumption!$AA$83:$AA$99,0),MATCH('County Scaled Consumption '!E$2,Production_Consumption!$AA$83:$AJ$83,0)))*'CA Population'!$L598*10^6</f>
        <v>555.7670623784785</v>
      </c>
      <c r="F598" s="143">
        <f>(INDEX(Production_Consumption!$AA$83:$AJ$99,MATCH('County Scaled Consumption '!$B598,Production_Consumption!$AA$83:$AA$99,0),MATCH('County Scaled Consumption '!F$2,Production_Consumption!$AA$83:$AJ$83,0)))*'CA Population'!$L598*10^6</f>
        <v>292.93411914994073</v>
      </c>
      <c r="G598" s="143">
        <f>(INDEX(Production_Consumption!$AA$83:$AJ$99,MATCH('County Scaled Consumption '!$B598,Production_Consumption!$AA$83:$AA$99,0),MATCH('County Scaled Consumption '!G$2,Production_Consumption!$AA$83:$AJ$83,0)))*'CA Population'!$L598*10^6</f>
        <v>628.67777019788116</v>
      </c>
      <c r="H598" s="143">
        <f>(INDEX(Production_Consumption!$AA$83:$AJ$99,MATCH('County Scaled Consumption '!$B598,Production_Consumption!$AA$83:$AA$99,0),MATCH('County Scaled Consumption '!H$2,Production_Consumption!$AA$83:$AJ$83,0)))*'CA Population'!$L598*10^6</f>
        <v>16.884242753229039</v>
      </c>
      <c r="I598" s="143">
        <f>(INDEX(Production_Consumption!$AA$83:$AJ$99,MATCH('County Scaled Consumption '!$B598,Production_Consumption!$AA$83:$AA$99,0),MATCH('County Scaled Consumption '!I$2,Production_Consumption!$AA$83:$AJ$83,0)))*'CA Population'!$L598*10^6</f>
        <v>333.61824799031621</v>
      </c>
      <c r="J598" s="143">
        <f>(INDEX(Production_Consumption!$AA$83:$AJ$99,MATCH('County Scaled Consumption '!$B598,Production_Consumption!$AA$83:$AA$99,0),MATCH('County Scaled Consumption '!J$2,Production_Consumption!$AA$83:$AJ$83,0)))*'CA Population'!$L598*10^6</f>
        <v>245.09340677183843</v>
      </c>
      <c r="K598" s="143">
        <f>(INDEX(Production_Consumption!$AA$83:$AJ$99,MATCH('County Scaled Consumption '!$B598,Production_Consumption!$AA$83:$AA$99,0),MATCH('County Scaled Consumption '!K$2,Production_Consumption!$AA$83:$AJ$83,0)))*'CA Population'!$L598*10^6</f>
        <v>3253.2686336528982</v>
      </c>
      <c r="L598" s="131">
        <f t="shared" si="9"/>
        <v>0</v>
      </c>
    </row>
    <row r="599" spans="1:12" x14ac:dyDescent="0.2">
      <c r="A599" s="132" t="s">
        <v>311</v>
      </c>
      <c r="B599" s="129">
        <v>2010</v>
      </c>
      <c r="C599" s="143">
        <f>(INDEX(Production_Consumption!$AA$83:$AJ$99,MATCH('County Scaled Consumption '!$B599,Production_Consumption!$AA$83:$AA$99,0),MATCH('County Scaled Consumption '!C$2,Production_Consumption!$AA$83:$AJ$83,0)))*'CA Population'!$L599*10^6</f>
        <v>11090.206380051339</v>
      </c>
      <c r="D599" s="143">
        <f>(INDEX(Production_Consumption!$AA$83:$AJ$99,MATCH('County Scaled Consumption '!$B599,Production_Consumption!$AA$83:$AA$99,0),MATCH('County Scaled Consumption '!D$2,Production_Consumption!$AA$83:$AJ$83,0)))*'CA Population'!$L599*10^6</f>
        <v>46716.305931073097</v>
      </c>
      <c r="E599" s="143">
        <f>(INDEX(Production_Consumption!$AA$83:$AJ$99,MATCH('County Scaled Consumption '!$B599,Production_Consumption!$AA$83:$AA$99,0),MATCH('County Scaled Consumption '!E$2,Production_Consumption!$AA$83:$AJ$83,0)))*'CA Population'!$L599*10^6</f>
        <v>27219.456679190593</v>
      </c>
      <c r="F599" s="143">
        <f>(INDEX(Production_Consumption!$AA$83:$AJ$99,MATCH('County Scaled Consumption '!$B599,Production_Consumption!$AA$83:$AA$99,0),MATCH('County Scaled Consumption '!F$2,Production_Consumption!$AA$83:$AJ$83,0)))*'CA Population'!$L599*10^6</f>
        <v>14346.85159630546</v>
      </c>
      <c r="G599" s="143">
        <f>(INDEX(Production_Consumption!$AA$83:$AJ$99,MATCH('County Scaled Consumption '!$B599,Production_Consumption!$AA$83:$AA$99,0),MATCH('County Scaled Consumption '!G$2,Production_Consumption!$AA$83:$AJ$83,0)))*'CA Population'!$L599*10^6</f>
        <v>30790.358928140078</v>
      </c>
      <c r="H599" s="143">
        <f>(INDEX(Production_Consumption!$AA$83:$AJ$99,MATCH('County Scaled Consumption '!$B599,Production_Consumption!$AA$83:$AA$99,0),MATCH('County Scaled Consumption '!H$2,Production_Consumption!$AA$83:$AJ$83,0)))*'CA Population'!$L599*10^6</f>
        <v>826.92902349344467</v>
      </c>
      <c r="I599" s="143">
        <f>(INDEX(Production_Consumption!$AA$83:$AJ$99,MATCH('County Scaled Consumption '!$B599,Production_Consumption!$AA$83:$AA$99,0),MATCH('County Scaled Consumption '!I$2,Production_Consumption!$AA$83:$AJ$83,0)))*'CA Population'!$L599*10^6</f>
        <v>16339.412792289155</v>
      </c>
      <c r="J599" s="143">
        <f>(INDEX(Production_Consumption!$AA$83:$AJ$99,MATCH('County Scaled Consumption '!$B599,Production_Consumption!$AA$83:$AA$99,0),MATCH('County Scaled Consumption '!J$2,Production_Consumption!$AA$83:$AJ$83,0)))*'CA Population'!$L599*10^6</f>
        <v>12003.78687328203</v>
      </c>
      <c r="K599" s="143">
        <f>(INDEX(Production_Consumption!$AA$83:$AJ$99,MATCH('County Scaled Consumption '!$B599,Production_Consumption!$AA$83:$AA$99,0),MATCH('County Scaled Consumption '!K$2,Production_Consumption!$AA$83:$AJ$83,0)))*'CA Population'!$L599*10^6</f>
        <v>159333.30820382517</v>
      </c>
      <c r="L599" s="131">
        <f t="shared" si="9"/>
        <v>0</v>
      </c>
    </row>
    <row r="600" spans="1:12" x14ac:dyDescent="0.2">
      <c r="A600" s="132" t="s">
        <v>312</v>
      </c>
      <c r="B600" s="129">
        <v>2010</v>
      </c>
      <c r="C600" s="143">
        <f>(INDEX(Production_Consumption!$AA$83:$AJ$99,MATCH('County Scaled Consumption '!$B600,Production_Consumption!$AA$83:$AA$99,0),MATCH('County Scaled Consumption '!C$2,Production_Consumption!$AA$83:$AJ$83,0)))*'CA Population'!$L600*10^6</f>
        <v>302.46257671005822</v>
      </c>
      <c r="D600" s="143">
        <f>(INDEX(Production_Consumption!$AA$83:$AJ$99,MATCH('County Scaled Consumption '!$B600,Production_Consumption!$AA$83:$AA$99,0),MATCH('County Scaled Consumption '!D$2,Production_Consumption!$AA$83:$AJ$83,0)))*'CA Population'!$L600*10^6</f>
        <v>1274.0911920001918</v>
      </c>
      <c r="E600" s="143">
        <f>(INDEX(Production_Consumption!$AA$83:$AJ$99,MATCH('County Scaled Consumption '!$B600,Production_Consumption!$AA$83:$AA$99,0),MATCH('County Scaled Consumption '!E$2,Production_Consumption!$AA$83:$AJ$83,0)))*'CA Population'!$L600*10^6</f>
        <v>742.35471565657895</v>
      </c>
      <c r="F600" s="143">
        <f>(INDEX(Production_Consumption!$AA$83:$AJ$99,MATCH('County Scaled Consumption '!$B600,Production_Consumption!$AA$83:$AA$99,0),MATCH('County Scaled Consumption '!F$2,Production_Consumption!$AA$83:$AJ$83,0)))*'CA Population'!$L600*10^6</f>
        <v>391.28087907371048</v>
      </c>
      <c r="G600" s="143">
        <f>(INDEX(Production_Consumption!$AA$83:$AJ$99,MATCH('County Scaled Consumption '!$B600,Production_Consumption!$AA$83:$AA$99,0),MATCH('County Scaled Consumption '!G$2,Production_Consumption!$AA$83:$AJ$83,0)))*'CA Population'!$L600*10^6</f>
        <v>839.74373245069239</v>
      </c>
      <c r="H600" s="143">
        <f>(INDEX(Production_Consumption!$AA$83:$AJ$99,MATCH('County Scaled Consumption '!$B600,Production_Consumption!$AA$83:$AA$99,0),MATCH('County Scaled Consumption '!H$2,Production_Consumption!$AA$83:$AJ$83,0)))*'CA Population'!$L600*10^6</f>
        <v>22.552788886964041</v>
      </c>
      <c r="I600" s="143">
        <f>(INDEX(Production_Consumption!$AA$83:$AJ$99,MATCH('County Scaled Consumption '!$B600,Production_Consumption!$AA$83:$AA$99,0),MATCH('County Scaled Consumption '!I$2,Production_Consumption!$AA$83:$AJ$83,0)))*'CA Population'!$L600*10^6</f>
        <v>445.62388883715141</v>
      </c>
      <c r="J600" s="143">
        <f>(INDEX(Production_Consumption!$AA$83:$AJ$99,MATCH('County Scaled Consumption '!$B600,Production_Consumption!$AA$83:$AA$99,0),MATCH('County Scaled Consumption '!J$2,Production_Consumption!$AA$83:$AJ$83,0)))*'CA Population'!$L600*10^6</f>
        <v>327.3786062721087</v>
      </c>
      <c r="K600" s="143">
        <f>(INDEX(Production_Consumption!$AA$83:$AJ$99,MATCH('County Scaled Consumption '!$B600,Production_Consumption!$AA$83:$AA$99,0),MATCH('County Scaled Consumption '!K$2,Production_Consumption!$AA$83:$AJ$83,0)))*'CA Population'!$L600*10^6</f>
        <v>4345.4883798874553</v>
      </c>
      <c r="L600" s="131">
        <f t="shared" si="9"/>
        <v>0</v>
      </c>
    </row>
    <row r="601" spans="1:12" x14ac:dyDescent="0.2">
      <c r="A601" s="132" t="s">
        <v>313</v>
      </c>
      <c r="B601" s="129">
        <v>2010</v>
      </c>
      <c r="C601" s="143">
        <f>(INDEX(Production_Consumption!$AA$83:$AJ$99,MATCH('County Scaled Consumption '!$B601,Production_Consumption!$AA$83:$AA$99,0),MATCH('County Scaled Consumption '!C$2,Production_Consumption!$AA$83:$AJ$83,0)))*'CA Population'!$L601*10^6</f>
        <v>1914.1303465211367</v>
      </c>
      <c r="D601" s="143">
        <f>(INDEX(Production_Consumption!$AA$83:$AJ$99,MATCH('County Scaled Consumption '!$B601,Production_Consumption!$AA$83:$AA$99,0),MATCH('County Scaled Consumption '!D$2,Production_Consumption!$AA$83:$AJ$83,0)))*'CA Population'!$L601*10^6</f>
        <v>8063.0689633404663</v>
      </c>
      <c r="E601" s="143">
        <f>(INDEX(Production_Consumption!$AA$83:$AJ$99,MATCH('County Scaled Consumption '!$B601,Production_Consumption!$AA$83:$AA$99,0),MATCH('County Scaled Consumption '!E$2,Production_Consumption!$AA$83:$AJ$83,0)))*'CA Population'!$L601*10^6</f>
        <v>4697.981828289021</v>
      </c>
      <c r="F601" s="143">
        <f>(INDEX(Production_Consumption!$AA$83:$AJ$99,MATCH('County Scaled Consumption '!$B601,Production_Consumption!$AA$83:$AA$99,0),MATCH('County Scaled Consumption '!F$2,Production_Consumption!$AA$83:$AJ$83,0)))*'CA Population'!$L601*10^6</f>
        <v>2476.2157778164233</v>
      </c>
      <c r="G601" s="143">
        <f>(INDEX(Production_Consumption!$AA$83:$AJ$99,MATCH('County Scaled Consumption '!$B601,Production_Consumption!$AA$83:$AA$99,0),MATCH('County Scaled Consumption '!G$2,Production_Consumption!$AA$83:$AJ$83,0)))*'CA Population'!$L601*10^6</f>
        <v>5314.306910522806</v>
      </c>
      <c r="H601" s="143">
        <f>(INDEX(Production_Consumption!$AA$83:$AJ$99,MATCH('County Scaled Consumption '!$B601,Production_Consumption!$AA$83:$AA$99,0),MATCH('County Scaled Consumption '!H$2,Production_Consumption!$AA$83:$AJ$83,0)))*'CA Population'!$L601*10^6</f>
        <v>142.72502098203199</v>
      </c>
      <c r="I601" s="143">
        <f>(INDEX(Production_Consumption!$AA$83:$AJ$99,MATCH('County Scaled Consumption '!$B601,Production_Consumption!$AA$83:$AA$99,0),MATCH('County Scaled Consumption '!I$2,Production_Consumption!$AA$83:$AJ$83,0)))*'CA Population'!$L601*10^6</f>
        <v>2820.1247838195372</v>
      </c>
      <c r="J601" s="143">
        <f>(INDEX(Production_Consumption!$AA$83:$AJ$99,MATCH('County Scaled Consumption '!$B601,Production_Consumption!$AA$83:$AA$99,0),MATCH('County Scaled Consumption '!J$2,Production_Consumption!$AA$83:$AJ$83,0)))*'CA Population'!$L601*10^6</f>
        <v>2071.8111043137178</v>
      </c>
      <c r="K601" s="143">
        <f>(INDEX(Production_Consumption!$AA$83:$AJ$99,MATCH('County Scaled Consumption '!$B601,Production_Consumption!$AA$83:$AA$99,0),MATCH('County Scaled Consumption '!K$2,Production_Consumption!$AA$83:$AJ$83,0)))*'CA Population'!$L601*10^6</f>
        <v>27500.364735605137</v>
      </c>
      <c r="L601" s="131">
        <f t="shared" si="9"/>
        <v>0</v>
      </c>
    </row>
    <row r="602" spans="1:12" x14ac:dyDescent="0.2">
      <c r="A602" s="132" t="s">
        <v>314</v>
      </c>
      <c r="B602" s="129">
        <v>2010</v>
      </c>
      <c r="C602" s="143">
        <f>(INDEX(Production_Consumption!$AA$83:$AJ$99,MATCH('County Scaled Consumption '!$B602,Production_Consumption!$AA$83:$AA$99,0),MATCH('County Scaled Consumption '!C$2,Production_Consumption!$AA$83:$AJ$83,0)))*'CA Population'!$L602*10^6</f>
        <v>9836.6411918865324</v>
      </c>
      <c r="D602" s="143">
        <f>(INDEX(Production_Consumption!$AA$83:$AJ$99,MATCH('County Scaled Consumption '!$B602,Production_Consumption!$AA$83:$AA$99,0),MATCH('County Scaled Consumption '!D$2,Production_Consumption!$AA$83:$AJ$83,0)))*'CA Population'!$L602*10^6</f>
        <v>41435.796910051686</v>
      </c>
      <c r="E602" s="143">
        <f>(INDEX(Production_Consumption!$AA$83:$AJ$99,MATCH('County Scaled Consumption '!$B602,Production_Consumption!$AA$83:$AA$99,0),MATCH('County Scaled Consumption '!E$2,Production_Consumption!$AA$83:$AJ$83,0)))*'CA Population'!$L602*10^6</f>
        <v>24142.745375136808</v>
      </c>
      <c r="F602" s="143">
        <f>(INDEX(Production_Consumption!$AA$83:$AJ$99,MATCH('County Scaled Consumption '!$B602,Production_Consumption!$AA$83:$AA$99,0),MATCH('County Scaled Consumption '!F$2,Production_Consumption!$AA$83:$AJ$83,0)))*'CA Population'!$L602*10^6</f>
        <v>12725.176299690107</v>
      </c>
      <c r="G602" s="143">
        <f>(INDEX(Production_Consumption!$AA$83:$AJ$99,MATCH('County Scaled Consumption '!$B602,Production_Consumption!$AA$83:$AA$99,0),MATCH('County Scaled Consumption '!G$2,Production_Consumption!$AA$83:$AJ$83,0)))*'CA Population'!$L602*10^6</f>
        <v>27310.015933545856</v>
      </c>
      <c r="H602" s="143">
        <f>(INDEX(Production_Consumption!$AA$83:$AJ$99,MATCH('County Scaled Consumption '!$B602,Production_Consumption!$AA$83:$AA$99,0),MATCH('County Scaled Consumption '!H$2,Production_Consumption!$AA$83:$AJ$83,0)))*'CA Population'!$L602*10^6</f>
        <v>733.45831596909102</v>
      </c>
      <c r="I602" s="143">
        <f>(INDEX(Production_Consumption!$AA$83:$AJ$99,MATCH('County Scaled Consumption '!$B602,Production_Consumption!$AA$83:$AA$99,0),MATCH('County Scaled Consumption '!I$2,Production_Consumption!$AA$83:$AJ$83,0)))*'CA Population'!$L602*10^6</f>
        <v>14492.511267687089</v>
      </c>
      <c r="J602" s="143">
        <f>(INDEX(Production_Consumption!$AA$83:$AJ$99,MATCH('County Scaled Consumption '!$B602,Production_Consumption!$AA$83:$AA$99,0),MATCH('County Scaled Consumption '!J$2,Production_Consumption!$AA$83:$AJ$83,0)))*'CA Population'!$L602*10^6</f>
        <v>10646.956455990337</v>
      </c>
      <c r="K602" s="143">
        <f>(INDEX(Production_Consumption!$AA$83:$AJ$99,MATCH('County Scaled Consumption '!$B602,Production_Consumption!$AA$83:$AA$99,0),MATCH('County Scaled Consumption '!K$2,Production_Consumption!$AA$83:$AJ$83,0)))*'CA Population'!$L602*10^6</f>
        <v>141323.30174995749</v>
      </c>
      <c r="L602" s="131">
        <f t="shared" si="9"/>
        <v>0</v>
      </c>
    </row>
    <row r="603" spans="1:12" x14ac:dyDescent="0.2">
      <c r="A603" s="132" t="s">
        <v>315</v>
      </c>
      <c r="B603" s="129">
        <v>2010</v>
      </c>
      <c r="C603" s="143">
        <f>(INDEX(Production_Consumption!$AA$83:$AJ$99,MATCH('County Scaled Consumption '!$B603,Production_Consumption!$AA$83:$AA$99,0),MATCH('County Scaled Consumption '!C$2,Production_Consumption!$AA$83:$AJ$83,0)))*'CA Population'!$L603*10^6</f>
        <v>297.30348067949166</v>
      </c>
      <c r="D603" s="143">
        <f>(INDEX(Production_Consumption!$AA$83:$AJ$99,MATCH('County Scaled Consumption '!$B603,Production_Consumption!$AA$83:$AA$99,0),MATCH('County Scaled Consumption '!D$2,Production_Consumption!$AA$83:$AJ$83,0)))*'CA Population'!$L603*10^6</f>
        <v>1252.35905282871</v>
      </c>
      <c r="E603" s="143">
        <f>(INDEX(Production_Consumption!$AA$83:$AJ$99,MATCH('County Scaled Consumption '!$B603,Production_Consumption!$AA$83:$AA$99,0),MATCH('County Scaled Consumption '!E$2,Production_Consumption!$AA$83:$AJ$83,0)))*'CA Population'!$L603*10^6</f>
        <v>729.69239125111199</v>
      </c>
      <c r="F603" s="143">
        <f>(INDEX(Production_Consumption!$AA$83:$AJ$99,MATCH('County Scaled Consumption '!$B603,Production_Consumption!$AA$83:$AA$99,0),MATCH('County Scaled Consumption '!F$2,Production_Consumption!$AA$83:$AJ$83,0)))*'CA Population'!$L603*10^6</f>
        <v>384.6068116501533</v>
      </c>
      <c r="G603" s="143">
        <f>(INDEX(Production_Consumption!$AA$83:$AJ$99,MATCH('County Scaled Consumption '!$B603,Production_Consumption!$AA$83:$AA$99,0),MATCH('County Scaled Consumption '!G$2,Production_Consumption!$AA$83:$AJ$83,0)))*'CA Population'!$L603*10^6</f>
        <v>825.42024620686379</v>
      </c>
      <c r="H603" s="143">
        <f>(INDEX(Production_Consumption!$AA$83:$AJ$99,MATCH('County Scaled Consumption '!$B603,Production_Consumption!$AA$83:$AA$99,0),MATCH('County Scaled Consumption '!H$2,Production_Consumption!$AA$83:$AJ$83,0)))*'CA Population'!$L603*10^6</f>
        <v>22.168106573897333</v>
      </c>
      <c r="I603" s="143">
        <f>(INDEX(Production_Consumption!$AA$83:$AJ$99,MATCH('County Scaled Consumption '!$B603,Production_Consumption!$AA$83:$AA$99,0),MATCH('County Scaled Consumption '!I$2,Production_Consumption!$AA$83:$AJ$83,0)))*'CA Population'!$L603*10^6</f>
        <v>438.02289415862884</v>
      </c>
      <c r="J603" s="143">
        <f>(INDEX(Production_Consumption!$AA$83:$AJ$99,MATCH('County Scaled Consumption '!$B603,Production_Consumption!$AA$83:$AA$99,0),MATCH('County Scaled Consumption '!J$2,Production_Consumption!$AA$83:$AJ$83,0)))*'CA Population'!$L603*10^6</f>
        <v>321.79451819588394</v>
      </c>
      <c r="K603" s="143">
        <f>(INDEX(Production_Consumption!$AA$83:$AJ$99,MATCH('County Scaled Consumption '!$B603,Production_Consumption!$AA$83:$AA$99,0),MATCH('County Scaled Consumption '!K$2,Production_Consumption!$AA$83:$AJ$83,0)))*'CA Population'!$L603*10^6</f>
        <v>4271.3675015447407</v>
      </c>
      <c r="L603" s="131">
        <f t="shared" si="9"/>
        <v>0</v>
      </c>
    </row>
    <row r="604" spans="1:12" x14ac:dyDescent="0.2">
      <c r="A604" s="132" t="s">
        <v>316</v>
      </c>
      <c r="B604" s="129">
        <v>2010</v>
      </c>
      <c r="C604" s="143">
        <f>(INDEX(Production_Consumption!$AA$83:$AJ$99,MATCH('County Scaled Consumption '!$B604,Production_Consumption!$AA$83:$AA$99,0),MATCH('County Scaled Consumption '!C$2,Production_Consumption!$AA$83:$AJ$83,0)))*'CA Population'!$L604*10^6</f>
        <v>1423.2233297601599</v>
      </c>
      <c r="D604" s="143">
        <f>(INDEX(Production_Consumption!$AA$83:$AJ$99,MATCH('County Scaled Consumption '!$B604,Production_Consumption!$AA$83:$AA$99,0),MATCH('County Scaled Consumption '!D$2,Production_Consumption!$AA$83:$AJ$83,0)))*'CA Population'!$L604*10^6</f>
        <v>5995.1757616442455</v>
      </c>
      <c r="E604" s="143">
        <f>(INDEX(Production_Consumption!$AA$83:$AJ$99,MATCH('County Scaled Consumption '!$B604,Production_Consumption!$AA$83:$AA$99,0),MATCH('County Scaled Consumption '!E$2,Production_Consumption!$AA$83:$AJ$83,0)))*'CA Population'!$L604*10^6</f>
        <v>3493.1149558138991</v>
      </c>
      <c r="F604" s="143">
        <f>(INDEX(Production_Consumption!$AA$83:$AJ$99,MATCH('County Scaled Consumption '!$B604,Production_Consumption!$AA$83:$AA$99,0),MATCH('County Scaled Consumption '!F$2,Production_Consumption!$AA$83:$AJ$83,0)))*'CA Population'!$L604*10^6</f>
        <v>1841.1536450031504</v>
      </c>
      <c r="G604" s="143">
        <f>(INDEX(Production_Consumption!$AA$83:$AJ$99,MATCH('County Scaled Consumption '!$B604,Production_Consumption!$AA$83:$AA$99,0),MATCH('County Scaled Consumption '!G$2,Production_Consumption!$AA$83:$AJ$83,0)))*'CA Population'!$L604*10^6</f>
        <v>3951.3743618912822</v>
      </c>
      <c r="H604" s="143">
        <f>(INDEX(Production_Consumption!$AA$83:$AJ$99,MATCH('County Scaled Consumption '!$B604,Production_Consumption!$AA$83:$AA$99,0),MATCH('County Scaled Consumption '!H$2,Production_Consumption!$AA$83:$AJ$83,0)))*'CA Population'!$L604*10^6</f>
        <v>106.1210799835638</v>
      </c>
      <c r="I604" s="143">
        <f>(INDEX(Production_Consumption!$AA$83:$AJ$99,MATCH('County Scaled Consumption '!$B604,Production_Consumption!$AA$83:$AA$99,0),MATCH('County Scaled Consumption '!I$2,Production_Consumption!$AA$83:$AJ$83,0)))*'CA Population'!$L604*10^6</f>
        <v>2096.8621037023363</v>
      </c>
      <c r="J604" s="143">
        <f>(INDEX(Production_Consumption!$AA$83:$AJ$99,MATCH('County Scaled Consumption '!$B604,Production_Consumption!$AA$83:$AA$99,0),MATCH('County Scaled Consumption '!J$2,Production_Consumption!$AA$83:$AJ$83,0)))*'CA Population'!$L604*10^6</f>
        <v>1540.4645268147535</v>
      </c>
      <c r="K604" s="143">
        <f>(INDEX(Production_Consumption!$AA$83:$AJ$99,MATCH('County Scaled Consumption '!$B604,Production_Consumption!$AA$83:$AA$99,0),MATCH('County Scaled Consumption '!K$2,Production_Consumption!$AA$83:$AJ$83,0)))*'CA Population'!$L604*10^6</f>
        <v>20447.48976461339</v>
      </c>
      <c r="L604" s="131">
        <f t="shared" si="9"/>
        <v>0</v>
      </c>
    </row>
    <row r="605" spans="1:12" x14ac:dyDescent="0.2">
      <c r="A605" s="132" t="s">
        <v>317</v>
      </c>
      <c r="B605" s="129">
        <v>2010</v>
      </c>
      <c r="C605" s="143">
        <f>(INDEX(Production_Consumption!$AA$83:$AJ$99,MATCH('County Scaled Consumption '!$B605,Production_Consumption!$AA$83:$AA$99,0),MATCH('County Scaled Consumption '!C$2,Production_Consumption!$AA$83:$AJ$83,0)))*'CA Population'!$L605*10^6</f>
        <v>1845.0957213580232</v>
      </c>
      <c r="D605" s="143">
        <f>(INDEX(Production_Consumption!$AA$83:$AJ$99,MATCH('County Scaled Consumption '!$B605,Production_Consumption!$AA$83:$AA$99,0),MATCH('County Scaled Consumption '!D$2,Production_Consumption!$AA$83:$AJ$83,0)))*'CA Population'!$L605*10^6</f>
        <v>7772.2680027056804</v>
      </c>
      <c r="E605" s="143">
        <f>(INDEX(Production_Consumption!$AA$83:$AJ$99,MATCH('County Scaled Consumption '!$B605,Production_Consumption!$AA$83:$AA$99,0),MATCH('County Scaled Consumption '!E$2,Production_Consumption!$AA$83:$AJ$83,0)))*'CA Population'!$L605*10^6</f>
        <v>4528.5453972076702</v>
      </c>
      <c r="F605" s="143">
        <f>(INDEX(Production_Consumption!$AA$83:$AJ$99,MATCH('County Scaled Consumption '!$B605,Production_Consumption!$AA$83:$AA$99,0),MATCH('County Scaled Consumption '!F$2,Production_Consumption!$AA$83:$AJ$83,0)))*'CA Population'!$L605*10^6</f>
        <v>2386.9090969233325</v>
      </c>
      <c r="G605" s="143">
        <f>(INDEX(Production_Consumption!$AA$83:$AJ$99,MATCH('County Scaled Consumption '!$B605,Production_Consumption!$AA$83:$AA$99,0),MATCH('County Scaled Consumption '!G$2,Production_Consumption!$AA$83:$AJ$83,0)))*'CA Population'!$L605*10^6</f>
        <v>5122.642227792885</v>
      </c>
      <c r="H605" s="143">
        <f>(INDEX(Production_Consumption!$AA$83:$AJ$99,MATCH('County Scaled Consumption '!$B605,Production_Consumption!$AA$83:$AA$99,0),MATCH('County Scaled Consumption '!H$2,Production_Consumption!$AA$83:$AJ$83,0)))*'CA Population'!$L605*10^6</f>
        <v>137.57753019447958</v>
      </c>
      <c r="I605" s="143">
        <f>(INDEX(Production_Consumption!$AA$83:$AJ$99,MATCH('County Scaled Consumption '!$B605,Production_Consumption!$AA$83:$AA$99,0),MATCH('County Scaled Consumption '!I$2,Production_Consumption!$AA$83:$AJ$83,0)))*'CA Population'!$L605*10^6</f>
        <v>2718.4147525679959</v>
      </c>
      <c r="J605" s="143">
        <f>(INDEX(Production_Consumption!$AA$83:$AJ$99,MATCH('County Scaled Consumption '!$B605,Production_Consumption!$AA$83:$AA$99,0),MATCH('County Scaled Consumption '!J$2,Production_Consumption!$AA$83:$AJ$83,0)))*'CA Population'!$L605*10^6</f>
        <v>1997.0895978839073</v>
      </c>
      <c r="K605" s="143">
        <f>(INDEX(Production_Consumption!$AA$83:$AJ$99,MATCH('County Scaled Consumption '!$B605,Production_Consumption!$AA$83:$AA$99,0),MATCH('County Scaled Consumption '!K$2,Production_Consumption!$AA$83:$AJ$83,0)))*'CA Population'!$L605*10^6</f>
        <v>26508.542326633971</v>
      </c>
      <c r="L605" s="131">
        <f t="shared" si="9"/>
        <v>0</v>
      </c>
    </row>
    <row r="606" spans="1:12" x14ac:dyDescent="0.2">
      <c r="A606" s="132" t="s">
        <v>318</v>
      </c>
      <c r="B606" s="129">
        <v>2010</v>
      </c>
      <c r="C606" s="143">
        <f>(INDEX(Production_Consumption!$AA$83:$AJ$99,MATCH('County Scaled Consumption '!$B606,Production_Consumption!$AA$83:$AA$99,0),MATCH('County Scaled Consumption '!C$2,Production_Consumption!$AA$83:$AJ$83,0)))*'CA Population'!$L606*10^6</f>
        <v>196.06679299771898</v>
      </c>
      <c r="D606" s="143">
        <f>(INDEX(Production_Consumption!$AA$83:$AJ$99,MATCH('County Scaled Consumption '!$B606,Production_Consumption!$AA$83:$AA$99,0),MATCH('County Scaled Consumption '!D$2,Production_Consumption!$AA$83:$AJ$83,0)))*'CA Population'!$L606*10^6</f>
        <v>825.91035466045298</v>
      </c>
      <c r="E606" s="143">
        <f>(INDEX(Production_Consumption!$AA$83:$AJ$99,MATCH('County Scaled Consumption '!$B606,Production_Consumption!$AA$83:$AA$99,0),MATCH('County Scaled Consumption '!E$2,Production_Consumption!$AA$83:$AJ$83,0)))*'CA Population'!$L606*10^6</f>
        <v>481.22022217989917</v>
      </c>
      <c r="F606" s="143">
        <f>(INDEX(Production_Consumption!$AA$83:$AJ$99,MATCH('County Scaled Consumption '!$B606,Production_Consumption!$AA$83:$AA$99,0),MATCH('County Scaled Consumption '!F$2,Production_Consumption!$AA$83:$AJ$83,0)))*'CA Population'!$L606*10^6</f>
        <v>253.64191483051502</v>
      </c>
      <c r="G606" s="143">
        <f>(INDEX(Production_Consumption!$AA$83:$AJ$99,MATCH('County Scaled Consumption '!$B606,Production_Consumption!$AA$83:$AA$99,0),MATCH('County Scaled Consumption '!G$2,Production_Consumption!$AA$83:$AJ$83,0)))*'CA Population'!$L606*10^6</f>
        <v>544.3511800779637</v>
      </c>
      <c r="H606" s="143">
        <f>(INDEX(Production_Consumption!$AA$83:$AJ$99,MATCH('County Scaled Consumption '!$B606,Production_Consumption!$AA$83:$AA$99,0),MATCH('County Scaled Consumption '!H$2,Production_Consumption!$AA$83:$AJ$83,0)))*'CA Population'!$L606*10^6</f>
        <v>14.61950446339165</v>
      </c>
      <c r="I606" s="143">
        <f>(INDEX(Production_Consumption!$AA$83:$AJ$99,MATCH('County Scaled Consumption '!$B606,Production_Consumption!$AA$83:$AA$99,0),MATCH('County Scaled Consumption '!I$2,Production_Consumption!$AA$83:$AJ$83,0)))*'CA Population'!$L606*10^6</f>
        <v>288.86894940139149</v>
      </c>
      <c r="J606" s="143">
        <f>(INDEX(Production_Consumption!$AA$83:$AJ$99,MATCH('County Scaled Consumption '!$B606,Production_Consumption!$AA$83:$AA$99,0),MATCH('County Scaled Consumption '!J$2,Production_Consumption!$AA$83:$AJ$83,0)))*'CA Population'!$L606*10^6</f>
        <v>212.21823250340887</v>
      </c>
      <c r="K606" s="143">
        <f>(INDEX(Production_Consumption!$AA$83:$AJ$99,MATCH('County Scaled Consumption '!$B606,Production_Consumption!$AA$83:$AA$99,0),MATCH('County Scaled Consumption '!K$2,Production_Consumption!$AA$83:$AJ$83,0)))*'CA Population'!$L606*10^6</f>
        <v>2816.8971511147415</v>
      </c>
      <c r="L606" s="131">
        <f t="shared" si="9"/>
        <v>0</v>
      </c>
    </row>
    <row r="607" spans="1:12" x14ac:dyDescent="0.2">
      <c r="A607" s="132" t="s">
        <v>319</v>
      </c>
      <c r="B607" s="129">
        <v>2010</v>
      </c>
      <c r="C607" s="143">
        <f>(INDEX(Production_Consumption!$AA$83:$AJ$99,MATCH('County Scaled Consumption '!$B607,Production_Consumption!$AA$83:$AA$99,0),MATCH('County Scaled Consumption '!C$2,Production_Consumption!$AA$83:$AJ$83,0)))*'CA Population'!$L607*10^6</f>
        <v>8876.5101623782903</v>
      </c>
      <c r="D607" s="143">
        <f>(INDEX(Production_Consumption!$AA$83:$AJ$99,MATCH('County Scaled Consumption '!$B607,Production_Consumption!$AA$83:$AA$99,0),MATCH('County Scaled Consumption '!D$2,Production_Consumption!$AA$83:$AJ$83,0)))*'CA Population'!$L607*10^6</f>
        <v>37391.34783748036</v>
      </c>
      <c r="E607" s="143">
        <f>(INDEX(Production_Consumption!$AA$83:$AJ$99,MATCH('County Scaled Consumption '!$B607,Production_Consumption!$AA$83:$AA$99,0),MATCH('County Scaled Consumption '!E$2,Production_Consumption!$AA$83:$AJ$83,0)))*'CA Population'!$L607*10^6</f>
        <v>21786.229719030031</v>
      </c>
      <c r="F607" s="143">
        <f>(INDEX(Production_Consumption!$AA$83:$AJ$99,MATCH('County Scaled Consumption '!$B607,Production_Consumption!$AA$83:$AA$99,0),MATCH('County Scaled Consumption '!F$2,Production_Consumption!$AA$83:$AJ$83,0)))*'CA Population'!$L607*10^6</f>
        <v>11483.10226415724</v>
      </c>
      <c r="G607" s="143">
        <f>(INDEX(Production_Consumption!$AA$83:$AJ$99,MATCH('County Scaled Consumption '!$B607,Production_Consumption!$AA$83:$AA$99,0),MATCH('County Scaled Consumption '!G$2,Production_Consumption!$AA$83:$AJ$83,0)))*'CA Population'!$L607*10^6</f>
        <v>24644.350570475617</v>
      </c>
      <c r="H607" s="143">
        <f>(INDEX(Production_Consumption!$AA$83:$AJ$99,MATCH('County Scaled Consumption '!$B607,Production_Consumption!$AA$83:$AA$99,0),MATCH('County Scaled Consumption '!H$2,Production_Consumption!$AA$83:$AJ$83,0)))*'CA Population'!$L607*10^6</f>
        <v>661.86720328383456</v>
      </c>
      <c r="I607" s="143">
        <f>(INDEX(Production_Consumption!$AA$83:$AJ$99,MATCH('County Scaled Consumption '!$B607,Production_Consumption!$AA$83:$AA$99,0),MATCH('County Scaled Consumption '!I$2,Production_Consumption!$AA$83:$AJ$83,0)))*'CA Population'!$L607*10^6</f>
        <v>13077.931891234753</v>
      </c>
      <c r="J607" s="143">
        <f>(INDEX(Production_Consumption!$AA$83:$AJ$99,MATCH('County Scaled Consumption '!$B607,Production_Consumption!$AA$83:$AA$99,0),MATCH('County Scaled Consumption '!J$2,Production_Consumption!$AA$83:$AJ$83,0)))*'CA Population'!$L607*10^6</f>
        <v>9607.7324908373612</v>
      </c>
      <c r="K607" s="143">
        <f>(INDEX(Production_Consumption!$AA$83:$AJ$99,MATCH('County Scaled Consumption '!$B607,Production_Consumption!$AA$83:$AA$99,0),MATCH('County Scaled Consumption '!K$2,Production_Consumption!$AA$83:$AJ$83,0)))*'CA Population'!$L607*10^6</f>
        <v>127529.07213887748</v>
      </c>
      <c r="L607" s="131">
        <f t="shared" si="9"/>
        <v>0</v>
      </c>
    </row>
    <row r="608" spans="1:12" x14ac:dyDescent="0.2">
      <c r="A608" s="132" t="s">
        <v>320</v>
      </c>
      <c r="B608" s="129">
        <v>2010</v>
      </c>
      <c r="C608" s="143">
        <f>(INDEX(Production_Consumption!$AA$83:$AJ$99,MATCH('County Scaled Consumption '!$B608,Production_Consumption!$AA$83:$AA$99,0),MATCH('County Scaled Consumption '!C$2,Production_Consumption!$AA$83:$AJ$83,0)))*'CA Population'!$L608*10^6</f>
        <v>1617.3131740740346</v>
      </c>
      <c r="D608" s="143">
        <f>(INDEX(Production_Consumption!$AA$83:$AJ$99,MATCH('County Scaled Consumption '!$B608,Production_Consumption!$AA$83:$AA$99,0),MATCH('County Scaled Consumption '!D$2,Production_Consumption!$AA$83:$AJ$83,0)))*'CA Population'!$L608*10^6</f>
        <v>6812.7584318271001</v>
      </c>
      <c r="E608" s="143">
        <f>(INDEX(Production_Consumption!$AA$83:$AJ$99,MATCH('County Scaled Consumption '!$B608,Production_Consumption!$AA$83:$AA$99,0),MATCH('County Scaled Consumption '!E$2,Production_Consumption!$AA$83:$AJ$83,0)))*'CA Population'!$L608*10^6</f>
        <v>3969.4830167974405</v>
      </c>
      <c r="F608" s="143">
        <f>(INDEX(Production_Consumption!$AA$83:$AJ$99,MATCH('County Scaled Consumption '!$B608,Production_Consumption!$AA$83:$AA$99,0),MATCH('County Scaled Consumption '!F$2,Production_Consumption!$AA$83:$AJ$83,0)))*'CA Population'!$L608*10^6</f>
        <v>2092.2380790791462</v>
      </c>
      <c r="G608" s="143">
        <f>(INDEX(Production_Consumption!$AA$83:$AJ$99,MATCH('County Scaled Consumption '!$B608,Production_Consumption!$AA$83:$AA$99,0),MATCH('County Scaled Consumption '!G$2,Production_Consumption!$AA$83:$AJ$83,0)))*'CA Population'!$L608*10^6</f>
        <v>4490.2368290028598</v>
      </c>
      <c r="H608" s="143">
        <f>(INDEX(Production_Consumption!$AA$83:$AJ$99,MATCH('County Scaled Consumption '!$B608,Production_Consumption!$AA$83:$AA$99,0),MATCH('County Scaled Consumption '!H$2,Production_Consumption!$AA$83:$AJ$83,0)))*'CA Population'!$L608*10^6</f>
        <v>120.59317544584177</v>
      </c>
      <c r="I608" s="143">
        <f>(INDEX(Production_Consumption!$AA$83:$AJ$99,MATCH('County Scaled Consumption '!$B608,Production_Consumption!$AA$83:$AA$99,0),MATCH('County Scaled Consumption '!I$2,Production_Consumption!$AA$83:$AJ$83,0)))*'CA Population'!$L608*10^6</f>
        <v>2382.8183768642116</v>
      </c>
      <c r="J608" s="143">
        <f>(INDEX(Production_Consumption!$AA$83:$AJ$99,MATCH('County Scaled Consumption '!$B608,Production_Consumption!$AA$83:$AA$99,0),MATCH('County Scaled Consumption '!J$2,Production_Consumption!$AA$83:$AJ$83,0)))*'CA Population'!$L608*10^6</f>
        <v>1750.5429550758383</v>
      </c>
      <c r="K608" s="143">
        <f>(INDEX(Production_Consumption!$AA$83:$AJ$99,MATCH('County Scaled Consumption '!$B608,Production_Consumption!$AA$83:$AA$99,0),MATCH('County Scaled Consumption '!K$2,Production_Consumption!$AA$83:$AJ$83,0)))*'CA Population'!$L608*10^6</f>
        <v>23235.984038166473</v>
      </c>
      <c r="L608" s="131">
        <f t="shared" si="9"/>
        <v>0</v>
      </c>
    </row>
    <row r="609" spans="1:12" x14ac:dyDescent="0.2">
      <c r="A609" s="132" t="s">
        <v>321</v>
      </c>
      <c r="B609" s="129">
        <v>2010</v>
      </c>
      <c r="C609" s="143">
        <f>(INDEX(Production_Consumption!$AA$83:$AJ$99,MATCH('County Scaled Consumption '!$B609,Production_Consumption!$AA$83:$AA$99,0),MATCH('County Scaled Consumption '!C$2,Production_Consumption!$AA$83:$AJ$83,0)))*'CA Population'!$L609*10^6</f>
        <v>683.63308364054228</v>
      </c>
      <c r="D609" s="143">
        <f>(INDEX(Production_Consumption!$AA$83:$AJ$99,MATCH('County Scaled Consumption '!$B609,Production_Consumption!$AA$83:$AA$99,0),MATCH('County Scaled Consumption '!D$2,Production_Consumption!$AA$83:$AJ$83,0)))*'CA Population'!$L609*10^6</f>
        <v>2879.7311055816986</v>
      </c>
      <c r="E609" s="143">
        <f>(INDEX(Production_Consumption!$AA$83:$AJ$99,MATCH('County Scaled Consumption '!$B609,Production_Consumption!$AA$83:$AA$99,0),MATCH('County Scaled Consumption '!E$2,Production_Consumption!$AA$83:$AJ$83,0)))*'CA Population'!$L609*10^6</f>
        <v>1677.88772065476</v>
      </c>
      <c r="F609" s="143">
        <f>(INDEX(Production_Consumption!$AA$83:$AJ$99,MATCH('County Scaled Consumption '!$B609,Production_Consumption!$AA$83:$AA$99,0),MATCH('County Scaled Consumption '!F$2,Production_Consumption!$AA$83:$AJ$83,0)))*'CA Population'!$L609*10^6</f>
        <v>884.38231545968142</v>
      </c>
      <c r="G609" s="143">
        <f>(INDEX(Production_Consumption!$AA$83:$AJ$99,MATCH('County Scaled Consumption '!$B609,Production_Consumption!$AA$83:$AA$99,0),MATCH('County Scaled Consumption '!G$2,Production_Consumption!$AA$83:$AJ$83,0)))*'CA Population'!$L609*10^6</f>
        <v>1898.008684338484</v>
      </c>
      <c r="H609" s="143">
        <f>(INDEX(Production_Consumption!$AA$83:$AJ$99,MATCH('County Scaled Consumption '!$B609,Production_Consumption!$AA$83:$AA$99,0),MATCH('County Scaled Consumption '!H$2,Production_Consumption!$AA$83:$AJ$83,0)))*'CA Population'!$L609*10^6</f>
        <v>50.974347898480588</v>
      </c>
      <c r="I609" s="143">
        <f>(INDEX(Production_Consumption!$AA$83:$AJ$99,MATCH('County Scaled Consumption '!$B609,Production_Consumption!$AA$83:$AA$99,0),MATCH('County Scaled Consumption '!I$2,Production_Consumption!$AA$83:$AJ$83,0)))*'CA Population'!$L609*10^6</f>
        <v>1007.2096739480741</v>
      </c>
      <c r="J609" s="143">
        <f>(INDEX(Production_Consumption!$AA$83:$AJ$99,MATCH('County Scaled Consumption '!$B609,Production_Consumption!$AA$83:$AA$99,0),MATCH('County Scaled Consumption '!J$2,Production_Consumption!$AA$83:$AJ$83,0)))*'CA Population'!$L609*10^6</f>
        <v>739.94888411694899</v>
      </c>
      <c r="K609" s="143">
        <f>(INDEX(Production_Consumption!$AA$83:$AJ$99,MATCH('County Scaled Consumption '!$B609,Production_Consumption!$AA$83:$AA$99,0),MATCH('County Scaled Consumption '!K$2,Production_Consumption!$AA$83:$AJ$83,0)))*'CA Population'!$L609*10^6</f>
        <v>9821.7758156386699</v>
      </c>
      <c r="L609" s="131">
        <f t="shared" si="9"/>
        <v>0</v>
      </c>
    </row>
    <row r="610" spans="1:12" x14ac:dyDescent="0.2">
      <c r="A610" s="132" t="s">
        <v>322</v>
      </c>
      <c r="B610" s="129">
        <v>2010</v>
      </c>
      <c r="C610" s="143">
        <f>(INDEX(Production_Consumption!$AA$83:$AJ$99,MATCH('County Scaled Consumption '!$B610,Production_Consumption!$AA$83:$AA$99,0),MATCH('County Scaled Consumption '!C$2,Production_Consumption!$AA$83:$AJ$83,0)))*'CA Population'!$L610*10^6</f>
        <v>368.90708193979316</v>
      </c>
      <c r="D610" s="143">
        <f>(INDEX(Production_Consumption!$AA$83:$AJ$99,MATCH('County Scaled Consumption '!$B610,Production_Consumption!$AA$83:$AA$99,0),MATCH('County Scaled Consumption '!D$2,Production_Consumption!$AA$83:$AJ$83,0)))*'CA Population'!$L610*10^6</f>
        <v>1553.9815499771651</v>
      </c>
      <c r="E610" s="143">
        <f>(INDEX(Production_Consumption!$AA$83:$AJ$99,MATCH('County Scaled Consumption '!$B610,Production_Consumption!$AA$83:$AA$99,0),MATCH('County Scaled Consumption '!E$2,Production_Consumption!$AA$83:$AJ$83,0)))*'CA Population'!$L610*10^6</f>
        <v>905.43403714912017</v>
      </c>
      <c r="F610" s="143">
        <f>(INDEX(Production_Consumption!$AA$83:$AJ$99,MATCH('County Scaled Consumption '!$B610,Production_Consumption!$AA$83:$AA$99,0),MATCH('County Scaled Consumption '!F$2,Production_Consumption!$AA$83:$AJ$83,0)))*'CA Population'!$L610*10^6</f>
        <v>477.23684988735153</v>
      </c>
      <c r="G610" s="143">
        <f>(INDEX(Production_Consumption!$AA$83:$AJ$99,MATCH('County Scaled Consumption '!$B610,Production_Consumption!$AA$83:$AA$99,0),MATCH('County Scaled Consumption '!G$2,Production_Consumption!$AA$83:$AJ$83,0)))*'CA Population'!$L610*10^6</f>
        <v>1024.2173206524612</v>
      </c>
      <c r="H610" s="143">
        <f>(INDEX(Production_Consumption!$AA$83:$AJ$99,MATCH('County Scaled Consumption '!$B610,Production_Consumption!$AA$83:$AA$99,0),MATCH('County Scaled Consumption '!H$2,Production_Consumption!$AA$83:$AJ$83,0)))*'CA Population'!$L610*10^6</f>
        <v>27.507150234554707</v>
      </c>
      <c r="I610" s="143">
        <f>(INDEX(Production_Consumption!$AA$83:$AJ$99,MATCH('County Scaled Consumption '!$B610,Production_Consumption!$AA$83:$AA$99,0),MATCH('County Scaled Consumption '!I$2,Production_Consumption!$AA$83:$AJ$83,0)))*'CA Population'!$L610*10^6</f>
        <v>543.51784694066407</v>
      </c>
      <c r="J610" s="143">
        <f>(INDEX(Production_Consumption!$AA$83:$AJ$99,MATCH('County Scaled Consumption '!$B610,Production_Consumption!$AA$83:$AA$99,0),MATCH('County Scaled Consumption '!J$2,Production_Consumption!$AA$83:$AJ$83,0)))*'CA Population'!$L610*10^6</f>
        <v>399.29662586037165</v>
      </c>
      <c r="K610" s="143">
        <f>(INDEX(Production_Consumption!$AA$83:$AJ$99,MATCH('County Scaled Consumption '!$B610,Production_Consumption!$AA$83:$AA$99,0),MATCH('County Scaled Consumption '!K$2,Production_Consumption!$AA$83:$AJ$83,0)))*'CA Population'!$L610*10^6</f>
        <v>5300.0984626414811</v>
      </c>
      <c r="L610" s="131">
        <f t="shared" si="9"/>
        <v>0</v>
      </c>
    </row>
    <row r="611" spans="1:12" x14ac:dyDescent="0.2">
      <c r="A611" s="132" t="s">
        <v>323</v>
      </c>
      <c r="B611" s="129">
        <v>2010</v>
      </c>
      <c r="C611" s="143">
        <f>(INDEX(Production_Consumption!$AA$83:$AJ$99,MATCH('County Scaled Consumption '!$B611,Production_Consumption!$AA$83:$AA$99,0),MATCH('County Scaled Consumption '!C$2,Production_Consumption!$AA$83:$AJ$83,0)))*'CA Population'!$L611*10^6</f>
        <v>103801.48787131289</v>
      </c>
      <c r="D611" s="143">
        <f>(INDEX(Production_Consumption!$AA$83:$AJ$99,MATCH('County Scaled Consumption '!$B611,Production_Consumption!$AA$83:$AA$99,0),MATCH('County Scaled Consumption '!D$2,Production_Consumption!$AA$83:$AJ$83,0)))*'CA Population'!$L611*10^6</f>
        <v>437252.64411845664</v>
      </c>
      <c r="E611" s="143">
        <f>(INDEX(Production_Consumption!$AA$83:$AJ$99,MATCH('County Scaled Consumption '!$B611,Production_Consumption!$AA$83:$AA$99,0),MATCH('County Scaled Consumption '!E$2,Production_Consumption!$AA$83:$AJ$83,0)))*'CA Population'!$L611*10^6</f>
        <v>254767.13467036933</v>
      </c>
      <c r="F611" s="143">
        <f>(INDEX(Production_Consumption!$AA$83:$AJ$99,MATCH('County Scaled Consumption '!$B611,Production_Consumption!$AA$83:$AA$99,0),MATCH('County Scaled Consumption '!F$2,Production_Consumption!$AA$83:$AJ$83,0)))*'CA Population'!$L611*10^6</f>
        <v>134282.85199851551</v>
      </c>
      <c r="G611" s="143">
        <f>(INDEX(Production_Consumption!$AA$83:$AJ$99,MATCH('County Scaled Consumption '!$B611,Production_Consumption!$AA$83:$AA$99,0),MATCH('County Scaled Consumption '!G$2,Production_Consumption!$AA$83:$AJ$83,0)))*'CA Population'!$L611*10^6</f>
        <v>288189.86403911334</v>
      </c>
      <c r="H611" s="143">
        <f>(INDEX(Production_Consumption!$AA$83:$AJ$99,MATCH('County Scaled Consumption '!$B611,Production_Consumption!$AA$83:$AA$99,0),MATCH('County Scaled Consumption '!H$2,Production_Consumption!$AA$83:$AJ$83,0)))*'CA Population'!$L611*10^6</f>
        <v>7739.8436116563998</v>
      </c>
      <c r="I611" s="143">
        <f>(INDEX(Production_Consumption!$AA$83:$AJ$99,MATCH('County Scaled Consumption '!$B611,Production_Consumption!$AA$83:$AA$99,0),MATCH('County Scaled Consumption '!I$2,Production_Consumption!$AA$83:$AJ$83,0)))*'CA Population'!$L611*10^6</f>
        <v>152932.71384326805</v>
      </c>
      <c r="J611" s="143">
        <f>(INDEX(Production_Consumption!$AA$83:$AJ$99,MATCH('County Scaled Consumption '!$B611,Production_Consumption!$AA$83:$AA$99,0),MATCH('County Scaled Consumption '!J$2,Production_Consumption!$AA$83:$AJ$83,0)))*'CA Population'!$L611*10^6</f>
        <v>112352.36701979581</v>
      </c>
      <c r="K611" s="143">
        <f>(INDEX(Production_Consumption!$AA$83:$AJ$99,MATCH('County Scaled Consumption '!$B611,Production_Consumption!$AA$83:$AA$99,0),MATCH('County Scaled Consumption '!K$2,Production_Consumption!$AA$83:$AJ$83,0)))*'CA Population'!$L611*10^6</f>
        <v>1491318.907172488</v>
      </c>
      <c r="L611" s="131">
        <f t="shared" si="9"/>
        <v>0</v>
      </c>
    </row>
    <row r="612" spans="1:12" x14ac:dyDescent="0.2">
      <c r="A612" s="132" t="s">
        <v>324</v>
      </c>
      <c r="B612" s="129">
        <v>2010</v>
      </c>
      <c r="C612" s="143">
        <f>(INDEX(Production_Consumption!$AA$83:$AJ$99,MATCH('County Scaled Consumption '!$B612,Production_Consumption!$AA$83:$AA$99,0),MATCH('County Scaled Consumption '!C$2,Production_Consumption!$AA$83:$AJ$83,0)))*'CA Population'!$L612*10^6</f>
        <v>1594.9324234660239</v>
      </c>
      <c r="D612" s="143">
        <f>(INDEX(Production_Consumption!$AA$83:$AJ$99,MATCH('County Scaled Consumption '!$B612,Production_Consumption!$AA$83:$AA$99,0),MATCH('County Scaled Consumption '!D$2,Production_Consumption!$AA$83:$AJ$83,0)))*'CA Population'!$L612*10^6</f>
        <v>6718.4819182491774</v>
      </c>
      <c r="E612" s="143">
        <f>(INDEX(Production_Consumption!$AA$83:$AJ$99,MATCH('County Scaled Consumption '!$B612,Production_Consumption!$AA$83:$AA$99,0),MATCH('County Scaled Consumption '!E$2,Production_Consumption!$AA$83:$AJ$83,0)))*'CA Population'!$L612*10^6</f>
        <v>3914.552400472905</v>
      </c>
      <c r="F612" s="143">
        <f>(INDEX(Production_Consumption!$AA$83:$AJ$99,MATCH('County Scaled Consumption '!$B612,Production_Consumption!$AA$83:$AA$99,0),MATCH('County Scaled Consumption '!F$2,Production_Consumption!$AA$83:$AJ$83,0)))*'CA Population'!$L612*10^6</f>
        <v>2063.2852087191659</v>
      </c>
      <c r="G612" s="143">
        <f>(INDEX(Production_Consumption!$AA$83:$AJ$99,MATCH('County Scaled Consumption '!$B612,Production_Consumption!$AA$83:$AA$99,0),MATCH('County Scaled Consumption '!G$2,Production_Consumption!$AA$83:$AJ$83,0)))*'CA Population'!$L612*10^6</f>
        <v>4428.0999019983828</v>
      </c>
      <c r="H612" s="143">
        <f>(INDEX(Production_Consumption!$AA$83:$AJ$99,MATCH('County Scaled Consumption '!$B612,Production_Consumption!$AA$83:$AA$99,0),MATCH('County Scaled Consumption '!H$2,Production_Consumption!$AA$83:$AJ$83,0)))*'CA Population'!$L612*10^6</f>
        <v>118.92437942788642</v>
      </c>
      <c r="I612" s="143">
        <f>(INDEX(Production_Consumption!$AA$83:$AJ$99,MATCH('County Scaled Consumption '!$B612,Production_Consumption!$AA$83:$AA$99,0),MATCH('County Scaled Consumption '!I$2,Production_Consumption!$AA$83:$AJ$83,0)))*'CA Population'!$L612*10^6</f>
        <v>2349.8443897034904</v>
      </c>
      <c r="J612" s="143">
        <f>(INDEX(Production_Consumption!$AA$83:$AJ$99,MATCH('County Scaled Consumption '!$B612,Production_Consumption!$AA$83:$AA$99,0),MATCH('County Scaled Consumption '!J$2,Production_Consumption!$AA$83:$AJ$83,0)))*'CA Population'!$L612*10^6</f>
        <v>1726.3185402041834</v>
      </c>
      <c r="K612" s="143">
        <f>(INDEX(Production_Consumption!$AA$83:$AJ$99,MATCH('County Scaled Consumption '!$B612,Production_Consumption!$AA$83:$AA$99,0),MATCH('County Scaled Consumption '!K$2,Production_Consumption!$AA$83:$AJ$83,0)))*'CA Population'!$L612*10^6</f>
        <v>22914.439162241211</v>
      </c>
      <c r="L612" s="131">
        <f t="shared" si="9"/>
        <v>0</v>
      </c>
    </row>
    <row r="613" spans="1:12" x14ac:dyDescent="0.2">
      <c r="A613" s="132" t="s">
        <v>325</v>
      </c>
      <c r="B613" s="129">
        <v>2010</v>
      </c>
      <c r="C613" s="143">
        <f>(INDEX(Production_Consumption!$AA$83:$AJ$99,MATCH('County Scaled Consumption '!$B613,Production_Consumption!$AA$83:$AA$99,0),MATCH('County Scaled Consumption '!C$2,Production_Consumption!$AA$83:$AJ$83,0)))*'CA Population'!$L613*10^6</f>
        <v>2668.4472745476783</v>
      </c>
      <c r="D613" s="143">
        <f>(INDEX(Production_Consumption!$AA$83:$AJ$99,MATCH('County Scaled Consumption '!$B613,Production_Consumption!$AA$83:$AA$99,0),MATCH('County Scaled Consumption '!D$2,Production_Consumption!$AA$83:$AJ$83,0)))*'CA Population'!$L613*10^6</f>
        <v>11240.548188800294</v>
      </c>
      <c r="E613" s="143">
        <f>(INDEX(Production_Consumption!$AA$83:$AJ$99,MATCH('County Scaled Consumption '!$B613,Production_Consumption!$AA$83:$AA$99,0),MATCH('County Scaled Consumption '!E$2,Production_Consumption!$AA$83:$AJ$83,0)))*'CA Population'!$L613*10^6</f>
        <v>6549.3537722531091</v>
      </c>
      <c r="F613" s="143">
        <f>(INDEX(Production_Consumption!$AA$83:$AJ$99,MATCH('County Scaled Consumption '!$B613,Production_Consumption!$AA$83:$AA$99,0),MATCH('County Scaled Consumption '!F$2,Production_Consumption!$AA$83:$AJ$83,0)))*'CA Population'!$L613*10^6</f>
        <v>3452.0382875259065</v>
      </c>
      <c r="G613" s="143">
        <f>(INDEX(Production_Consumption!$AA$83:$AJ$99,MATCH('County Scaled Consumption '!$B613,Production_Consumption!$AA$83:$AA$99,0),MATCH('County Scaled Consumption '!G$2,Production_Consumption!$AA$83:$AJ$83,0)))*'CA Population'!$L613*10^6</f>
        <v>7408.5590969642371</v>
      </c>
      <c r="H613" s="143">
        <f>(INDEX(Production_Consumption!$AA$83:$AJ$99,MATCH('County Scaled Consumption '!$B613,Production_Consumption!$AA$83:$AA$99,0),MATCH('County Scaled Consumption '!H$2,Production_Consumption!$AA$83:$AJ$83,0)))*'CA Population'!$L613*10^6</f>
        <v>198.96983188289781</v>
      </c>
      <c r="I613" s="143">
        <f>(INDEX(Production_Consumption!$AA$83:$AJ$99,MATCH('County Scaled Consumption '!$B613,Production_Consumption!$AA$83:$AA$99,0),MATCH('County Scaled Consumption '!I$2,Production_Consumption!$AA$83:$AJ$83,0)))*'CA Population'!$L613*10^6</f>
        <v>3931.4743151868774</v>
      </c>
      <c r="J613" s="143">
        <f>(INDEX(Production_Consumption!$AA$83:$AJ$99,MATCH('County Scaled Consumption '!$B613,Production_Consumption!$AA$83:$AA$99,0),MATCH('County Scaled Consumption '!J$2,Production_Consumption!$AA$83:$AJ$83,0)))*'CA Population'!$L613*10^6</f>
        <v>2888.266572196319</v>
      </c>
      <c r="K613" s="143">
        <f>(INDEX(Production_Consumption!$AA$83:$AJ$99,MATCH('County Scaled Consumption '!$B613,Production_Consumption!$AA$83:$AA$99,0),MATCH('County Scaled Consumption '!K$2,Production_Consumption!$AA$83:$AJ$83,0)))*'CA Population'!$L613*10^6</f>
        <v>38337.65733935732</v>
      </c>
      <c r="L613" s="131">
        <f t="shared" si="9"/>
        <v>0</v>
      </c>
    </row>
    <row r="614" spans="1:12" x14ac:dyDescent="0.2">
      <c r="A614" s="132" t="s">
        <v>326</v>
      </c>
      <c r="B614" s="129">
        <v>2010</v>
      </c>
      <c r="C614" s="143">
        <f>(INDEX(Production_Consumption!$AA$83:$AJ$99,MATCH('County Scaled Consumption '!$B614,Production_Consumption!$AA$83:$AA$99,0),MATCH('County Scaled Consumption '!C$2,Production_Consumption!$AA$83:$AJ$83,0)))*'CA Population'!$L614*10^6</f>
        <v>192.94807715956915</v>
      </c>
      <c r="D614" s="143">
        <f>(INDEX(Production_Consumption!$AA$83:$AJ$99,MATCH('County Scaled Consumption '!$B614,Production_Consumption!$AA$83:$AA$99,0),MATCH('County Scaled Consumption '!D$2,Production_Consumption!$AA$83:$AJ$83,0)))*'CA Population'!$L614*10^6</f>
        <v>812.77309839900397</v>
      </c>
      <c r="E614" s="143">
        <f>(INDEX(Production_Consumption!$AA$83:$AJ$99,MATCH('County Scaled Consumption '!$B614,Production_Consumption!$AA$83:$AA$99,0),MATCH('County Scaled Consumption '!E$2,Production_Consumption!$AA$83:$AJ$83,0)))*'CA Population'!$L614*10^6</f>
        <v>473.56574328725014</v>
      </c>
      <c r="F614" s="143">
        <f>(INDEX(Production_Consumption!$AA$83:$AJ$99,MATCH('County Scaled Consumption '!$B614,Production_Consumption!$AA$83:$AA$99,0),MATCH('County Scaled Consumption '!F$2,Production_Consumption!$AA$83:$AJ$83,0)))*'CA Population'!$L614*10^6</f>
        <v>249.60738636750406</v>
      </c>
      <c r="G614" s="143">
        <f>(INDEX(Production_Consumption!$AA$83:$AJ$99,MATCH('County Scaled Consumption '!$B614,Production_Consumption!$AA$83:$AA$99,0),MATCH('County Scaled Consumption '!G$2,Production_Consumption!$AA$83:$AJ$83,0)))*'CA Population'!$L614*10^6</f>
        <v>535.69251523794435</v>
      </c>
      <c r="H614" s="143">
        <f>(INDEX(Production_Consumption!$AA$83:$AJ$99,MATCH('County Scaled Consumption '!$B614,Production_Consumption!$AA$83:$AA$99,0),MATCH('County Scaled Consumption '!H$2,Production_Consumption!$AA$83:$AJ$83,0)))*'CA Population'!$L614*10^6</f>
        <v>14.386960852009114</v>
      </c>
      <c r="I614" s="143">
        <f>(INDEX(Production_Consumption!$AA$83:$AJ$99,MATCH('County Scaled Consumption '!$B614,Production_Consumption!$AA$83:$AA$99,0),MATCH('County Scaled Consumption '!I$2,Production_Consumption!$AA$83:$AJ$83,0)))*'CA Population'!$L614*10^6</f>
        <v>284.27408581498958</v>
      </c>
      <c r="J614" s="143">
        <f>(INDEX(Production_Consumption!$AA$83:$AJ$99,MATCH('County Scaled Consumption '!$B614,Production_Consumption!$AA$83:$AA$99,0),MATCH('County Scaled Consumption '!J$2,Production_Consumption!$AA$83:$AJ$83,0)))*'CA Population'!$L614*10^6</f>
        <v>208.84260549011734</v>
      </c>
      <c r="K614" s="143">
        <f>(INDEX(Production_Consumption!$AA$83:$AJ$99,MATCH('County Scaled Consumption '!$B614,Production_Consumption!$AA$83:$AA$99,0),MATCH('County Scaled Consumption '!K$2,Production_Consumption!$AA$83:$AJ$83,0)))*'CA Population'!$L614*10^6</f>
        <v>2772.0904726083872</v>
      </c>
      <c r="L614" s="131">
        <f t="shared" si="9"/>
        <v>0</v>
      </c>
    </row>
    <row r="615" spans="1:12" x14ac:dyDescent="0.2">
      <c r="A615" s="132" t="s">
        <v>327</v>
      </c>
      <c r="B615" s="129">
        <v>2010</v>
      </c>
      <c r="C615" s="143">
        <f>(INDEX(Production_Consumption!$AA$83:$AJ$99,MATCH('County Scaled Consumption '!$B615,Production_Consumption!$AA$83:$AA$99,0),MATCH('County Scaled Consumption '!C$2,Production_Consumption!$AA$83:$AJ$83,0)))*'CA Population'!$L615*10^6</f>
        <v>928.64785742007086</v>
      </c>
      <c r="D615" s="143">
        <f>(INDEX(Production_Consumption!$AA$83:$AJ$99,MATCH('County Scaled Consumption '!$B615,Production_Consumption!$AA$83:$AA$99,0),MATCH('County Scaled Consumption '!D$2,Production_Consumption!$AA$83:$AJ$83,0)))*'CA Population'!$L615*10^6</f>
        <v>3911.8295839387924</v>
      </c>
      <c r="E615" s="143">
        <f>(INDEX(Production_Consumption!$AA$83:$AJ$99,MATCH('County Scaled Consumption '!$B615,Production_Consumption!$AA$83:$AA$99,0),MATCH('County Scaled Consumption '!E$2,Production_Consumption!$AA$83:$AJ$83,0)))*'CA Population'!$L615*10^6</f>
        <v>2279.244340370135</v>
      </c>
      <c r="F615" s="143">
        <f>(INDEX(Production_Consumption!$AA$83:$AJ$99,MATCH('County Scaled Consumption '!$B615,Production_Consumption!$AA$83:$AA$99,0),MATCH('County Scaled Consumption '!F$2,Production_Consumption!$AA$83:$AJ$83,0)))*'CA Population'!$L615*10^6</f>
        <v>1201.3458126079624</v>
      </c>
      <c r="G615" s="143">
        <f>(INDEX(Production_Consumption!$AA$83:$AJ$99,MATCH('County Scaled Consumption '!$B615,Production_Consumption!$AA$83:$AA$99,0),MATCH('County Scaled Consumption '!G$2,Production_Consumption!$AA$83:$AJ$83,0)))*'CA Population'!$L615*10^6</f>
        <v>2578.2568752953962</v>
      </c>
      <c r="H615" s="143">
        <f>(INDEX(Production_Consumption!$AA$83:$AJ$99,MATCH('County Scaled Consumption '!$B615,Production_Consumption!$AA$83:$AA$99,0),MATCH('County Scaled Consumption '!H$2,Production_Consumption!$AA$83:$AJ$83,0)))*'CA Population'!$L615*10^6</f>
        <v>69.24360463543546</v>
      </c>
      <c r="I615" s="143">
        <f>(INDEX(Production_Consumption!$AA$83:$AJ$99,MATCH('County Scaled Consumption '!$B615,Production_Consumption!$AA$83:$AA$99,0),MATCH('County Scaled Consumption '!I$2,Production_Consumption!$AA$83:$AJ$83,0)))*'CA Population'!$L615*10^6</f>
        <v>1368.1946179428248</v>
      </c>
      <c r="J615" s="143">
        <f>(INDEX(Production_Consumption!$AA$83:$AJ$99,MATCH('County Scaled Consumption '!$B615,Production_Consumption!$AA$83:$AA$99,0),MATCH('County Scaled Consumption '!J$2,Production_Consumption!$AA$83:$AJ$83,0)))*'CA Population'!$L615*10^6</f>
        <v>1005.1472965238835</v>
      </c>
      <c r="K615" s="143">
        <f>(INDEX(Production_Consumption!$AA$83:$AJ$99,MATCH('County Scaled Consumption '!$B615,Production_Consumption!$AA$83:$AA$99,0),MATCH('County Scaled Consumption '!K$2,Production_Consumption!$AA$83:$AJ$83,0)))*'CA Population'!$L615*10^6</f>
        <v>13341.9099887345</v>
      </c>
      <c r="L615" s="131">
        <f t="shared" si="9"/>
        <v>0</v>
      </c>
    </row>
    <row r="616" spans="1:12" x14ac:dyDescent="0.2">
      <c r="A616" s="132" t="s">
        <v>328</v>
      </c>
      <c r="B616" s="129">
        <v>2010</v>
      </c>
      <c r="C616" s="143">
        <f>(INDEX(Production_Consumption!$AA$83:$AJ$99,MATCH('County Scaled Consumption '!$B616,Production_Consumption!$AA$83:$AA$99,0),MATCH('County Scaled Consumption '!C$2,Production_Consumption!$AA$83:$AJ$83,0)))*'CA Population'!$L616*10^6</f>
        <v>2704.2226453825906</v>
      </c>
      <c r="D616" s="143">
        <f>(INDEX(Production_Consumption!$AA$83:$AJ$99,MATCH('County Scaled Consumption '!$B616,Production_Consumption!$AA$83:$AA$99,0),MATCH('County Scaled Consumption '!D$2,Production_Consumption!$AA$83:$AJ$83,0)))*'CA Population'!$L616*10^6</f>
        <v>11391.248104694339</v>
      </c>
      <c r="E616" s="143">
        <f>(INDEX(Production_Consumption!$AA$83:$AJ$99,MATCH('County Scaled Consumption '!$B616,Production_Consumption!$AA$83:$AA$99,0),MATCH('County Scaled Consumption '!E$2,Production_Consumption!$AA$83:$AJ$83,0)))*'CA Population'!$L616*10^6</f>
        <v>6637.1597267369216</v>
      </c>
      <c r="F616" s="143">
        <f>(INDEX(Production_Consumption!$AA$83:$AJ$99,MATCH('County Scaled Consumption '!$B616,Production_Consumption!$AA$83:$AA$99,0),MATCH('County Scaled Consumption '!F$2,Production_Consumption!$AA$83:$AJ$83,0)))*'CA Population'!$L616*10^6</f>
        <v>3498.3191157253277</v>
      </c>
      <c r="G616" s="143">
        <f>(INDEX(Production_Consumption!$AA$83:$AJ$99,MATCH('County Scaled Consumption '!$B616,Production_Consumption!$AA$83:$AA$99,0),MATCH('County Scaled Consumption '!G$2,Production_Consumption!$AA$83:$AJ$83,0)))*'CA Population'!$L616*10^6</f>
        <v>7507.8842556714426</v>
      </c>
      <c r="H616" s="143">
        <f>(INDEX(Production_Consumption!$AA$83:$AJ$99,MATCH('County Scaled Consumption '!$B616,Production_Consumption!$AA$83:$AA$99,0),MATCH('County Scaled Consumption '!H$2,Production_Consumption!$AA$83:$AJ$83,0)))*'CA Population'!$L616*10^6</f>
        <v>201.63738300465548</v>
      </c>
      <c r="I616" s="143">
        <f>(INDEX(Production_Consumption!$AA$83:$AJ$99,MATCH('County Scaled Consumption '!$B616,Production_Consumption!$AA$83:$AA$99,0),MATCH('County Scaled Consumption '!I$2,Production_Consumption!$AA$83:$AJ$83,0)))*'CA Population'!$L616*10^6</f>
        <v>3984.1828520559761</v>
      </c>
      <c r="J616" s="143">
        <f>(INDEX(Production_Consumption!$AA$83:$AJ$99,MATCH('County Scaled Consumption '!$B616,Production_Consumption!$AA$83:$AA$99,0),MATCH('County Scaled Consumption '!J$2,Production_Consumption!$AA$83:$AJ$83,0)))*'CA Population'!$L616*10^6</f>
        <v>2926.9890190199758</v>
      </c>
      <c r="K616" s="143">
        <f>(INDEX(Production_Consumption!$AA$83:$AJ$99,MATCH('County Scaled Consumption '!$B616,Production_Consumption!$AA$83:$AA$99,0),MATCH('County Scaled Consumption '!K$2,Production_Consumption!$AA$83:$AJ$83,0)))*'CA Population'!$L616*10^6</f>
        <v>38851.643102291229</v>
      </c>
      <c r="L616" s="131">
        <f t="shared" si="9"/>
        <v>0</v>
      </c>
    </row>
    <row r="617" spans="1:12" x14ac:dyDescent="0.2">
      <c r="A617" s="132" t="s">
        <v>329</v>
      </c>
      <c r="B617" s="129">
        <v>2010</v>
      </c>
      <c r="C617" s="143">
        <f>(INDEX(Production_Consumption!$AA$83:$AJ$99,MATCH('County Scaled Consumption '!$B617,Production_Consumption!$AA$83:$AA$99,0),MATCH('County Scaled Consumption '!C$2,Production_Consumption!$AA$83:$AJ$83,0)))*'CA Population'!$L617*10^6</f>
        <v>102.39959867226928</v>
      </c>
      <c r="D617" s="143">
        <f>(INDEX(Production_Consumption!$AA$83:$AJ$99,MATCH('County Scaled Consumption '!$B617,Production_Consumption!$AA$83:$AA$99,0),MATCH('County Scaled Consumption '!D$2,Production_Consumption!$AA$83:$AJ$83,0)))*'CA Population'!$L617*10^6</f>
        <v>431.34733609625511</v>
      </c>
      <c r="E617" s="143">
        <f>(INDEX(Production_Consumption!$AA$83:$AJ$99,MATCH('County Scaled Consumption '!$B617,Production_Consumption!$AA$83:$AA$99,0),MATCH('County Scaled Consumption '!E$2,Production_Consumption!$AA$83:$AJ$83,0)))*'CA Population'!$L617*10^6</f>
        <v>251.32638153965834</v>
      </c>
      <c r="F617" s="143">
        <f>(INDEX(Production_Consumption!$AA$83:$AJ$99,MATCH('County Scaled Consumption '!$B617,Production_Consumption!$AA$83:$AA$99,0),MATCH('County Scaled Consumption '!F$2,Production_Consumption!$AA$83:$AJ$83,0)))*'CA Population'!$L617*10^6</f>
        <v>132.46929726347292</v>
      </c>
      <c r="G617" s="143">
        <f>(INDEX(Production_Consumption!$AA$83:$AJ$99,MATCH('County Scaled Consumption '!$B617,Production_Consumption!$AA$83:$AA$99,0),MATCH('County Scaled Consumption '!G$2,Production_Consumption!$AA$83:$AJ$83,0)))*'CA Population'!$L617*10^6</f>
        <v>284.29772081500903</v>
      </c>
      <c r="H617" s="143">
        <f>(INDEX(Production_Consumption!$AA$83:$AJ$99,MATCH('County Scaled Consumption '!$B617,Production_Consumption!$AA$83:$AA$99,0),MATCH('County Scaled Consumption '!H$2,Production_Consumption!$AA$83:$AJ$83,0)))*'CA Population'!$L617*10^6</f>
        <v>7.6353132876313774</v>
      </c>
      <c r="I617" s="143">
        <f>(INDEX(Production_Consumption!$AA$83:$AJ$99,MATCH('County Scaled Consumption '!$B617,Production_Consumption!$AA$83:$AA$99,0),MATCH('County Scaled Consumption '!I$2,Production_Consumption!$AA$83:$AJ$83,0)))*'CA Population'!$L617*10^6</f>
        <v>150.86728372165848</v>
      </c>
      <c r="J617" s="143">
        <f>(INDEX(Production_Consumption!$AA$83:$AJ$99,MATCH('County Scaled Consumption '!$B617,Production_Consumption!$AA$83:$AA$99,0),MATCH('County Scaled Consumption '!J$2,Production_Consumption!$AA$83:$AJ$83,0)))*'CA Population'!$L617*10^6</f>
        <v>110.83499407031267</v>
      </c>
      <c r="K617" s="143">
        <f>(INDEX(Production_Consumption!$AA$83:$AJ$99,MATCH('County Scaled Consumption '!$B617,Production_Consumption!$AA$83:$AA$99,0),MATCH('County Scaled Consumption '!K$2,Production_Consumption!$AA$83:$AJ$83,0)))*'CA Population'!$L617*10^6</f>
        <v>1471.1779254662672</v>
      </c>
      <c r="L617" s="131">
        <f t="shared" si="9"/>
        <v>0</v>
      </c>
    </row>
    <row r="618" spans="1:12" x14ac:dyDescent="0.2">
      <c r="A618" s="132" t="s">
        <v>330</v>
      </c>
      <c r="B618" s="129">
        <v>2010</v>
      </c>
      <c r="C618" s="143">
        <f>(INDEX(Production_Consumption!$AA$83:$AJ$99,MATCH('County Scaled Consumption '!$B618,Production_Consumption!$AA$83:$AA$99,0),MATCH('County Scaled Consumption '!C$2,Production_Consumption!$AA$83:$AJ$83,0)))*'CA Population'!$L618*10^6</f>
        <v>150.14238079120054</v>
      </c>
      <c r="D618" s="143">
        <f>(INDEX(Production_Consumption!$AA$83:$AJ$99,MATCH('County Scaled Consumption '!$B618,Production_Consumption!$AA$83:$AA$99,0),MATCH('County Scaled Consumption '!D$2,Production_Consumption!$AA$83:$AJ$83,0)))*'CA Population'!$L618*10^6</f>
        <v>632.45868957660696</v>
      </c>
      <c r="E618" s="143">
        <f>(INDEX(Production_Consumption!$AA$83:$AJ$99,MATCH('County Scaled Consumption '!$B618,Production_Consumption!$AA$83:$AA$99,0),MATCH('County Scaled Consumption '!E$2,Production_Consumption!$AA$83:$AJ$83,0)))*'CA Population'!$L618*10^6</f>
        <v>368.50477706238161</v>
      </c>
      <c r="F618" s="143">
        <f>(INDEX(Production_Consumption!$AA$83:$AJ$99,MATCH('County Scaled Consumption '!$B618,Production_Consumption!$AA$83:$AA$99,0),MATCH('County Scaled Consumption '!F$2,Production_Consumption!$AA$83:$AJ$83,0)))*'CA Population'!$L618*10^6</f>
        <v>194.23177366671925</v>
      </c>
      <c r="G618" s="143">
        <f>(INDEX(Production_Consumption!$AA$83:$AJ$99,MATCH('County Scaled Consumption '!$B618,Production_Consumption!$AA$83:$AA$99,0),MATCH('County Scaled Consumption '!G$2,Production_Consumption!$AA$83:$AJ$83,0)))*'CA Population'!$L618*10^6</f>
        <v>416.84867138289883</v>
      </c>
      <c r="H618" s="143">
        <f>(INDEX(Production_Consumption!$AA$83:$AJ$99,MATCH('County Scaled Consumption '!$B618,Production_Consumption!$AA$83:$AA$99,0),MATCH('County Scaled Consumption '!H$2,Production_Consumption!$AA$83:$AJ$83,0)))*'CA Population'!$L618*10^6</f>
        <v>11.195201250355238</v>
      </c>
      <c r="I618" s="143">
        <f>(INDEX(Production_Consumption!$AA$83:$AJ$99,MATCH('County Scaled Consumption '!$B618,Production_Consumption!$AA$83:$AA$99,0),MATCH('County Scaled Consumption '!I$2,Production_Consumption!$AA$83:$AJ$83,0)))*'CA Population'!$L618*10^6</f>
        <v>221.2076361155269</v>
      </c>
      <c r="J618" s="143">
        <f>(INDEX(Production_Consumption!$AA$83:$AJ$99,MATCH('County Scaled Consumption '!$B618,Production_Consumption!$AA$83:$AA$99,0),MATCH('County Scaled Consumption '!J$2,Production_Consumption!$AA$83:$AJ$83,0)))*'CA Population'!$L618*10^6</f>
        <v>162.51069438226105</v>
      </c>
      <c r="K618" s="143">
        <f>(INDEX(Production_Consumption!$AA$83:$AJ$99,MATCH('County Scaled Consumption '!$B618,Production_Consumption!$AA$83:$AA$99,0),MATCH('County Scaled Consumption '!K$2,Production_Consumption!$AA$83:$AJ$83,0)))*'CA Population'!$L618*10^6</f>
        <v>2157.0998242279502</v>
      </c>
      <c r="L618" s="131">
        <f t="shared" si="9"/>
        <v>0</v>
      </c>
    </row>
    <row r="619" spans="1:12" x14ac:dyDescent="0.2">
      <c r="A619" s="132" t="s">
        <v>331</v>
      </c>
      <c r="B619" s="129">
        <v>2010</v>
      </c>
      <c r="C619" s="143">
        <f>(INDEX(Production_Consumption!$AA$83:$AJ$99,MATCH('County Scaled Consumption '!$B619,Production_Consumption!$AA$83:$AA$99,0),MATCH('County Scaled Consumption '!C$2,Production_Consumption!$AA$83:$AJ$83,0)))*'CA Population'!$L619*10^6</f>
        <v>4387.9486089320744</v>
      </c>
      <c r="D619" s="143">
        <f>(INDEX(Production_Consumption!$AA$83:$AJ$99,MATCH('County Scaled Consumption '!$B619,Production_Consumption!$AA$83:$AA$99,0),MATCH('County Scaled Consumption '!D$2,Production_Consumption!$AA$83:$AJ$83,0)))*'CA Population'!$L619*10^6</f>
        <v>18483.763295282199</v>
      </c>
      <c r="E619" s="143">
        <f>(INDEX(Production_Consumption!$AA$83:$AJ$99,MATCH('County Scaled Consumption '!$B619,Production_Consumption!$AA$83:$AA$99,0),MATCH('County Scaled Consumption '!E$2,Production_Consumption!$AA$83:$AJ$83,0)))*'CA Population'!$L619*10^6</f>
        <v>10769.644222868676</v>
      </c>
      <c r="F619" s="143">
        <f>(INDEX(Production_Consumption!$AA$83:$AJ$99,MATCH('County Scaled Consumption '!$B619,Production_Consumption!$AA$83:$AA$99,0),MATCH('County Scaled Consumption '!F$2,Production_Consumption!$AA$83:$AJ$83,0)))*'CA Population'!$L619*10^6</f>
        <v>5676.4721365151026</v>
      </c>
      <c r="G619" s="143">
        <f>(INDEX(Production_Consumption!$AA$83:$AJ$99,MATCH('County Scaled Consumption '!$B619,Production_Consumption!$AA$83:$AA$99,0),MATCH('County Scaled Consumption '!G$2,Production_Consumption!$AA$83:$AJ$83,0)))*'CA Population'!$L619*10^6</f>
        <v>12182.50661865736</v>
      </c>
      <c r="H619" s="143">
        <f>(INDEX(Production_Consumption!$AA$83:$AJ$99,MATCH('County Scaled Consumption '!$B619,Production_Consumption!$AA$83:$AA$99,0),MATCH('County Scaled Consumption '!H$2,Production_Consumption!$AA$83:$AJ$83,0)))*'CA Population'!$L619*10^6</f>
        <v>327.18255494780271</v>
      </c>
      <c r="I619" s="143">
        <f>(INDEX(Production_Consumption!$AA$83:$AJ$99,MATCH('County Scaled Consumption '!$B619,Production_Consumption!$AA$83:$AA$99,0),MATCH('County Scaled Consumption '!I$2,Production_Consumption!$AA$83:$AJ$83,0)))*'CA Population'!$L619*10^6</f>
        <v>6464.8484595973987</v>
      </c>
      <c r="J619" s="143">
        <f>(INDEX(Production_Consumption!$AA$83:$AJ$99,MATCH('County Scaled Consumption '!$B619,Production_Consumption!$AA$83:$AA$99,0),MATCH('County Scaled Consumption '!J$2,Production_Consumption!$AA$83:$AJ$83,0)))*'CA Population'!$L619*10^6</f>
        <v>4749.4156652737729</v>
      </c>
      <c r="K619" s="143">
        <f>(INDEX(Production_Consumption!$AA$83:$AJ$99,MATCH('County Scaled Consumption '!$B619,Production_Consumption!$AA$83:$AA$99,0),MATCH('County Scaled Consumption '!K$2,Production_Consumption!$AA$83:$AJ$83,0)))*'CA Population'!$L619*10^6</f>
        <v>63041.781562074379</v>
      </c>
      <c r="L619" s="131">
        <f t="shared" si="9"/>
        <v>0</v>
      </c>
    </row>
    <row r="620" spans="1:12" x14ac:dyDescent="0.2">
      <c r="A620" s="132" t="s">
        <v>332</v>
      </c>
      <c r="B620" s="129">
        <v>2010</v>
      </c>
      <c r="C620" s="143">
        <f>(INDEX(Production_Consumption!$AA$83:$AJ$99,MATCH('County Scaled Consumption '!$B620,Production_Consumption!$AA$83:$AA$99,0),MATCH('County Scaled Consumption '!C$2,Production_Consumption!$AA$83:$AJ$83,0)))*'CA Population'!$L620*10^6</f>
        <v>1442.8976693357424</v>
      </c>
      <c r="D620" s="143">
        <f>(INDEX(Production_Consumption!$AA$83:$AJ$99,MATCH('County Scaled Consumption '!$B620,Production_Consumption!$AA$83:$AA$99,0),MATCH('County Scaled Consumption '!D$2,Production_Consumption!$AA$83:$AJ$83,0)))*'CA Population'!$L620*10^6</f>
        <v>6078.0518087715564</v>
      </c>
      <c r="E620" s="143">
        <f>(INDEX(Production_Consumption!$AA$83:$AJ$99,MATCH('County Scaled Consumption '!$B620,Production_Consumption!$AA$83:$AA$99,0),MATCH('County Scaled Consumption '!E$2,Production_Consumption!$AA$83:$AJ$83,0)))*'CA Population'!$L620*10^6</f>
        <v>3541.4030413027804</v>
      </c>
      <c r="F620" s="143">
        <f>(INDEX(Production_Consumption!$AA$83:$AJ$99,MATCH('County Scaled Consumption '!$B620,Production_Consumption!$AA$83:$AA$99,0),MATCH('County Scaled Consumption '!F$2,Production_Consumption!$AA$83:$AJ$83,0)))*'CA Population'!$L620*10^6</f>
        <v>1866.6053652392977</v>
      </c>
      <c r="G620" s="143">
        <f>(INDEX(Production_Consumption!$AA$83:$AJ$99,MATCH('County Scaled Consumption '!$B620,Production_Consumption!$AA$83:$AA$99,0),MATCH('County Scaled Consumption '!G$2,Production_Consumption!$AA$83:$AJ$83,0)))*'CA Population'!$L620*10^6</f>
        <v>4005.9973288989972</v>
      </c>
      <c r="H620" s="143">
        <f>(INDEX(Production_Consumption!$AA$83:$AJ$99,MATCH('County Scaled Consumption '!$B620,Production_Consumption!$AA$83:$AA$99,0),MATCH('County Scaled Consumption '!H$2,Production_Consumption!$AA$83:$AJ$83,0)))*'CA Population'!$L620*10^6</f>
        <v>107.58807544384483</v>
      </c>
      <c r="I620" s="143">
        <f>(INDEX(Production_Consumption!$AA$83:$AJ$99,MATCH('County Scaled Consumption '!$B620,Production_Consumption!$AA$83:$AA$99,0),MATCH('County Scaled Consumption '!I$2,Production_Consumption!$AA$83:$AJ$83,0)))*'CA Population'!$L620*10^6</f>
        <v>2125.8486838185872</v>
      </c>
      <c r="J620" s="143">
        <f>(INDEX(Production_Consumption!$AA$83:$AJ$99,MATCH('County Scaled Consumption '!$B620,Production_Consumption!$AA$83:$AA$99,0),MATCH('County Scaled Consumption '!J$2,Production_Consumption!$AA$83:$AJ$83,0)))*'CA Population'!$L620*10^6</f>
        <v>1561.7595840070778</v>
      </c>
      <c r="K620" s="143">
        <f>(INDEX(Production_Consumption!$AA$83:$AJ$99,MATCH('County Scaled Consumption '!$B620,Production_Consumption!$AA$83:$AA$99,0),MATCH('County Scaled Consumption '!K$2,Production_Consumption!$AA$83:$AJ$83,0)))*'CA Population'!$L620*10^6</f>
        <v>20730.151556817884</v>
      </c>
      <c r="L620" s="131">
        <f t="shared" si="9"/>
        <v>0</v>
      </c>
    </row>
    <row r="621" spans="1:12" x14ac:dyDescent="0.2">
      <c r="A621" s="132" t="s">
        <v>333</v>
      </c>
      <c r="B621" s="129">
        <v>2010</v>
      </c>
      <c r="C621" s="143">
        <f>(INDEX(Production_Consumption!$AA$83:$AJ$99,MATCH('County Scaled Consumption '!$B621,Production_Consumption!$AA$83:$AA$99,0),MATCH('County Scaled Consumption '!C$2,Production_Consumption!$AA$83:$AJ$83,0)))*'CA Population'!$L621*10^6</f>
        <v>1044.1249187763785</v>
      </c>
      <c r="D621" s="143">
        <f>(INDEX(Production_Consumption!$AA$83:$AJ$99,MATCH('County Scaled Consumption '!$B621,Production_Consumption!$AA$83:$AA$99,0),MATCH('County Scaled Consumption '!D$2,Production_Consumption!$AA$83:$AJ$83,0)))*'CA Population'!$L621*10^6</f>
        <v>4398.2643301889875</v>
      </c>
      <c r="E621" s="143">
        <f>(INDEX(Production_Consumption!$AA$83:$AJ$99,MATCH('County Scaled Consumption '!$B621,Production_Consumption!$AA$83:$AA$99,0),MATCH('County Scaled Consumption '!E$2,Production_Consumption!$AA$83:$AJ$83,0)))*'CA Population'!$L621*10^6</f>
        <v>2562.667638486766</v>
      </c>
      <c r="F621" s="143">
        <f>(INDEX(Production_Consumption!$AA$83:$AJ$99,MATCH('County Scaled Consumption '!$B621,Production_Consumption!$AA$83:$AA$99,0),MATCH('County Scaled Consumption '!F$2,Production_Consumption!$AA$83:$AJ$83,0)))*'CA Population'!$L621*10^6</f>
        <v>1350.7327766807389</v>
      </c>
      <c r="G621" s="143">
        <f>(INDEX(Production_Consumption!$AA$83:$AJ$99,MATCH('County Scaled Consumption '!$B621,Production_Consumption!$AA$83:$AA$99,0),MATCH('County Scaled Consumption '!G$2,Production_Consumption!$AA$83:$AJ$83,0)))*'CA Population'!$L621*10^6</f>
        <v>2898.8622856260113</v>
      </c>
      <c r="H621" s="143">
        <f>(INDEX(Production_Consumption!$AA$83:$AJ$99,MATCH('County Scaled Consumption '!$B621,Production_Consumption!$AA$83:$AA$99,0),MATCH('County Scaled Consumption '!H$2,Production_Consumption!$AA$83:$AJ$83,0)))*'CA Population'!$L621*10^6</f>
        <v>77.854024524016651</v>
      </c>
      <c r="I621" s="143">
        <f>(INDEX(Production_Consumption!$AA$83:$AJ$99,MATCH('County Scaled Consumption '!$B621,Production_Consumption!$AA$83:$AA$99,0),MATCH('County Scaled Consumption '!I$2,Production_Consumption!$AA$83:$AJ$83,0)))*'CA Population'!$L621*10^6</f>
        <v>1538.3291771098366</v>
      </c>
      <c r="J621" s="143">
        <f>(INDEX(Production_Consumption!$AA$83:$AJ$99,MATCH('County Scaled Consumption '!$B621,Production_Consumption!$AA$83:$AA$99,0),MATCH('County Scaled Consumption '!J$2,Production_Consumption!$AA$83:$AJ$83,0)))*'CA Population'!$L621*10^6</f>
        <v>1130.1370384431509</v>
      </c>
      <c r="K621" s="143">
        <f>(INDEX(Production_Consumption!$AA$83:$AJ$99,MATCH('County Scaled Consumption '!$B621,Production_Consumption!$AA$83:$AA$99,0),MATCH('County Scaled Consumption '!K$2,Production_Consumption!$AA$83:$AJ$83,0)))*'CA Population'!$L621*10^6</f>
        <v>15000.972189835886</v>
      </c>
      <c r="L621" s="131">
        <f t="shared" si="9"/>
        <v>0</v>
      </c>
    </row>
    <row r="622" spans="1:12" x14ac:dyDescent="0.2">
      <c r="A622" s="132" t="s">
        <v>334</v>
      </c>
      <c r="B622" s="129">
        <v>2010</v>
      </c>
      <c r="C622" s="143">
        <f>(INDEX(Production_Consumption!$AA$83:$AJ$99,MATCH('County Scaled Consumption '!$B622,Production_Consumption!$AA$83:$AA$99,0),MATCH('County Scaled Consumption '!C$2,Production_Consumption!$AA$83:$AJ$83,0)))*'CA Population'!$L622*10^6</f>
        <v>31823.926152222022</v>
      </c>
      <c r="D622" s="143">
        <f>(INDEX(Production_Consumption!$AA$83:$AJ$99,MATCH('County Scaled Consumption '!$B622,Production_Consumption!$AA$83:$AA$99,0),MATCH('County Scaled Consumption '!D$2,Production_Consumption!$AA$83:$AJ$83,0)))*'CA Population'!$L622*10^6</f>
        <v>134054.87861157363</v>
      </c>
      <c r="E622" s="143">
        <f>(INDEX(Production_Consumption!$AA$83:$AJ$99,MATCH('County Scaled Consumption '!$B622,Production_Consumption!$AA$83:$AA$99,0),MATCH('County Scaled Consumption '!E$2,Production_Consumption!$AA$83:$AJ$83,0)))*'CA Population'!$L622*10^6</f>
        <v>78107.65188466743</v>
      </c>
      <c r="F622" s="143">
        <f>(INDEX(Production_Consumption!$AA$83:$AJ$99,MATCH('County Scaled Consumption '!$B622,Production_Consumption!$AA$83:$AA$99,0),MATCH('County Scaled Consumption '!F$2,Production_Consumption!$AA$83:$AJ$83,0)))*'CA Population'!$L622*10^6</f>
        <v>41169.039607683109</v>
      </c>
      <c r="G622" s="143">
        <f>(INDEX(Production_Consumption!$AA$83:$AJ$99,MATCH('County Scaled Consumption '!$B622,Production_Consumption!$AA$83:$AA$99,0),MATCH('County Scaled Consumption '!G$2,Production_Consumption!$AA$83:$AJ$83,0)))*'CA Population'!$L622*10^6</f>
        <v>88354.542300682049</v>
      </c>
      <c r="H622" s="143">
        <f>(INDEX(Production_Consumption!$AA$83:$AJ$99,MATCH('County Scaled Consumption '!$B622,Production_Consumption!$AA$83:$AA$99,0),MATCH('County Scaled Consumption '!H$2,Production_Consumption!$AA$83:$AJ$83,0)))*'CA Population'!$L622*10^6</f>
        <v>2372.9160012856883</v>
      </c>
      <c r="I622" s="143">
        <f>(INDEX(Production_Consumption!$AA$83:$AJ$99,MATCH('County Scaled Consumption '!$B622,Production_Consumption!$AA$83:$AA$99,0),MATCH('County Scaled Consumption '!I$2,Production_Consumption!$AA$83:$AJ$83,0)))*'CA Population'!$L622*10^6</f>
        <v>46886.797977701368</v>
      </c>
      <c r="J622" s="143">
        <f>(INDEX(Production_Consumption!$AA$83:$AJ$99,MATCH('County Scaled Consumption '!$B622,Production_Consumption!$AA$83:$AA$99,0),MATCH('County Scaled Consumption '!J$2,Production_Consumption!$AA$83:$AJ$83,0)))*'CA Population'!$L622*10^6</f>
        <v>34445.493069405893</v>
      </c>
      <c r="K622" s="143">
        <f>(INDEX(Production_Consumption!$AA$83:$AJ$99,MATCH('County Scaled Consumption '!$B622,Production_Consumption!$AA$83:$AA$99,0),MATCH('County Scaled Consumption '!K$2,Production_Consumption!$AA$83:$AJ$83,0)))*'CA Population'!$L622*10^6</f>
        <v>457215.24560522113</v>
      </c>
      <c r="L622" s="131">
        <f t="shared" si="9"/>
        <v>0</v>
      </c>
    </row>
    <row r="623" spans="1:12" x14ac:dyDescent="0.2">
      <c r="A623" s="132" t="s">
        <v>335</v>
      </c>
      <c r="B623" s="129">
        <v>2010</v>
      </c>
      <c r="C623" s="143">
        <f>(INDEX(Production_Consumption!$AA$83:$AJ$99,MATCH('County Scaled Consumption '!$B623,Production_Consumption!$AA$83:$AA$99,0),MATCH('County Scaled Consumption '!C$2,Production_Consumption!$AA$83:$AJ$83,0)))*'CA Population'!$L623*10^6</f>
        <v>3683.5945658245023</v>
      </c>
      <c r="D623" s="143">
        <f>(INDEX(Production_Consumption!$AA$83:$AJ$99,MATCH('County Scaled Consumption '!$B623,Production_Consumption!$AA$83:$AA$99,0),MATCH('County Scaled Consumption '!D$2,Production_Consumption!$AA$83:$AJ$83,0)))*'CA Population'!$L623*10^6</f>
        <v>15516.747368437989</v>
      </c>
      <c r="E623" s="143">
        <f>(INDEX(Production_Consumption!$AA$83:$AJ$99,MATCH('County Scaled Consumption '!$B623,Production_Consumption!$AA$83:$AA$99,0),MATCH('County Scaled Consumption '!E$2,Production_Consumption!$AA$83:$AJ$83,0)))*'CA Population'!$L623*10^6</f>
        <v>9040.8996255034326</v>
      </c>
      <c r="F623" s="143">
        <f>(INDEX(Production_Consumption!$AA$83:$AJ$99,MATCH('County Scaled Consumption '!$B623,Production_Consumption!$AA$83:$AA$99,0),MATCH('County Scaled Consumption '!F$2,Production_Consumption!$AA$83:$AJ$83,0)))*'CA Population'!$L623*10^6</f>
        <v>4765.2841404198225</v>
      </c>
      <c r="G623" s="143">
        <f>(INDEX(Production_Consumption!$AA$83:$AJ$99,MATCH('County Scaled Consumption '!$B623,Production_Consumption!$AA$83:$AA$99,0),MATCH('County Scaled Consumption '!G$2,Production_Consumption!$AA$83:$AJ$83,0)))*'CA Population'!$L623*10^6</f>
        <v>10226.969178093665</v>
      </c>
      <c r="H623" s="143">
        <f>(INDEX(Production_Consumption!$AA$83:$AJ$99,MATCH('County Scaled Consumption '!$B623,Production_Consumption!$AA$83:$AA$99,0),MATCH('County Scaled Consumption '!H$2,Production_Consumption!$AA$83:$AJ$83,0)))*'CA Population'!$L623*10^6</f>
        <v>274.6631715296279</v>
      </c>
      <c r="I623" s="143">
        <f>(INDEX(Production_Consumption!$AA$83:$AJ$99,MATCH('County Scaled Consumption '!$B623,Production_Consumption!$AA$83:$AA$99,0),MATCH('County Scaled Consumption '!I$2,Production_Consumption!$AA$83:$AJ$83,0)))*'CA Population'!$L623*10^6</f>
        <v>5427.1102004650947</v>
      </c>
      <c r="J623" s="143">
        <f>(INDEX(Production_Consumption!$AA$83:$AJ$99,MATCH('County Scaled Consumption '!$B623,Production_Consumption!$AA$83:$AA$99,0),MATCH('County Scaled Consumption '!J$2,Production_Consumption!$AA$83:$AJ$83,0)))*'CA Population'!$L623*10^6</f>
        <v>3987.038886424446</v>
      </c>
      <c r="K623" s="143">
        <f>(INDEX(Production_Consumption!$AA$83:$AJ$99,MATCH('County Scaled Consumption '!$B623,Production_Consumption!$AA$83:$AA$99,0),MATCH('County Scaled Consumption '!K$2,Production_Consumption!$AA$83:$AJ$83,0)))*'CA Population'!$L623*10^6</f>
        <v>52922.307136698568</v>
      </c>
      <c r="L623" s="131">
        <f t="shared" si="9"/>
        <v>0</v>
      </c>
    </row>
    <row r="624" spans="1:12" x14ac:dyDescent="0.2">
      <c r="A624" s="132" t="s">
        <v>336</v>
      </c>
      <c r="B624" s="129">
        <v>2010</v>
      </c>
      <c r="C624" s="143">
        <f>(INDEX(Production_Consumption!$AA$83:$AJ$99,MATCH('County Scaled Consumption '!$B624,Production_Consumption!$AA$83:$AA$99,0),MATCH('County Scaled Consumption '!C$2,Production_Consumption!$AA$83:$AJ$83,0)))*'CA Population'!$L624*10^6</f>
        <v>211.5123653351323</v>
      </c>
      <c r="D624" s="143">
        <f>(INDEX(Production_Consumption!$AA$83:$AJ$99,MATCH('County Scaled Consumption '!$B624,Production_Consumption!$AA$83:$AA$99,0),MATCH('County Scaled Consumption '!D$2,Production_Consumption!$AA$83:$AJ$83,0)))*'CA Population'!$L624*10^6</f>
        <v>890.97317295868027</v>
      </c>
      <c r="E624" s="143">
        <f>(INDEX(Production_Consumption!$AA$83:$AJ$99,MATCH('County Scaled Consumption '!$B624,Production_Consumption!$AA$83:$AA$99,0),MATCH('County Scaled Consumption '!E$2,Production_Consumption!$AA$83:$AJ$83,0)))*'CA Population'!$L624*10^6</f>
        <v>519.12935323806983</v>
      </c>
      <c r="F624" s="143">
        <f>(INDEX(Production_Consumption!$AA$83:$AJ$99,MATCH('County Scaled Consumption '!$B624,Production_Consumption!$AA$83:$AA$99,0),MATCH('County Scaled Consumption '!F$2,Production_Consumption!$AA$83:$AJ$83,0)))*'CA Population'!$L624*10^6</f>
        <v>273.62308799817288</v>
      </c>
      <c r="G624" s="143">
        <f>(INDEX(Production_Consumption!$AA$83:$AJ$99,MATCH('County Scaled Consumption '!$B624,Production_Consumption!$AA$83:$AA$99,0),MATCH('County Scaled Consumption '!G$2,Production_Consumption!$AA$83:$AJ$83,0)))*'CA Population'!$L624*10^6</f>
        <v>587.23358459073779</v>
      </c>
      <c r="H624" s="143">
        <f>(INDEX(Production_Consumption!$AA$83:$AJ$99,MATCH('County Scaled Consumption '!$B624,Production_Consumption!$AA$83:$AA$99,0),MATCH('County Scaled Consumption '!H$2,Production_Consumption!$AA$83:$AJ$83,0)))*'CA Population'!$L624*10^6</f>
        <v>15.771186552306522</v>
      </c>
      <c r="I624" s="143">
        <f>(INDEX(Production_Consumption!$AA$83:$AJ$99,MATCH('County Scaled Consumption '!$B624,Production_Consumption!$AA$83:$AA$99,0),MATCH('County Scaled Consumption '!I$2,Production_Consumption!$AA$83:$AJ$83,0)))*'CA Population'!$L624*10^6</f>
        <v>311.62520601065671</v>
      </c>
      <c r="J624" s="143">
        <f>(INDEX(Production_Consumption!$AA$83:$AJ$99,MATCH('County Scaled Consumption '!$B624,Production_Consumption!$AA$83:$AA$99,0),MATCH('County Scaled Consumption '!J$2,Production_Consumption!$AA$83:$AJ$83,0)))*'CA Population'!$L624*10^6</f>
        <v>228.93616832177838</v>
      </c>
      <c r="K624" s="143">
        <f>(INDEX(Production_Consumption!$AA$83:$AJ$99,MATCH('County Scaled Consumption '!$B624,Production_Consumption!$AA$83:$AA$99,0),MATCH('County Scaled Consumption '!K$2,Production_Consumption!$AA$83:$AJ$83,0)))*'CA Population'!$L624*10^6</f>
        <v>3038.8041250055339</v>
      </c>
      <c r="L624" s="131">
        <f t="shared" si="9"/>
        <v>0</v>
      </c>
    </row>
    <row r="625" spans="1:12" x14ac:dyDescent="0.2">
      <c r="A625" s="132" t="s">
        <v>337</v>
      </c>
      <c r="B625" s="129">
        <v>2010</v>
      </c>
      <c r="C625" s="143">
        <f>(INDEX(Production_Consumption!$AA$83:$AJ$99,MATCH('County Scaled Consumption '!$B625,Production_Consumption!$AA$83:$AA$99,0),MATCH('County Scaled Consumption '!C$2,Production_Consumption!$AA$83:$AJ$83,0)))*'CA Population'!$L625*10^6</f>
        <v>23148.705310380588</v>
      </c>
      <c r="D625" s="143">
        <f>(INDEX(Production_Consumption!$AA$83:$AJ$99,MATCH('County Scaled Consumption '!$B625,Production_Consumption!$AA$83:$AA$99,0),MATCH('County Scaled Consumption '!D$2,Production_Consumption!$AA$83:$AJ$83,0)))*'CA Population'!$L625*10^6</f>
        <v>97511.440466357642</v>
      </c>
      <c r="E625" s="143">
        <f>(INDEX(Production_Consumption!$AA$83:$AJ$99,MATCH('County Scaled Consumption '!$B625,Production_Consumption!$AA$83:$AA$99,0),MATCH('County Scaled Consumption '!E$2,Production_Consumption!$AA$83:$AJ$83,0)))*'CA Population'!$L625*10^6</f>
        <v>56815.460396539238</v>
      </c>
      <c r="F625" s="143">
        <f>(INDEX(Production_Consumption!$AA$83:$AJ$99,MATCH('County Scaled Consumption '!$B625,Production_Consumption!$AA$83:$AA$99,0),MATCH('County Scaled Consumption '!F$2,Production_Consumption!$AA$83:$AJ$83,0)))*'CA Population'!$L625*10^6</f>
        <v>29946.335383985966</v>
      </c>
      <c r="G625" s="143">
        <f>(INDEX(Production_Consumption!$AA$83:$AJ$99,MATCH('County Scaled Consumption '!$B625,Production_Consumption!$AA$83:$AA$99,0),MATCH('County Scaled Consumption '!G$2,Production_Consumption!$AA$83:$AJ$83,0)))*'CA Population'!$L625*10^6</f>
        <v>64269.042504965641</v>
      </c>
      <c r="H625" s="143">
        <f>(INDEX(Production_Consumption!$AA$83:$AJ$99,MATCH('County Scaled Consumption '!$B625,Production_Consumption!$AA$83:$AA$99,0),MATCH('County Scaled Consumption '!H$2,Production_Consumption!$AA$83:$AJ$83,0)))*'CA Population'!$L625*10^6</f>
        <v>1726.0577144788826</v>
      </c>
      <c r="I625" s="143">
        <f>(INDEX(Production_Consumption!$AA$83:$AJ$99,MATCH('County Scaled Consumption '!$B625,Production_Consumption!$AA$83:$AA$99,0),MATCH('County Scaled Consumption '!I$2,Production_Consumption!$AA$83:$AJ$83,0)))*'CA Population'!$L625*10^6</f>
        <v>34105.42948539913</v>
      </c>
      <c r="J625" s="143">
        <f>(INDEX(Production_Consumption!$AA$83:$AJ$99,MATCH('County Scaled Consumption '!$B625,Production_Consumption!$AA$83:$AA$99,0),MATCH('County Scaled Consumption '!J$2,Production_Consumption!$AA$83:$AJ$83,0)))*'CA Population'!$L625*10^6</f>
        <v>25055.631555968765</v>
      </c>
      <c r="K625" s="143">
        <f>(INDEX(Production_Consumption!$AA$83:$AJ$99,MATCH('County Scaled Consumption '!$B625,Production_Consumption!$AA$83:$AA$99,0),MATCH('County Scaled Consumption '!K$2,Production_Consumption!$AA$83:$AJ$83,0)))*'CA Population'!$L625*10^6</f>
        <v>332578.1028180758</v>
      </c>
      <c r="L625" s="131">
        <f t="shared" si="9"/>
        <v>0</v>
      </c>
    </row>
    <row r="626" spans="1:12" x14ac:dyDescent="0.2">
      <c r="A626" s="132" t="s">
        <v>338</v>
      </c>
      <c r="B626" s="129">
        <v>2010</v>
      </c>
      <c r="C626" s="143">
        <f>(INDEX(Production_Consumption!$AA$83:$AJ$99,MATCH('County Scaled Consumption '!$B626,Production_Consumption!$AA$83:$AA$99,0),MATCH('County Scaled Consumption '!C$2,Production_Consumption!$AA$83:$AJ$83,0)))*'CA Population'!$L626*10^6</f>
        <v>14999.310530769315</v>
      </c>
      <c r="D626" s="143">
        <f>(INDEX(Production_Consumption!$AA$83:$AJ$99,MATCH('County Scaled Consumption '!$B626,Production_Consumption!$AA$83:$AA$99,0),MATCH('County Scaled Consumption '!D$2,Production_Consumption!$AA$83:$AJ$83,0)))*'CA Population'!$L626*10^6</f>
        <v>63182.988259894031</v>
      </c>
      <c r="E626" s="143">
        <f>(INDEX(Production_Consumption!$AA$83:$AJ$99,MATCH('County Scaled Consumption '!$B626,Production_Consumption!$AA$83:$AA$99,0),MATCH('County Scaled Consumption '!E$2,Production_Consumption!$AA$83:$AJ$83,0)))*'CA Population'!$L626*10^6</f>
        <v>36813.839997097748</v>
      </c>
      <c r="F626" s="143">
        <f>(INDEX(Production_Consumption!$AA$83:$AJ$99,MATCH('County Scaled Consumption '!$B626,Production_Consumption!$AA$83:$AA$99,0),MATCH('County Scaled Consumption '!F$2,Production_Consumption!$AA$83:$AJ$83,0)))*'CA Population'!$L626*10^6</f>
        <v>19403.866335520153</v>
      </c>
      <c r="G626" s="143">
        <f>(INDEX(Production_Consumption!$AA$83:$AJ$99,MATCH('County Scaled Consumption '!$B626,Production_Consumption!$AA$83:$AA$99,0),MATCH('County Scaled Consumption '!G$2,Production_Consumption!$AA$83:$AJ$83,0)))*'CA Population'!$L626*10^6</f>
        <v>41643.42295268274</v>
      </c>
      <c r="H626" s="143">
        <f>(INDEX(Production_Consumption!$AA$83:$AJ$99,MATCH('County Scaled Consumption '!$B626,Production_Consumption!$AA$83:$AA$99,0),MATCH('County Scaled Consumption '!H$2,Production_Consumption!$AA$83:$AJ$83,0)))*'CA Population'!$L626*10^6</f>
        <v>1118.4070688346012</v>
      </c>
      <c r="I626" s="143">
        <f>(INDEX(Production_Consumption!$AA$83:$AJ$99,MATCH('County Scaled Consumption '!$B626,Production_Consumption!$AA$83:$AA$99,0),MATCH('County Scaled Consumption '!I$2,Production_Consumption!$AA$83:$AJ$83,0)))*'CA Population'!$L626*10^6</f>
        <v>22098.770569573033</v>
      </c>
      <c r="J626" s="143">
        <f>(INDEX(Production_Consumption!$AA$83:$AJ$99,MATCH('County Scaled Consumption '!$B626,Production_Consumption!$AA$83:$AA$99,0),MATCH('County Scaled Consumption '!J$2,Production_Consumption!$AA$83:$AJ$83,0)))*'CA Population'!$L626*10^6</f>
        <v>16234.912199776043</v>
      </c>
      <c r="K626" s="143">
        <f>(INDEX(Production_Consumption!$AA$83:$AJ$99,MATCH('County Scaled Consumption '!$B626,Production_Consumption!$AA$83:$AA$99,0),MATCH('County Scaled Consumption '!K$2,Production_Consumption!$AA$83:$AJ$83,0)))*'CA Population'!$L626*10^6</f>
        <v>215495.51791414764</v>
      </c>
      <c r="L626" s="131">
        <f t="shared" si="9"/>
        <v>0</v>
      </c>
    </row>
    <row r="627" spans="1:12" x14ac:dyDescent="0.2">
      <c r="A627" s="132" t="s">
        <v>339</v>
      </c>
      <c r="B627" s="129">
        <v>2010</v>
      </c>
      <c r="C627" s="143">
        <f>(INDEX(Production_Consumption!$AA$83:$AJ$99,MATCH('County Scaled Consumption '!$B627,Production_Consumption!$AA$83:$AA$99,0),MATCH('County Scaled Consumption '!C$2,Production_Consumption!$AA$83:$AJ$83,0)))*'CA Population'!$L627*10^6</f>
        <v>584.29934121594567</v>
      </c>
      <c r="D627" s="143">
        <f>(INDEX(Production_Consumption!$AA$83:$AJ$99,MATCH('County Scaled Consumption '!$B627,Production_Consumption!$AA$83:$AA$99,0),MATCH('County Scaled Consumption '!D$2,Production_Consumption!$AA$83:$AJ$83,0)))*'CA Population'!$L627*10^6</f>
        <v>2461.2983603865296</v>
      </c>
      <c r="E627" s="143">
        <f>(INDEX(Production_Consumption!$AA$83:$AJ$99,MATCH('County Scaled Consumption '!$B627,Production_Consumption!$AA$83:$AA$99,0),MATCH('County Scaled Consumption '!E$2,Production_Consumption!$AA$83:$AJ$83,0)))*'CA Population'!$L627*10^6</f>
        <v>1434.086081077367</v>
      </c>
      <c r="F627" s="143">
        <f>(INDEX(Production_Consumption!$AA$83:$AJ$99,MATCH('County Scaled Consumption '!$B627,Production_Consumption!$AA$83:$AA$99,0),MATCH('County Scaled Consumption '!F$2,Production_Consumption!$AA$83:$AJ$83,0)))*'CA Population'!$L627*10^6</f>
        <v>755.87916482086359</v>
      </c>
      <c r="G627" s="143">
        <f>(INDEX(Production_Consumption!$AA$83:$AJ$99,MATCH('County Scaled Consumption '!$B627,Production_Consumption!$AA$83:$AA$99,0),MATCH('County Scaled Consumption '!G$2,Production_Consumption!$AA$83:$AJ$83,0)))*'CA Population'!$L627*10^6</f>
        <v>1622.2228713323077</v>
      </c>
      <c r="H627" s="143">
        <f>(INDEX(Production_Consumption!$AA$83:$AJ$99,MATCH('County Scaled Consumption '!$B627,Production_Consumption!$AA$83:$AA$99,0),MATCH('County Scaled Consumption '!H$2,Production_Consumption!$AA$83:$AJ$83,0)))*'CA Population'!$L627*10^6</f>
        <v>43.567636805089677</v>
      </c>
      <c r="I627" s="143">
        <f>(INDEX(Production_Consumption!$AA$83:$AJ$99,MATCH('County Scaled Consumption '!$B627,Production_Consumption!$AA$83:$AA$99,0),MATCH('County Scaled Consumption '!I$2,Production_Consumption!$AA$83:$AJ$83,0)))*'CA Population'!$L627*10^6</f>
        <v>860.85937476898016</v>
      </c>
      <c r="J627" s="143">
        <f>(INDEX(Production_Consumption!$AA$83:$AJ$99,MATCH('County Scaled Consumption '!$B627,Production_Consumption!$AA$83:$AA$99,0),MATCH('County Scaled Consumption '!J$2,Production_Consumption!$AA$83:$AJ$83,0)))*'CA Population'!$L627*10^6</f>
        <v>632.43230304275346</v>
      </c>
      <c r="K627" s="143">
        <f>(INDEX(Production_Consumption!$AA$83:$AJ$99,MATCH('County Scaled Consumption '!$B627,Production_Consumption!$AA$83:$AA$99,0),MATCH('County Scaled Consumption '!K$2,Production_Consumption!$AA$83:$AJ$83,0)))*'CA Population'!$L627*10^6</f>
        <v>8394.6451334498361</v>
      </c>
      <c r="L627" s="131">
        <f t="shared" si="9"/>
        <v>0</v>
      </c>
    </row>
    <row r="628" spans="1:12" x14ac:dyDescent="0.2">
      <c r="A628" s="132" t="s">
        <v>340</v>
      </c>
      <c r="B628" s="129">
        <v>2010</v>
      </c>
      <c r="C628" s="143">
        <f>(INDEX(Production_Consumption!$AA$83:$AJ$99,MATCH('County Scaled Consumption '!$B628,Production_Consumption!$AA$83:$AA$99,0),MATCH('County Scaled Consumption '!C$2,Production_Consumption!$AA$83:$AJ$83,0)))*'CA Population'!$L628*10^6</f>
        <v>21516.073426986288</v>
      </c>
      <c r="D628" s="143">
        <f>(INDEX(Production_Consumption!$AA$83:$AJ$99,MATCH('County Scaled Consumption '!$B628,Production_Consumption!$AA$83:$AA$99,0),MATCH('County Scaled Consumption '!D$2,Production_Consumption!$AA$83:$AJ$83,0)))*'CA Population'!$L628*10^6</f>
        <v>90634.153613097194</v>
      </c>
      <c r="E628" s="143">
        <f>(INDEX(Production_Consumption!$AA$83:$AJ$99,MATCH('County Scaled Consumption '!$B628,Production_Consumption!$AA$83:$AA$99,0),MATCH('County Scaled Consumption '!E$2,Production_Consumption!$AA$83:$AJ$83,0)))*'CA Population'!$L628*10^6</f>
        <v>52808.379617316547</v>
      </c>
      <c r="F628" s="143">
        <f>(INDEX(Production_Consumption!$AA$83:$AJ$99,MATCH('County Scaled Consumption '!$B628,Production_Consumption!$AA$83:$AA$99,0),MATCH('County Scaled Consumption '!F$2,Production_Consumption!$AA$83:$AJ$83,0)))*'CA Population'!$L628*10^6</f>
        <v>27834.280248151223</v>
      </c>
      <c r="G628" s="143">
        <f>(INDEX(Production_Consumption!$AA$83:$AJ$99,MATCH('County Scaled Consumption '!$B628,Production_Consumption!$AA$83:$AA$99,0),MATCH('County Scaled Consumption '!G$2,Production_Consumption!$AA$83:$AJ$83,0)))*'CA Population'!$L628*10^6</f>
        <v>59736.275488324849</v>
      </c>
      <c r="H628" s="143">
        <f>(INDEX(Production_Consumption!$AA$83:$AJ$99,MATCH('County Scaled Consumption '!$B628,Production_Consumption!$AA$83:$AA$99,0),MATCH('County Scaled Consumption '!H$2,Production_Consumption!$AA$83:$AJ$83,0)))*'CA Population'!$L628*10^6</f>
        <v>1604.3223163452672</v>
      </c>
      <c r="I628" s="143">
        <f>(INDEX(Production_Consumption!$AA$83:$AJ$99,MATCH('County Scaled Consumption '!$B628,Production_Consumption!$AA$83:$AA$99,0),MATCH('County Scaled Consumption '!I$2,Production_Consumption!$AA$83:$AJ$83,0)))*'CA Population'!$L628*10^6</f>
        <v>31700.041761630866</v>
      </c>
      <c r="J628" s="143">
        <f>(INDEX(Production_Consumption!$AA$83:$AJ$99,MATCH('County Scaled Consumption '!$B628,Production_Consumption!$AA$83:$AA$99,0),MATCH('County Scaled Consumption '!J$2,Production_Consumption!$AA$83:$AJ$83,0)))*'CA Population'!$L628*10^6</f>
        <v>23288.507978715777</v>
      </c>
      <c r="K628" s="143">
        <f>(INDEX(Production_Consumption!$AA$83:$AJ$99,MATCH('County Scaled Consumption '!$B628,Production_Consumption!$AA$83:$AA$99,0),MATCH('County Scaled Consumption '!K$2,Production_Consumption!$AA$83:$AJ$83,0)))*'CA Population'!$L628*10^6</f>
        <v>309122.03445056797</v>
      </c>
      <c r="L628" s="131">
        <f t="shared" si="9"/>
        <v>0</v>
      </c>
    </row>
    <row r="629" spans="1:12" x14ac:dyDescent="0.2">
      <c r="A629" s="132" t="s">
        <v>341</v>
      </c>
      <c r="B629" s="129">
        <v>2010</v>
      </c>
      <c r="C629" s="143">
        <f>(INDEX(Production_Consumption!$AA$83:$AJ$99,MATCH('County Scaled Consumption '!$B629,Production_Consumption!$AA$83:$AA$99,0),MATCH('County Scaled Consumption '!C$2,Production_Consumption!$AA$83:$AJ$83,0)))*'CA Population'!$L629*10^6</f>
        <v>32723.395515698721</v>
      </c>
      <c r="D629" s="143">
        <f>(INDEX(Production_Consumption!$AA$83:$AJ$99,MATCH('County Scaled Consumption '!$B629,Production_Consumption!$AA$83:$AA$99,0),MATCH('County Scaled Consumption '!D$2,Production_Consumption!$AA$83:$AJ$83,0)))*'CA Population'!$L629*10^6</f>
        <v>137843.79691659173</v>
      </c>
      <c r="E629" s="143">
        <f>(INDEX(Production_Consumption!$AA$83:$AJ$99,MATCH('County Scaled Consumption '!$B629,Production_Consumption!$AA$83:$AA$99,0),MATCH('County Scaled Consumption '!E$2,Production_Consumption!$AA$83:$AJ$83,0)))*'CA Population'!$L629*10^6</f>
        <v>80315.281439465674</v>
      </c>
      <c r="F629" s="143">
        <f>(INDEX(Production_Consumption!$AA$83:$AJ$99,MATCH('County Scaled Consumption '!$B629,Production_Consumption!$AA$83:$AA$99,0),MATCH('County Scaled Consumption '!F$2,Production_Consumption!$AA$83:$AJ$83,0)))*'CA Population'!$L629*10^6</f>
        <v>42332.638645518491</v>
      </c>
      <c r="G629" s="143">
        <f>(INDEX(Production_Consumption!$AA$83:$AJ$99,MATCH('County Scaled Consumption '!$B629,Production_Consumption!$AA$83:$AA$99,0),MATCH('County Scaled Consumption '!G$2,Production_Consumption!$AA$83:$AJ$83,0)))*'CA Population'!$L629*10^6</f>
        <v>90851.789294762333</v>
      </c>
      <c r="H629" s="143">
        <f>(INDEX(Production_Consumption!$AA$83:$AJ$99,MATCH('County Scaled Consumption '!$B629,Production_Consumption!$AA$83:$AA$99,0),MATCH('County Scaled Consumption '!H$2,Production_Consumption!$AA$83:$AJ$83,0)))*'CA Population'!$L629*10^6</f>
        <v>2439.9839436586972</v>
      </c>
      <c r="I629" s="143">
        <f>(INDEX(Production_Consumption!$AA$83:$AJ$99,MATCH('County Scaled Consumption '!$B629,Production_Consumption!$AA$83:$AA$99,0),MATCH('County Scaled Consumption '!I$2,Production_Consumption!$AA$83:$AJ$83,0)))*'CA Population'!$L629*10^6</f>
        <v>48212.003363445983</v>
      </c>
      <c r="J629" s="143">
        <f>(INDEX(Production_Consumption!$AA$83:$AJ$99,MATCH('County Scaled Consumption '!$B629,Production_Consumption!$AA$83:$AA$99,0),MATCH('County Scaled Consumption '!J$2,Production_Consumption!$AA$83:$AJ$83,0)))*'CA Population'!$L629*10^6</f>
        <v>35419.058228449481</v>
      </c>
      <c r="K629" s="143">
        <f>(INDEX(Production_Consumption!$AA$83:$AJ$99,MATCH('County Scaled Consumption '!$B629,Production_Consumption!$AA$83:$AA$99,0),MATCH('County Scaled Consumption '!K$2,Production_Consumption!$AA$83:$AJ$83,0)))*'CA Population'!$L629*10^6</f>
        <v>470137.94734759105</v>
      </c>
      <c r="L629" s="131">
        <f t="shared" si="9"/>
        <v>0</v>
      </c>
    </row>
    <row r="630" spans="1:12" x14ac:dyDescent="0.2">
      <c r="A630" s="132" t="s">
        <v>342</v>
      </c>
      <c r="B630" s="129">
        <v>2010</v>
      </c>
      <c r="C630" s="143">
        <f>(INDEX(Production_Consumption!$AA$83:$AJ$99,MATCH('County Scaled Consumption '!$B630,Production_Consumption!$AA$83:$AA$99,0),MATCH('County Scaled Consumption '!C$2,Production_Consumption!$AA$83:$AJ$83,0)))*'CA Population'!$L630*10^6</f>
        <v>8512.8784675681145</v>
      </c>
      <c r="D630" s="143">
        <f>(INDEX(Production_Consumption!$AA$83:$AJ$99,MATCH('County Scaled Consumption '!$B630,Production_Consumption!$AA$83:$AA$99,0),MATCH('County Scaled Consumption '!D$2,Production_Consumption!$AA$83:$AJ$83,0)))*'CA Population'!$L630*10^6</f>
        <v>35859.588290467473</v>
      </c>
      <c r="E630" s="143">
        <f>(INDEX(Production_Consumption!$AA$83:$AJ$99,MATCH('County Scaled Consumption '!$B630,Production_Consumption!$AA$83:$AA$99,0),MATCH('County Scaled Consumption '!E$2,Production_Consumption!$AA$83:$AJ$83,0)))*'CA Population'!$L630*10^6</f>
        <v>20893.74342753322</v>
      </c>
      <c r="F630" s="143">
        <f>(INDEX(Production_Consumption!$AA$83:$AJ$99,MATCH('County Scaled Consumption '!$B630,Production_Consumption!$AA$83:$AA$99,0),MATCH('County Scaled Consumption '!F$2,Production_Consumption!$AA$83:$AJ$83,0)))*'CA Population'!$L630*10^6</f>
        <v>11012.689921737827</v>
      </c>
      <c r="G630" s="143">
        <f>(INDEX(Production_Consumption!$AA$83:$AJ$99,MATCH('County Scaled Consumption '!$B630,Production_Consumption!$AA$83:$AA$99,0),MATCH('County Scaled Consumption '!G$2,Production_Consumption!$AA$83:$AJ$83,0)))*'CA Population'!$L630*10^6</f>
        <v>23634.779601535593</v>
      </c>
      <c r="H630" s="143">
        <f>(INDEX(Production_Consumption!$AA$83:$AJ$99,MATCH('County Scaled Consumption '!$B630,Production_Consumption!$AA$83:$AA$99,0),MATCH('County Scaled Consumption '!H$2,Production_Consumption!$AA$83:$AJ$83,0)))*'CA Population'!$L630*10^6</f>
        <v>634.75340648005908</v>
      </c>
      <c r="I630" s="143">
        <f>(INDEX(Production_Consumption!$AA$83:$AJ$99,MATCH('County Scaled Consumption '!$B630,Production_Consumption!$AA$83:$AA$99,0),MATCH('County Scaled Consumption '!I$2,Production_Consumption!$AA$83:$AJ$83,0)))*'CA Population'!$L630*10^6</f>
        <v>12542.186372869053</v>
      </c>
      <c r="J630" s="143">
        <f>(INDEX(Production_Consumption!$AA$83:$AJ$99,MATCH('County Scaled Consumption '!$B630,Production_Consumption!$AA$83:$AA$99,0),MATCH('County Scaled Consumption '!J$2,Production_Consumption!$AA$83:$AJ$83,0)))*'CA Population'!$L630*10^6</f>
        <v>9214.1458238909981</v>
      </c>
      <c r="K630" s="143">
        <f>(INDEX(Production_Consumption!$AA$83:$AJ$99,MATCH('County Scaled Consumption '!$B630,Production_Consumption!$AA$83:$AA$99,0),MATCH('County Scaled Consumption '!K$2,Production_Consumption!$AA$83:$AJ$83,0)))*'CA Population'!$L630*10^6</f>
        <v>122304.76531208232</v>
      </c>
      <c r="L630" s="131">
        <f t="shared" si="9"/>
        <v>0</v>
      </c>
    </row>
    <row r="631" spans="1:12" x14ac:dyDescent="0.2">
      <c r="A631" s="132" t="s">
        <v>343</v>
      </c>
      <c r="B631" s="129">
        <v>2010</v>
      </c>
      <c r="C631" s="143">
        <f>(INDEX(Production_Consumption!$AA$83:$AJ$99,MATCH('County Scaled Consumption '!$B631,Production_Consumption!$AA$83:$AA$99,0),MATCH('County Scaled Consumption '!C$2,Production_Consumption!$AA$83:$AJ$83,0)))*'CA Population'!$L631*10^6</f>
        <v>7244.9989023021026</v>
      </c>
      <c r="D631" s="143">
        <f>(INDEX(Production_Consumption!$AA$83:$AJ$99,MATCH('County Scaled Consumption '!$B631,Production_Consumption!$AA$83:$AA$99,0),MATCH('County Scaled Consumption '!D$2,Production_Consumption!$AA$83:$AJ$83,0)))*'CA Population'!$L631*10^6</f>
        <v>30518.781489859612</v>
      </c>
      <c r="E631" s="143">
        <f>(INDEX(Production_Consumption!$AA$83:$AJ$99,MATCH('County Scaled Consumption '!$B631,Production_Consumption!$AA$83:$AA$99,0),MATCH('County Scaled Consumption '!E$2,Production_Consumption!$AA$83:$AJ$83,0)))*'CA Population'!$L631*10^6</f>
        <v>17781.899362731478</v>
      </c>
      <c r="F631" s="143">
        <f>(INDEX(Production_Consumption!$AA$83:$AJ$99,MATCH('County Scaled Consumption '!$B631,Production_Consumption!$AA$83:$AA$99,0),MATCH('County Scaled Consumption '!F$2,Production_Consumption!$AA$83:$AJ$83,0)))*'CA Population'!$L631*10^6</f>
        <v>9372.4968232956398</v>
      </c>
      <c r="G631" s="143">
        <f>(INDEX(Production_Consumption!$AA$83:$AJ$99,MATCH('County Scaled Consumption '!$B631,Production_Consumption!$AA$83:$AA$99,0),MATCH('County Scaled Consumption '!G$2,Production_Consumption!$AA$83:$AJ$83,0)))*'CA Population'!$L631*10^6</f>
        <v>20114.694802895989</v>
      </c>
      <c r="H631" s="143">
        <f>(INDEX(Production_Consumption!$AA$83:$AJ$99,MATCH('County Scaled Consumption '!$B631,Production_Consumption!$AA$83:$AA$99,0),MATCH('County Scaled Consumption '!H$2,Production_Consumption!$AA$83:$AJ$83,0)))*'CA Population'!$L631*10^6</f>
        <v>540.21536319363088</v>
      </c>
      <c r="I631" s="143">
        <f>(INDEX(Production_Consumption!$AA$83:$AJ$99,MATCH('County Scaled Consumption '!$B631,Production_Consumption!$AA$83:$AA$99,0),MATCH('County Scaled Consumption '!I$2,Production_Consumption!$AA$83:$AJ$83,0)))*'CA Population'!$L631*10^6</f>
        <v>10674.195203195835</v>
      </c>
      <c r="J631" s="143">
        <f>(INDEX(Production_Consumption!$AA$83:$AJ$99,MATCH('County Scaled Consumption '!$B631,Production_Consumption!$AA$83:$AA$99,0),MATCH('County Scaled Consumption '!J$2,Production_Consumption!$AA$83:$AJ$83,0)))*'CA Population'!$L631*10^6</f>
        <v>7841.8218507484708</v>
      </c>
      <c r="K631" s="143">
        <f>(INDEX(Production_Consumption!$AA$83:$AJ$99,MATCH('County Scaled Consumption '!$B631,Production_Consumption!$AA$83:$AA$99,0),MATCH('County Scaled Consumption '!K$2,Production_Consumption!$AA$83:$AJ$83,0)))*'CA Population'!$L631*10^6</f>
        <v>104089.10379822276</v>
      </c>
      <c r="L631" s="131">
        <f t="shared" si="9"/>
        <v>0</v>
      </c>
    </row>
    <row r="632" spans="1:12" x14ac:dyDescent="0.2">
      <c r="A632" s="132" t="s">
        <v>344</v>
      </c>
      <c r="B632" s="129">
        <v>2010</v>
      </c>
      <c r="C632" s="143">
        <f>(INDEX(Production_Consumption!$AA$83:$AJ$99,MATCH('County Scaled Consumption '!$B632,Production_Consumption!$AA$83:$AA$99,0),MATCH('County Scaled Consumption '!C$2,Production_Consumption!$AA$83:$AJ$83,0)))*'CA Population'!$L632*10^6</f>
        <v>2850.5802794956298</v>
      </c>
      <c r="D632" s="143">
        <f>(INDEX(Production_Consumption!$AA$83:$AJ$99,MATCH('County Scaled Consumption '!$B632,Production_Consumption!$AA$83:$AA$99,0),MATCH('County Scaled Consumption '!D$2,Production_Consumption!$AA$83:$AJ$83,0)))*'CA Population'!$L632*10^6</f>
        <v>12007.763954468919</v>
      </c>
      <c r="E632" s="143">
        <f>(INDEX(Production_Consumption!$AA$83:$AJ$99,MATCH('County Scaled Consumption '!$B632,Production_Consumption!$AA$83:$AA$99,0),MATCH('County Scaled Consumption '!E$2,Production_Consumption!$AA$83:$AJ$83,0)))*'CA Population'!$L632*10^6</f>
        <v>6996.3753395838175</v>
      </c>
      <c r="F632" s="143">
        <f>(INDEX(Production_Consumption!$AA$83:$AJ$99,MATCH('County Scaled Consumption '!$B632,Production_Consumption!$AA$83:$AA$99,0),MATCH('County Scaled Consumption '!F$2,Production_Consumption!$AA$83:$AJ$83,0)))*'CA Population'!$L632*10^6</f>
        <v>3687.6547497657493</v>
      </c>
      <c r="G632" s="143">
        <f>(INDEX(Production_Consumption!$AA$83:$AJ$99,MATCH('County Scaled Consumption '!$B632,Production_Consumption!$AA$83:$AA$99,0),MATCH('County Scaled Consumption '!G$2,Production_Consumption!$AA$83:$AJ$83,0)))*'CA Population'!$L632*10^6</f>
        <v>7914.2251236213688</v>
      </c>
      <c r="H632" s="143">
        <f>(INDEX(Production_Consumption!$AA$83:$AJ$99,MATCH('County Scaled Consumption '!$B632,Production_Consumption!$AA$83:$AA$99,0),MATCH('County Scaled Consumption '!H$2,Production_Consumption!$AA$83:$AJ$83,0)))*'CA Population'!$L632*10^6</f>
        <v>212.55037878763801</v>
      </c>
      <c r="I632" s="143">
        <f>(INDEX(Production_Consumption!$AA$83:$AJ$99,MATCH('County Scaled Consumption '!$B632,Production_Consumption!$AA$83:$AA$99,0),MATCH('County Scaled Consumption '!I$2,Production_Consumption!$AA$83:$AJ$83,0)))*'CA Population'!$L632*10^6</f>
        <v>4199.8143486327508</v>
      </c>
      <c r="J632" s="143">
        <f>(INDEX(Production_Consumption!$AA$83:$AJ$99,MATCH('County Scaled Consumption '!$B632,Production_Consumption!$AA$83:$AA$99,0),MATCH('County Scaled Consumption '!J$2,Production_Consumption!$AA$83:$AJ$83,0)))*'CA Population'!$L632*10^6</f>
        <v>3085.4031897725476</v>
      </c>
      <c r="K632" s="143">
        <f>(INDEX(Production_Consumption!$AA$83:$AJ$99,MATCH('County Scaled Consumption '!$B632,Production_Consumption!$AA$83:$AA$99,0),MATCH('County Scaled Consumption '!K$2,Production_Consumption!$AA$83:$AJ$83,0)))*'CA Population'!$L632*10^6</f>
        <v>40954.367364128419</v>
      </c>
      <c r="L632" s="131">
        <f t="shared" si="9"/>
        <v>0</v>
      </c>
    </row>
    <row r="633" spans="1:12" x14ac:dyDescent="0.2">
      <c r="A633" s="132" t="s">
        <v>345</v>
      </c>
      <c r="B633" s="129">
        <v>2010</v>
      </c>
      <c r="C633" s="143">
        <f>(INDEX(Production_Consumption!$AA$83:$AJ$99,MATCH('County Scaled Consumption '!$B633,Production_Consumption!$AA$83:$AA$99,0),MATCH('County Scaled Consumption '!C$2,Production_Consumption!$AA$83:$AJ$83,0)))*'CA Population'!$L633*10^6</f>
        <v>7595.4051275749061</v>
      </c>
      <c r="D633" s="143">
        <f>(INDEX(Production_Consumption!$AA$83:$AJ$99,MATCH('County Scaled Consumption '!$B633,Production_Consumption!$AA$83:$AA$99,0),MATCH('County Scaled Consumption '!D$2,Production_Consumption!$AA$83:$AJ$83,0)))*'CA Population'!$L633*10^6</f>
        <v>31994.830163709539</v>
      </c>
      <c r="E633" s="143">
        <f>(INDEX(Production_Consumption!$AA$83:$AJ$99,MATCH('County Scaled Consumption '!$B633,Production_Consumption!$AA$83:$AA$99,0),MATCH('County Scaled Consumption '!E$2,Production_Consumption!$AA$83:$AJ$83,0)))*'CA Population'!$L633*10^6</f>
        <v>18641.92547424624</v>
      </c>
      <c r="F633" s="143">
        <f>(INDEX(Production_Consumption!$AA$83:$AJ$99,MATCH('County Scaled Consumption '!$B633,Production_Consumption!$AA$83:$AA$99,0),MATCH('County Scaled Consumption '!F$2,Production_Consumption!$AA$83:$AJ$83,0)))*'CA Population'!$L633*10^6</f>
        <v>9825.8000297583494</v>
      </c>
      <c r="G633" s="143">
        <f>(INDEX(Production_Consumption!$AA$83:$AJ$99,MATCH('County Scaled Consumption '!$B633,Production_Consumption!$AA$83:$AA$99,0),MATCH('County Scaled Consumption '!G$2,Production_Consumption!$AA$83:$AJ$83,0)))*'CA Population'!$L633*10^6</f>
        <v>21087.547162633084</v>
      </c>
      <c r="H633" s="143">
        <f>(INDEX(Production_Consumption!$AA$83:$AJ$99,MATCH('County Scaled Consumption '!$B633,Production_Consumption!$AA$83:$AA$99,0),MATCH('County Scaled Consumption '!H$2,Production_Consumption!$AA$83:$AJ$83,0)))*'CA Population'!$L633*10^6</f>
        <v>566.34301742845867</v>
      </c>
      <c r="I633" s="143">
        <f>(INDEX(Production_Consumption!$AA$83:$AJ$99,MATCH('County Scaled Consumption '!$B633,Production_Consumption!$AA$83:$AA$99,0),MATCH('County Scaled Consumption '!I$2,Production_Consumption!$AA$83:$AJ$83,0)))*'CA Population'!$L633*10^6</f>
        <v>11190.455384793438</v>
      </c>
      <c r="J633" s="143">
        <f>(INDEX(Production_Consumption!$AA$83:$AJ$99,MATCH('County Scaled Consumption '!$B633,Production_Consumption!$AA$83:$AA$99,0),MATCH('County Scaled Consumption '!J$2,Production_Consumption!$AA$83:$AJ$83,0)))*'CA Population'!$L633*10^6</f>
        <v>8221.0935705977899</v>
      </c>
      <c r="K633" s="143">
        <f>(INDEX(Production_Consumption!$AA$83:$AJ$99,MATCH('County Scaled Consumption '!$B633,Production_Consumption!$AA$83:$AA$99,0),MATCH('County Scaled Consumption '!K$2,Production_Consumption!$AA$83:$AJ$83,0)))*'CA Population'!$L633*10^6</f>
        <v>109123.3999307418</v>
      </c>
      <c r="L633" s="131">
        <f t="shared" si="9"/>
        <v>0</v>
      </c>
    </row>
    <row r="634" spans="1:12" x14ac:dyDescent="0.2">
      <c r="A634" s="132" t="s">
        <v>346</v>
      </c>
      <c r="B634" s="129">
        <v>2010</v>
      </c>
      <c r="C634" s="143">
        <f>(INDEX(Production_Consumption!$AA$83:$AJ$99,MATCH('County Scaled Consumption '!$B634,Production_Consumption!$AA$83:$AA$99,0),MATCH('County Scaled Consumption '!C$2,Production_Consumption!$AA$83:$AJ$83,0)))*'CA Population'!$L634*10^6</f>
        <v>4481.3832210594246</v>
      </c>
      <c r="D634" s="143">
        <f>(INDEX(Production_Consumption!$AA$83:$AJ$99,MATCH('County Scaled Consumption '!$B634,Production_Consumption!$AA$83:$AA$99,0),MATCH('County Scaled Consumption '!D$2,Production_Consumption!$AA$83:$AJ$83,0)))*'CA Population'!$L634*10^6</f>
        <v>18877.346586260795</v>
      </c>
      <c r="E634" s="143">
        <f>(INDEX(Production_Consumption!$AA$83:$AJ$99,MATCH('County Scaled Consumption '!$B634,Production_Consumption!$AA$83:$AA$99,0),MATCH('County Scaled Consumption '!E$2,Production_Consumption!$AA$83:$AJ$83,0)))*'CA Population'!$L634*10^6</f>
        <v>10998.967221015226</v>
      </c>
      <c r="F634" s="143">
        <f>(INDEX(Production_Consumption!$AA$83:$AJ$99,MATCH('County Scaled Consumption '!$B634,Production_Consumption!$AA$83:$AA$99,0),MATCH('County Scaled Consumption '!F$2,Production_Consumption!$AA$83:$AJ$83,0)))*'CA Population'!$L634*10^6</f>
        <v>5797.3438739933763</v>
      </c>
      <c r="G634" s="143">
        <f>(INDEX(Production_Consumption!$AA$83:$AJ$99,MATCH('County Scaled Consumption '!$B634,Production_Consumption!$AA$83:$AA$99,0),MATCH('County Scaled Consumption '!G$2,Production_Consumption!$AA$83:$AJ$83,0)))*'CA Population'!$L634*10^6</f>
        <v>12441.914346983094</v>
      </c>
      <c r="H634" s="143">
        <f>(INDEX(Production_Consumption!$AA$83:$AJ$99,MATCH('County Scaled Consumption '!$B634,Production_Consumption!$AA$83:$AA$99,0),MATCH('County Scaled Consumption '!H$2,Production_Consumption!$AA$83:$AJ$83,0)))*'CA Population'!$L634*10^6</f>
        <v>334.14940388813784</v>
      </c>
      <c r="I634" s="143">
        <f>(INDEX(Production_Consumption!$AA$83:$AJ$99,MATCH('County Scaled Consumption '!$B634,Production_Consumption!$AA$83:$AA$99,0),MATCH('County Scaled Consumption '!I$2,Production_Consumption!$AA$83:$AJ$83,0)))*'CA Population'!$L634*10^6</f>
        <v>6602.5074574842474</v>
      </c>
      <c r="J634" s="143">
        <f>(INDEX(Production_Consumption!$AA$83:$AJ$99,MATCH('County Scaled Consumption '!$B634,Production_Consumption!$AA$83:$AA$99,0),MATCH('County Scaled Consumption '!J$2,Production_Consumption!$AA$83:$AJ$83,0)))*'CA Population'!$L634*10^6</f>
        <v>4850.5471620313019</v>
      </c>
      <c r="K634" s="143">
        <f>(INDEX(Production_Consumption!$AA$83:$AJ$99,MATCH('County Scaled Consumption '!$B634,Production_Consumption!$AA$83:$AA$99,0),MATCH('County Scaled Consumption '!K$2,Production_Consumption!$AA$83:$AJ$83,0)))*'CA Population'!$L634*10^6</f>
        <v>64384.159272715595</v>
      </c>
      <c r="L634" s="131">
        <f t="shared" si="9"/>
        <v>0</v>
      </c>
    </row>
    <row r="635" spans="1:12" x14ac:dyDescent="0.2">
      <c r="A635" s="132" t="s">
        <v>347</v>
      </c>
      <c r="B635" s="129">
        <v>2010</v>
      </c>
      <c r="C635" s="143">
        <f>(INDEX(Production_Consumption!$AA$83:$AJ$99,MATCH('County Scaled Consumption '!$B635,Production_Consumption!$AA$83:$AA$99,0),MATCH('County Scaled Consumption '!C$2,Production_Consumption!$AA$83:$AJ$83,0)))*'CA Population'!$L635*10^6</f>
        <v>18835.373299366009</v>
      </c>
      <c r="D635" s="143">
        <f>(INDEX(Production_Consumption!$AA$83:$AJ$99,MATCH('County Scaled Consumption '!$B635,Production_Consumption!$AA$83:$AA$99,0),MATCH('County Scaled Consumption '!D$2,Production_Consumption!$AA$83:$AJ$83,0)))*'CA Population'!$L635*10^6</f>
        <v>79341.991593764615</v>
      </c>
      <c r="E635" s="143">
        <f>(INDEX(Production_Consumption!$AA$83:$AJ$99,MATCH('County Scaled Consumption '!$B635,Production_Consumption!$AA$83:$AA$99,0),MATCH('County Scaled Consumption '!E$2,Production_Consumption!$AA$83:$AJ$83,0)))*'CA Population'!$L635*10^6</f>
        <v>46228.952824600456</v>
      </c>
      <c r="F635" s="143">
        <f>(INDEX(Production_Consumption!$AA$83:$AJ$99,MATCH('County Scaled Consumption '!$B635,Production_Consumption!$AA$83:$AA$99,0),MATCH('County Scaled Consumption '!F$2,Production_Consumption!$AA$83:$AJ$83,0)))*'CA Population'!$L635*10^6</f>
        <v>24366.391050494363</v>
      </c>
      <c r="G635" s="143">
        <f>(INDEX(Production_Consumption!$AA$83:$AJ$99,MATCH('County Scaled Consumption '!$B635,Production_Consumption!$AA$83:$AA$99,0),MATCH('County Scaled Consumption '!G$2,Production_Consumption!$AA$83:$AJ$83,0)))*'CA Population'!$L635*10^6</f>
        <v>52293.698111531521</v>
      </c>
      <c r="H635" s="143">
        <f>(INDEX(Production_Consumption!$AA$83:$AJ$99,MATCH('County Scaled Consumption '!$B635,Production_Consumption!$AA$83:$AA$99,0),MATCH('County Scaled Consumption '!H$2,Production_Consumption!$AA$83:$AJ$83,0)))*'CA Population'!$L635*10^6</f>
        <v>1404.4388639688357</v>
      </c>
      <c r="I635" s="143">
        <f>(INDEX(Production_Consumption!$AA$83:$AJ$99,MATCH('County Scaled Consumption '!$B635,Production_Consumption!$AA$83:$AA$99,0),MATCH('County Scaled Consumption '!I$2,Production_Consumption!$AA$83:$AJ$83,0)))*'CA Population'!$L635*10^6</f>
        <v>27750.515084082494</v>
      </c>
      <c r="J635" s="143">
        <f>(INDEX(Production_Consumption!$AA$83:$AJ$99,MATCH('County Scaled Consumption '!$B635,Production_Consumption!$AA$83:$AA$99,0),MATCH('County Scaled Consumption '!J$2,Production_Consumption!$AA$83:$AJ$83,0)))*'CA Population'!$L635*10^6</f>
        <v>20386.979197338427</v>
      </c>
      <c r="K635" s="143">
        <f>(INDEX(Production_Consumption!$AA$83:$AJ$99,MATCH('County Scaled Consumption '!$B635,Production_Consumption!$AA$83:$AA$99,0),MATCH('County Scaled Consumption '!K$2,Production_Consumption!$AA$83:$AJ$83,0)))*'CA Population'!$L635*10^6</f>
        <v>270608.34002514672</v>
      </c>
      <c r="L635" s="131">
        <f t="shared" si="9"/>
        <v>0</v>
      </c>
    </row>
    <row r="636" spans="1:12" x14ac:dyDescent="0.2">
      <c r="A636" s="132" t="s">
        <v>348</v>
      </c>
      <c r="B636" s="129">
        <v>2010</v>
      </c>
      <c r="C636" s="143">
        <f>(INDEX(Production_Consumption!$AA$83:$AJ$99,MATCH('County Scaled Consumption '!$B636,Production_Consumption!$AA$83:$AA$99,0),MATCH('County Scaled Consumption '!C$2,Production_Consumption!$AA$83:$AJ$83,0)))*'CA Population'!$L636*10^6</f>
        <v>2773.8810137133346</v>
      </c>
      <c r="D636" s="143">
        <f>(INDEX(Production_Consumption!$AA$83:$AJ$99,MATCH('County Scaled Consumption '!$B636,Production_Consumption!$AA$83:$AA$99,0),MATCH('County Scaled Consumption '!D$2,Production_Consumption!$AA$83:$AJ$83,0)))*'CA Population'!$L636*10^6</f>
        <v>11684.676516581416</v>
      </c>
      <c r="E636" s="143">
        <f>(INDEX(Production_Consumption!$AA$83:$AJ$99,MATCH('County Scaled Consumption '!$B636,Production_Consumption!$AA$83:$AA$99,0),MATCH('County Scaled Consumption '!E$2,Production_Consumption!$AA$83:$AJ$83,0)))*'CA Population'!$L636*10^6</f>
        <v>6808.1270535968033</v>
      </c>
      <c r="F636" s="143">
        <f>(INDEX(Production_Consumption!$AA$83:$AJ$99,MATCH('County Scaled Consumption '!$B636,Production_Consumption!$AA$83:$AA$99,0),MATCH('County Scaled Consumption '!F$2,Production_Consumption!$AA$83:$AJ$83,0)))*'CA Population'!$L636*10^6</f>
        <v>3588.4327023110204</v>
      </c>
      <c r="G636" s="143">
        <f>(INDEX(Production_Consumption!$AA$83:$AJ$99,MATCH('County Scaled Consumption '!$B636,Production_Consumption!$AA$83:$AA$99,0),MATCH('County Scaled Consumption '!G$2,Production_Consumption!$AA$83:$AJ$83,0)))*'CA Population'!$L636*10^6</f>
        <v>7701.2806713693672</v>
      </c>
      <c r="H636" s="143">
        <f>(INDEX(Production_Consumption!$AA$83:$AJ$99,MATCH('County Scaled Consumption '!$B636,Production_Consumption!$AA$83:$AA$99,0),MATCH('County Scaled Consumption '!H$2,Production_Consumption!$AA$83:$AJ$83,0)))*'CA Population'!$L636*10^6</f>
        <v>206.8313825144844</v>
      </c>
      <c r="I636" s="143">
        <f>(INDEX(Production_Consumption!$AA$83:$AJ$99,MATCH('County Scaled Consumption '!$B636,Production_Consumption!$AA$83:$AA$99,0),MATCH('County Scaled Consumption '!I$2,Production_Consumption!$AA$83:$AJ$83,0)))*'CA Population'!$L636*10^6</f>
        <v>4086.8118560247981</v>
      </c>
      <c r="J636" s="143">
        <f>(INDEX(Production_Consumption!$AA$83:$AJ$99,MATCH('County Scaled Consumption '!$B636,Production_Consumption!$AA$83:$AA$99,0),MATCH('County Scaled Consumption '!J$2,Production_Consumption!$AA$83:$AJ$83,0)))*'CA Population'!$L636*10^6</f>
        <v>3002.3856508524441</v>
      </c>
      <c r="K636" s="143">
        <f>(INDEX(Production_Consumption!$AA$83:$AJ$99,MATCH('County Scaled Consumption '!$B636,Production_Consumption!$AA$83:$AA$99,0),MATCH('County Scaled Consumption '!K$2,Production_Consumption!$AA$83:$AJ$83,0)))*'CA Population'!$L636*10^6</f>
        <v>39852.426846963659</v>
      </c>
      <c r="L636" s="131">
        <f t="shared" si="9"/>
        <v>0</v>
      </c>
    </row>
    <row r="637" spans="1:12" x14ac:dyDescent="0.2">
      <c r="A637" s="132" t="s">
        <v>349</v>
      </c>
      <c r="B637" s="129">
        <v>2010</v>
      </c>
      <c r="C637" s="143">
        <f>(INDEX(Production_Consumption!$AA$83:$AJ$99,MATCH('County Scaled Consumption '!$B637,Production_Consumption!$AA$83:$AA$99,0),MATCH('County Scaled Consumption '!C$2,Production_Consumption!$AA$83:$AJ$83,0)))*'CA Population'!$L637*10^6</f>
        <v>1873.5870406251888</v>
      </c>
      <c r="D637" s="143">
        <f>(INDEX(Production_Consumption!$AA$83:$AJ$99,MATCH('County Scaled Consumption '!$B637,Production_Consumption!$AA$83:$AA$99,0),MATCH('County Scaled Consumption '!D$2,Production_Consumption!$AA$83:$AJ$83,0)))*'CA Population'!$L637*10^6</f>
        <v>7892.2846319416285</v>
      </c>
      <c r="E637" s="143">
        <f>(INDEX(Production_Consumption!$AA$83:$AJ$99,MATCH('County Scaled Consumption '!$B637,Production_Consumption!$AA$83:$AA$99,0),MATCH('County Scaled Consumption '!E$2,Production_Consumption!$AA$83:$AJ$83,0)))*'CA Population'!$L637*10^6</f>
        <v>4598.4736026845831</v>
      </c>
      <c r="F637" s="143">
        <f>(INDEX(Production_Consumption!$AA$83:$AJ$99,MATCH('County Scaled Consumption '!$B637,Production_Consumption!$AA$83:$AA$99,0),MATCH('County Scaled Consumption '!F$2,Production_Consumption!$AA$83:$AJ$83,0)))*'CA Population'!$L637*10^6</f>
        <v>2423.7669077972805</v>
      </c>
      <c r="G637" s="143">
        <f>(INDEX(Production_Consumption!$AA$83:$AJ$99,MATCH('County Scaled Consumption '!$B637,Production_Consumption!$AA$83:$AA$99,0),MATCH('County Scaled Consumption '!G$2,Production_Consumption!$AA$83:$AJ$83,0)))*'CA Population'!$L637*10^6</f>
        <v>5201.7442676025539</v>
      </c>
      <c r="H637" s="143">
        <f>(INDEX(Production_Consumption!$AA$83:$AJ$99,MATCH('County Scaled Consumption '!$B637,Production_Consumption!$AA$83:$AA$99,0),MATCH('County Scaled Consumption '!H$2,Production_Consumption!$AA$83:$AJ$83,0)))*'CA Population'!$L637*10^6</f>
        <v>139.70195403405901</v>
      </c>
      <c r="I637" s="143">
        <f>(INDEX(Production_Consumption!$AA$83:$AJ$99,MATCH('County Scaled Consumption '!$B637,Production_Consumption!$AA$83:$AA$99,0),MATCH('County Scaled Consumption '!I$2,Production_Consumption!$AA$83:$AJ$83,0)))*'CA Population'!$L637*10^6</f>
        <v>2760.3915571963121</v>
      </c>
      <c r="J637" s="143">
        <f>(INDEX(Production_Consumption!$AA$83:$AJ$99,MATCH('County Scaled Consumption '!$B637,Production_Consumption!$AA$83:$AA$99,0),MATCH('County Scaled Consumption '!J$2,Production_Consumption!$AA$83:$AJ$83,0)))*'CA Population'!$L637*10^6</f>
        <v>2027.927953140927</v>
      </c>
      <c r="K637" s="143">
        <f>(INDEX(Production_Consumption!$AA$83:$AJ$99,MATCH('County Scaled Consumption '!$B637,Production_Consumption!$AA$83:$AA$99,0),MATCH('County Scaled Consumption '!K$2,Production_Consumption!$AA$83:$AJ$83,0)))*'CA Population'!$L637*10^6</f>
        <v>26917.877915022535</v>
      </c>
      <c r="L637" s="131">
        <f t="shared" si="9"/>
        <v>0</v>
      </c>
    </row>
    <row r="638" spans="1:12" x14ac:dyDescent="0.2">
      <c r="A638" s="132" t="s">
        <v>350</v>
      </c>
      <c r="B638" s="129">
        <v>2010</v>
      </c>
      <c r="C638" s="143">
        <f>(INDEX(Production_Consumption!$AA$83:$AJ$99,MATCH('County Scaled Consumption '!$B638,Production_Consumption!$AA$83:$AA$99,0),MATCH('County Scaled Consumption '!C$2,Production_Consumption!$AA$83:$AJ$83,0)))*'CA Population'!$L638*10^6</f>
        <v>34.253014629171219</v>
      </c>
      <c r="D638" s="143">
        <f>(INDEX(Production_Consumption!$AA$83:$AJ$99,MATCH('County Scaled Consumption '!$B638,Production_Consumption!$AA$83:$AA$99,0),MATCH('County Scaled Consumption '!D$2,Production_Consumption!$AA$83:$AJ$83,0)))*'CA Population'!$L638*10^6</f>
        <v>144.28715351557574</v>
      </c>
      <c r="E638" s="143">
        <f>(INDEX(Production_Consumption!$AA$83:$AJ$99,MATCH('County Scaled Consumption '!$B638,Production_Consumption!$AA$83:$AA$99,0),MATCH('County Scaled Consumption '!E$2,Production_Consumption!$AA$83:$AJ$83,0)))*'CA Population'!$L638*10^6</f>
        <v>84.069530888756233</v>
      </c>
      <c r="F638" s="143">
        <f>(INDEX(Production_Consumption!$AA$83:$AJ$99,MATCH('County Scaled Consumption '!$B638,Production_Consumption!$AA$83:$AA$99,0),MATCH('County Scaled Consumption '!F$2,Production_Consumption!$AA$83:$AJ$83,0)))*'CA Population'!$L638*10^6</f>
        <v>44.311431254764841</v>
      </c>
      <c r="G638" s="143">
        <f>(INDEX(Production_Consumption!$AA$83:$AJ$99,MATCH('County Scaled Consumption '!$B638,Production_Consumption!$AA$83:$AA$99,0),MATCH('County Scaled Consumption '!G$2,Production_Consumption!$AA$83:$AJ$83,0)))*'CA Population'!$L638*10^6</f>
        <v>95.098556209026341</v>
      </c>
      <c r="H638" s="143">
        <f>(INDEX(Production_Consumption!$AA$83:$AJ$99,MATCH('County Scaled Consumption '!$B638,Production_Consumption!$AA$83:$AA$99,0),MATCH('County Scaled Consumption '!H$2,Production_Consumption!$AA$83:$AJ$83,0)))*'CA Population'!$L638*10^6</f>
        <v>2.5540383080658331</v>
      </c>
      <c r="I638" s="143">
        <f>(INDEX(Production_Consumption!$AA$83:$AJ$99,MATCH('County Scaled Consumption '!$B638,Production_Consumption!$AA$83:$AA$99,0),MATCH('County Scaled Consumption '!I$2,Production_Consumption!$AA$83:$AJ$83,0)))*'CA Population'!$L638*10^6</f>
        <v>50.465620406584087</v>
      </c>
      <c r="J638" s="143">
        <f>(INDEX(Production_Consumption!$AA$83:$AJ$99,MATCH('County Scaled Consumption '!$B638,Production_Consumption!$AA$83:$AA$99,0),MATCH('County Scaled Consumption '!J$2,Production_Consumption!$AA$83:$AJ$83,0)))*'CA Population'!$L638*10^6</f>
        <v>37.074683129032934</v>
      </c>
      <c r="K638" s="143">
        <f>(INDEX(Production_Consumption!$AA$83:$AJ$99,MATCH('County Scaled Consumption '!$B638,Production_Consumption!$AA$83:$AA$99,0),MATCH('County Scaled Consumption '!K$2,Production_Consumption!$AA$83:$AJ$83,0)))*'CA Population'!$L638*10^6</f>
        <v>492.11402834097714</v>
      </c>
      <c r="L638" s="131">
        <f t="shared" si="9"/>
        <v>0</v>
      </c>
    </row>
    <row r="639" spans="1:12" x14ac:dyDescent="0.2">
      <c r="A639" s="132" t="s">
        <v>351</v>
      </c>
      <c r="B639" s="129">
        <v>2010</v>
      </c>
      <c r="C639" s="143">
        <f>(INDEX(Production_Consumption!$AA$83:$AJ$99,MATCH('County Scaled Consumption '!$B639,Production_Consumption!$AA$83:$AA$99,0),MATCH('County Scaled Consumption '!C$2,Production_Consumption!$AA$83:$AJ$83,0)))*'CA Population'!$L639*10^6</f>
        <v>474.67912248450244</v>
      </c>
      <c r="D639" s="143">
        <f>(INDEX(Production_Consumption!$AA$83:$AJ$99,MATCH('County Scaled Consumption '!$B639,Production_Consumption!$AA$83:$AA$99,0),MATCH('County Scaled Consumption '!D$2,Production_Consumption!$AA$83:$AJ$83,0)))*'CA Population'!$L639*10^6</f>
        <v>1999.5349360646146</v>
      </c>
      <c r="E639" s="143">
        <f>(INDEX(Production_Consumption!$AA$83:$AJ$99,MATCH('County Scaled Consumption '!$B639,Production_Consumption!$AA$83:$AA$99,0),MATCH('County Scaled Consumption '!E$2,Production_Consumption!$AA$83:$AJ$83,0)))*'CA Population'!$L639*10^6</f>
        <v>1165.0376348472703</v>
      </c>
      <c r="F639" s="143">
        <f>(INDEX(Production_Consumption!$AA$83:$AJ$99,MATCH('County Scaled Consumption '!$B639,Production_Consumption!$AA$83:$AA$99,0),MATCH('County Scaled Consumption '!F$2,Production_Consumption!$AA$83:$AJ$83,0)))*'CA Population'!$L639*10^6</f>
        <v>614.06890843794486</v>
      </c>
      <c r="G639" s="143">
        <f>(INDEX(Production_Consumption!$AA$83:$AJ$99,MATCH('County Scaled Consumption '!$B639,Production_Consumption!$AA$83:$AA$99,0),MATCH('County Scaled Consumption '!G$2,Production_Consumption!$AA$83:$AJ$83,0)))*'CA Population'!$L639*10^6</f>
        <v>1317.8781400571861</v>
      </c>
      <c r="H639" s="143">
        <f>(INDEX(Production_Consumption!$AA$83:$AJ$99,MATCH('County Scaled Consumption '!$B639,Production_Consumption!$AA$83:$AA$99,0),MATCH('County Scaled Consumption '!H$2,Production_Consumption!$AA$83:$AJ$83,0)))*'CA Population'!$L639*10^6</f>
        <v>35.393925935850596</v>
      </c>
      <c r="I639" s="143">
        <f>(INDEX(Production_Consumption!$AA$83:$AJ$99,MATCH('County Scaled Consumption '!$B639,Production_Consumption!$AA$83:$AA$99,0),MATCH('County Scaled Consumption '!I$2,Production_Consumption!$AA$83:$AJ$83,0)))*'CA Population'!$L639*10^6</f>
        <v>699.35381365914361</v>
      </c>
      <c r="J639" s="143">
        <f>(INDEX(Production_Consumption!$AA$83:$AJ$99,MATCH('County Scaled Consumption '!$B639,Production_Consumption!$AA$83:$AA$99,0),MATCH('County Scaled Consumption '!J$2,Production_Consumption!$AA$83:$AJ$83,0)))*'CA Population'!$L639*10^6</f>
        <v>513.78187422641315</v>
      </c>
      <c r="K639" s="143">
        <f>(INDEX(Production_Consumption!$AA$83:$AJ$99,MATCH('County Scaled Consumption '!$B639,Production_Consumption!$AA$83:$AA$99,0),MATCH('County Scaled Consumption '!K$2,Production_Consumption!$AA$83:$AJ$83,0)))*'CA Population'!$L639*10^6</f>
        <v>6819.7283557129249</v>
      </c>
      <c r="L639" s="131">
        <f t="shared" si="9"/>
        <v>0</v>
      </c>
    </row>
    <row r="640" spans="1:12" x14ac:dyDescent="0.2">
      <c r="A640" s="132" t="s">
        <v>352</v>
      </c>
      <c r="B640" s="129">
        <v>2010</v>
      </c>
      <c r="C640" s="143">
        <f>(INDEX(Production_Consumption!$AA$83:$AJ$99,MATCH('County Scaled Consumption '!$B640,Production_Consumption!$AA$83:$AA$99,0),MATCH('County Scaled Consumption '!C$2,Production_Consumption!$AA$83:$AJ$83,0)))*'CA Population'!$L640*10^6</f>
        <v>4369.8389132346147</v>
      </c>
      <c r="D640" s="143">
        <f>(INDEX(Production_Consumption!$AA$83:$AJ$99,MATCH('County Scaled Consumption '!$B640,Production_Consumption!$AA$83:$AA$99,0),MATCH('County Scaled Consumption '!D$2,Production_Consumption!$AA$83:$AJ$83,0)))*'CA Population'!$L640*10^6</f>
        <v>18407.478142821648</v>
      </c>
      <c r="E640" s="143">
        <f>(INDEX(Production_Consumption!$AA$83:$AJ$99,MATCH('County Scaled Consumption '!$B640,Production_Consumption!$AA$83:$AA$99,0),MATCH('County Scaled Consumption '!E$2,Production_Consumption!$AA$83:$AJ$83,0)))*'CA Population'!$L640*10^6</f>
        <v>10725.196350519156</v>
      </c>
      <c r="F640" s="143">
        <f>(INDEX(Production_Consumption!$AA$83:$AJ$99,MATCH('County Scaled Consumption '!$B640,Production_Consumption!$AA$83:$AA$99,0),MATCH('County Scaled Consumption '!F$2,Production_Consumption!$AA$83:$AJ$83,0)))*'CA Population'!$L640*10^6</f>
        <v>5653.0445186942952</v>
      </c>
      <c r="G640" s="143">
        <f>(INDEX(Production_Consumption!$AA$83:$AJ$99,MATCH('County Scaled Consumption '!$B640,Production_Consumption!$AA$83:$AA$99,0),MATCH('County Scaled Consumption '!G$2,Production_Consumption!$AA$83:$AJ$83,0)))*'CA Population'!$L640*10^6</f>
        <v>12132.227659772774</v>
      </c>
      <c r="H640" s="143">
        <f>(INDEX(Production_Consumption!$AA$83:$AJ$99,MATCH('County Scaled Consumption '!$B640,Production_Consumption!$AA$83:$AA$99,0),MATCH('County Scaled Consumption '!H$2,Production_Consumption!$AA$83:$AJ$83,0)))*'CA Population'!$L640*10^6</f>
        <v>325.83222543492712</v>
      </c>
      <c r="I640" s="143">
        <f>(INDEX(Production_Consumption!$AA$83:$AJ$99,MATCH('County Scaled Consumption '!$B640,Production_Consumption!$AA$83:$AA$99,0),MATCH('County Scaled Consumption '!I$2,Production_Consumption!$AA$83:$AJ$83,0)))*'CA Population'!$L640*10^6</f>
        <v>6438.1670991787323</v>
      </c>
      <c r="J640" s="143">
        <f>(INDEX(Production_Consumption!$AA$83:$AJ$99,MATCH('County Scaled Consumption '!$B640,Production_Consumption!$AA$83:$AA$99,0),MATCH('County Scaled Consumption '!J$2,Production_Consumption!$AA$83:$AJ$83,0)))*'CA Population'!$L640*10^6</f>
        <v>4729.8141429898114</v>
      </c>
      <c r="K640" s="143">
        <f>(INDEX(Production_Consumption!$AA$83:$AJ$99,MATCH('County Scaled Consumption '!$B640,Production_Consumption!$AA$83:$AA$99,0),MATCH('County Scaled Consumption '!K$2,Production_Consumption!$AA$83:$AJ$83,0)))*'CA Population'!$L640*10^6</f>
        <v>62781.59905264595</v>
      </c>
      <c r="L640" s="131">
        <f t="shared" si="9"/>
        <v>0</v>
      </c>
    </row>
    <row r="641" spans="1:12" x14ac:dyDescent="0.2">
      <c r="A641" s="132" t="s">
        <v>353</v>
      </c>
      <c r="B641" s="129">
        <v>2010</v>
      </c>
      <c r="C641" s="143">
        <f>(INDEX(Production_Consumption!$AA$83:$AJ$99,MATCH('County Scaled Consumption '!$B641,Production_Consumption!$AA$83:$AA$99,0),MATCH('County Scaled Consumption '!C$2,Production_Consumption!$AA$83:$AJ$83,0)))*'CA Population'!$L641*10^6</f>
        <v>5115.5185841771945</v>
      </c>
      <c r="D641" s="143">
        <f>(INDEX(Production_Consumption!$AA$83:$AJ$99,MATCH('County Scaled Consumption '!$B641,Production_Consumption!$AA$83:$AA$99,0),MATCH('County Scaled Consumption '!D$2,Production_Consumption!$AA$83:$AJ$83,0)))*'CA Population'!$L641*10^6</f>
        <v>21548.573848398071</v>
      </c>
      <c r="E641" s="143">
        <f>(INDEX(Production_Consumption!$AA$83:$AJ$99,MATCH('County Scaled Consumption '!$B641,Production_Consumption!$AA$83:$AA$99,0),MATCH('County Scaled Consumption '!E$2,Production_Consumption!$AA$83:$AJ$83,0)))*'CA Population'!$L641*10^6</f>
        <v>12555.369280058516</v>
      </c>
      <c r="F641" s="143">
        <f>(INDEX(Production_Consumption!$AA$83:$AJ$99,MATCH('County Scaled Consumption '!$B641,Production_Consumption!$AA$83:$AA$99,0),MATCH('County Scaled Consumption '!F$2,Production_Consumption!$AA$83:$AJ$83,0)))*'CA Population'!$L641*10^6</f>
        <v>6617.6934360163887</v>
      </c>
      <c r="G641" s="143">
        <f>(INDEX(Production_Consumption!$AA$83:$AJ$99,MATCH('County Scaled Consumption '!$B641,Production_Consumption!$AA$83:$AA$99,0),MATCH('County Scaled Consumption '!G$2,Production_Consumption!$AA$83:$AJ$83,0)))*'CA Population'!$L641*10^6</f>
        <v>14202.499747318287</v>
      </c>
      <c r="H641" s="143">
        <f>(INDEX(Production_Consumption!$AA$83:$AJ$99,MATCH('County Scaled Consumption '!$B641,Production_Consumption!$AA$83:$AA$99,0),MATCH('County Scaled Consumption '!H$2,Production_Consumption!$AA$83:$AJ$83,0)))*'CA Population'!$L641*10^6</f>
        <v>381.43300877477759</v>
      </c>
      <c r="I641" s="143">
        <f>(INDEX(Production_Consumption!$AA$83:$AJ$99,MATCH('County Scaled Consumption '!$B641,Production_Consumption!$AA$83:$AA$99,0),MATCH('County Scaled Consumption '!I$2,Production_Consumption!$AA$83:$AJ$83,0)))*'CA Population'!$L641*10^6</f>
        <v>7536.7911947830535</v>
      </c>
      <c r="J641" s="143">
        <f>(INDEX(Production_Consumption!$AA$83:$AJ$99,MATCH('County Scaled Consumption '!$B641,Production_Consumption!$AA$83:$AA$99,0),MATCH('County Scaled Consumption '!J$2,Production_Consumption!$AA$83:$AJ$83,0)))*'CA Population'!$L641*10^6</f>
        <v>5536.9208404661103</v>
      </c>
      <c r="K641" s="143">
        <f>(INDEX(Production_Consumption!$AA$83:$AJ$99,MATCH('County Scaled Consumption '!$B641,Production_Consumption!$AA$83:$AA$99,0),MATCH('County Scaled Consumption '!K$2,Production_Consumption!$AA$83:$AJ$83,0)))*'CA Population'!$L641*10^6</f>
        <v>73494.799939992386</v>
      </c>
      <c r="L641" s="131">
        <f t="shared" si="9"/>
        <v>0</v>
      </c>
    </row>
    <row r="642" spans="1:12" x14ac:dyDescent="0.2">
      <c r="A642" s="132" t="s">
        <v>354</v>
      </c>
      <c r="B642" s="129">
        <v>2010</v>
      </c>
      <c r="C642" s="143">
        <f>(INDEX(Production_Consumption!$AA$83:$AJ$99,MATCH('County Scaled Consumption '!$B642,Production_Consumption!$AA$83:$AA$99,0),MATCH('County Scaled Consumption '!C$2,Production_Consumption!$AA$83:$AJ$83,0)))*'CA Population'!$L642*10^6</f>
        <v>5438.7549799447606</v>
      </c>
      <c r="D642" s="143">
        <f>(INDEX(Production_Consumption!$AA$83:$AJ$99,MATCH('County Scaled Consumption '!$B642,Production_Consumption!$AA$83:$AA$99,0),MATCH('County Scaled Consumption '!D$2,Production_Consumption!$AA$83:$AJ$83,0)))*'CA Population'!$L642*10^6</f>
        <v>22910.172527021135</v>
      </c>
      <c r="E642" s="143">
        <f>(INDEX(Production_Consumption!$AA$83:$AJ$99,MATCH('County Scaled Consumption '!$B642,Production_Consumption!$AA$83:$AA$99,0),MATCH('County Scaled Consumption '!E$2,Production_Consumption!$AA$83:$AJ$83,0)))*'CA Population'!$L642*10^6</f>
        <v>13348.710609355961</v>
      </c>
      <c r="F642" s="143">
        <f>(INDEX(Production_Consumption!$AA$83:$AJ$99,MATCH('County Scaled Consumption '!$B642,Production_Consumption!$AA$83:$AA$99,0),MATCH('County Scaled Consumption '!F$2,Production_Consumption!$AA$83:$AJ$83,0)))*'CA Population'!$L642*10^6</f>
        <v>7035.8483775640534</v>
      </c>
      <c r="G642" s="143">
        <f>(INDEX(Production_Consumption!$AA$83:$AJ$99,MATCH('County Scaled Consumption '!$B642,Production_Consumption!$AA$83:$AA$99,0),MATCH('County Scaled Consumption '!G$2,Production_Consumption!$AA$83:$AJ$83,0)))*'CA Population'!$L642*10^6</f>
        <v>15099.91899302538</v>
      </c>
      <c r="H642" s="143">
        <f>(INDEX(Production_Consumption!$AA$83:$AJ$99,MATCH('County Scaled Consumption '!$B642,Production_Consumption!$AA$83:$AA$99,0),MATCH('County Scaled Consumption '!H$2,Production_Consumption!$AA$83:$AJ$83,0)))*'CA Population'!$L642*10^6</f>
        <v>405.53477459857783</v>
      </c>
      <c r="I642" s="143">
        <f>(INDEX(Production_Consumption!$AA$83:$AJ$99,MATCH('County Scaled Consumption '!$B642,Production_Consumption!$AA$83:$AA$99,0),MATCH('County Scaled Consumption '!I$2,Production_Consumption!$AA$83:$AJ$83,0)))*'CA Population'!$L642*10^6</f>
        <v>8013.0215478482723</v>
      </c>
      <c r="J642" s="143">
        <f>(INDEX(Production_Consumption!$AA$83:$AJ$99,MATCH('County Scaled Consumption '!$B642,Production_Consumption!$AA$83:$AA$99,0),MATCH('County Scaled Consumption '!J$2,Production_Consumption!$AA$83:$AJ$83,0)))*'CA Population'!$L642*10^6</f>
        <v>5886.7845554877713</v>
      </c>
      <c r="K642" s="143">
        <f>(INDEX(Production_Consumption!$AA$83:$AJ$99,MATCH('County Scaled Consumption '!$B642,Production_Consumption!$AA$83:$AA$99,0),MATCH('County Scaled Consumption '!K$2,Production_Consumption!$AA$83:$AJ$83,0)))*'CA Population'!$L642*10^6</f>
        <v>78138.746364845894</v>
      </c>
      <c r="L642" s="131">
        <f t="shared" si="9"/>
        <v>0</v>
      </c>
    </row>
    <row r="643" spans="1:12" x14ac:dyDescent="0.2">
      <c r="A643" s="132" t="s">
        <v>355</v>
      </c>
      <c r="B643" s="129">
        <v>2010</v>
      </c>
      <c r="C643" s="143">
        <f>(INDEX(Production_Consumption!$AA$83:$AJ$99,MATCH('County Scaled Consumption '!$B643,Production_Consumption!$AA$83:$AA$99,0),MATCH('County Scaled Consumption '!C$2,Production_Consumption!$AA$83:$AJ$83,0)))*'CA Population'!$L643*10^6</f>
        <v>1001.5518046061093</v>
      </c>
      <c r="D643" s="143">
        <f>(INDEX(Production_Consumption!$AA$83:$AJ$99,MATCH('County Scaled Consumption '!$B643,Production_Consumption!$AA$83:$AA$99,0),MATCH('County Scaled Consumption '!D$2,Production_Consumption!$AA$83:$AJ$83,0)))*'CA Population'!$L643*10^6</f>
        <v>4218.9296489521903</v>
      </c>
      <c r="E643" s="143">
        <f>(INDEX(Production_Consumption!$AA$83:$AJ$99,MATCH('County Scaled Consumption '!$B643,Production_Consumption!$AA$83:$AA$99,0),MATCH('County Scaled Consumption '!E$2,Production_Consumption!$AA$83:$AJ$83,0)))*'CA Population'!$L643*10^6</f>
        <v>2458.1775147555863</v>
      </c>
      <c r="F643" s="143">
        <f>(INDEX(Production_Consumption!$AA$83:$AJ$99,MATCH('County Scaled Consumption '!$B643,Production_Consumption!$AA$83:$AA$99,0),MATCH('County Scaled Consumption '!F$2,Production_Consumption!$AA$83:$AJ$83,0)))*'CA Population'!$L643*10^6</f>
        <v>1295.658044068721</v>
      </c>
      <c r="G643" s="143">
        <f>(INDEX(Production_Consumption!$AA$83:$AJ$99,MATCH('County Scaled Consumption '!$B643,Production_Consumption!$AA$83:$AA$99,0),MATCH('County Scaled Consumption '!G$2,Production_Consumption!$AA$83:$AJ$83,0)))*'CA Population'!$L643*10^6</f>
        <v>2780.6641727081874</v>
      </c>
      <c r="H643" s="143">
        <f>(INDEX(Production_Consumption!$AA$83:$AJ$99,MATCH('County Scaled Consumption '!$B643,Production_Consumption!$AA$83:$AA$99,0),MATCH('County Scaled Consumption '!H$2,Production_Consumption!$AA$83:$AJ$83,0)))*'CA Population'!$L643*10^6</f>
        <v>74.679607157787927</v>
      </c>
      <c r="I643" s="143">
        <f>(INDEX(Production_Consumption!$AA$83:$AJ$99,MATCH('County Scaled Consumption '!$B643,Production_Consumption!$AA$83:$AA$99,0),MATCH('County Scaled Consumption '!I$2,Production_Consumption!$AA$83:$AJ$83,0)))*'CA Population'!$L643*10^6</f>
        <v>1475.6053952032582</v>
      </c>
      <c r="J643" s="143">
        <f>(INDEX(Production_Consumption!$AA$83:$AJ$99,MATCH('County Scaled Consumption '!$B643,Production_Consumption!$AA$83:$AA$99,0),MATCH('County Scaled Consumption '!J$2,Production_Consumption!$AA$83:$AJ$83,0)))*'CA Population'!$L643*10^6</f>
        <v>1084.0568690108621</v>
      </c>
      <c r="K643" s="143">
        <f>(INDEX(Production_Consumption!$AA$83:$AJ$99,MATCH('County Scaled Consumption '!$B643,Production_Consumption!$AA$83:$AA$99,0),MATCH('County Scaled Consumption '!K$2,Production_Consumption!$AA$83:$AJ$83,0)))*'CA Population'!$L643*10^6</f>
        <v>14389.323056462701</v>
      </c>
      <c r="L643" s="131">
        <f t="shared" si="9"/>
        <v>0</v>
      </c>
    </row>
    <row r="644" spans="1:12" x14ac:dyDescent="0.2">
      <c r="A644" s="132" t="s">
        <v>356</v>
      </c>
      <c r="B644" s="129">
        <v>2010</v>
      </c>
      <c r="C644" s="143">
        <f>(INDEX(Production_Consumption!$AA$83:$AJ$99,MATCH('County Scaled Consumption '!$B644,Production_Consumption!$AA$83:$AA$99,0),MATCH('County Scaled Consumption '!C$2,Production_Consumption!$AA$83:$AJ$83,0)))*'CA Population'!$L644*10^6</f>
        <v>670.92563808984357</v>
      </c>
      <c r="D644" s="143">
        <f>(INDEX(Production_Consumption!$AA$83:$AJ$99,MATCH('County Scaled Consumption '!$B644,Production_Consumption!$AA$83:$AA$99,0),MATCH('County Scaled Consumption '!D$2,Production_Consumption!$AA$83:$AJ$83,0)))*'CA Population'!$L644*10^6</f>
        <v>2826.2023529503035</v>
      </c>
      <c r="E644" s="143">
        <f>(INDEX(Production_Consumption!$AA$83:$AJ$99,MATCH('County Scaled Consumption '!$B644,Production_Consumption!$AA$83:$AA$99,0),MATCH('County Scaled Consumption '!E$2,Production_Consumption!$AA$83:$AJ$83,0)))*'CA Population'!$L644*10^6</f>
        <v>1646.6989625904748</v>
      </c>
      <c r="F644" s="143">
        <f>(INDEX(Production_Consumption!$AA$83:$AJ$99,MATCH('County Scaled Consumption '!$B644,Production_Consumption!$AA$83:$AA$99,0),MATCH('County Scaled Consumption '!F$2,Production_Consumption!$AA$83:$AJ$83,0)))*'CA Population'!$L644*10^6</f>
        <v>867.94332151887068</v>
      </c>
      <c r="G644" s="143">
        <f>(INDEX(Production_Consumption!$AA$83:$AJ$99,MATCH('County Scaled Consumption '!$B644,Production_Consumption!$AA$83:$AA$99,0),MATCH('County Scaled Consumption '!G$2,Production_Consumption!$AA$83:$AJ$83,0)))*'CA Population'!$L644*10^6</f>
        <v>1862.7282940411849</v>
      </c>
      <c r="H644" s="143">
        <f>(INDEX(Production_Consumption!$AA$83:$AJ$99,MATCH('County Scaled Consumption '!$B644,Production_Consumption!$AA$83:$AA$99,0),MATCH('County Scaled Consumption '!H$2,Production_Consumption!$AA$83:$AJ$83,0)))*'CA Population'!$L644*10^6</f>
        <v>50.026831217525313</v>
      </c>
      <c r="I644" s="143">
        <f>(INDEX(Production_Consumption!$AA$83:$AJ$99,MATCH('County Scaled Consumption '!$B644,Production_Consumption!$AA$83:$AA$99,0),MATCH('County Scaled Consumption '!I$2,Production_Consumption!$AA$83:$AJ$83,0)))*'CA Population'!$L644*10^6</f>
        <v>988.4875518095821</v>
      </c>
      <c r="J644" s="143">
        <f>(INDEX(Production_Consumption!$AA$83:$AJ$99,MATCH('County Scaled Consumption '!$B644,Production_Consumption!$AA$83:$AA$99,0),MATCH('County Scaled Consumption '!J$2,Production_Consumption!$AA$83:$AJ$83,0)))*'CA Population'!$L644*10^6</f>
        <v>726.19463438821526</v>
      </c>
      <c r="K644" s="143">
        <f>(INDEX(Production_Consumption!$AA$83:$AJ$99,MATCH('County Scaled Consumption '!$B644,Production_Consumption!$AA$83:$AA$99,0),MATCH('County Scaled Consumption '!K$2,Production_Consumption!$AA$83:$AJ$83,0)))*'CA Population'!$L644*10^6</f>
        <v>9639.2075866059986</v>
      </c>
      <c r="L644" s="131">
        <f t="shared" ref="L644:L707" si="10">K644-SUM(C644:J644)</f>
        <v>0</v>
      </c>
    </row>
    <row r="645" spans="1:12" x14ac:dyDescent="0.2">
      <c r="A645" s="132" t="s">
        <v>357</v>
      </c>
      <c r="B645" s="129">
        <v>2010</v>
      </c>
      <c r="C645" s="143">
        <f>(INDEX(Production_Consumption!$AA$83:$AJ$99,MATCH('County Scaled Consumption '!$B645,Production_Consumption!$AA$83:$AA$99,0),MATCH('County Scaled Consumption '!C$2,Production_Consumption!$AA$83:$AJ$83,0)))*'CA Population'!$L645*10^6</f>
        <v>145.74446286350448</v>
      </c>
      <c r="D645" s="143">
        <f>(INDEX(Production_Consumption!$AA$83:$AJ$99,MATCH('County Scaled Consumption '!$B645,Production_Consumption!$AA$83:$AA$99,0),MATCH('County Scaled Consumption '!D$2,Production_Consumption!$AA$83:$AJ$83,0)))*'CA Population'!$L645*10^6</f>
        <v>613.93293159436018</v>
      </c>
      <c r="E645" s="143">
        <f>(INDEX(Production_Consumption!$AA$83:$AJ$99,MATCH('County Scaled Consumption '!$B645,Production_Consumption!$AA$83:$AA$99,0),MATCH('County Scaled Consumption '!E$2,Production_Consumption!$AA$83:$AJ$83,0)))*'CA Population'!$L645*10^6</f>
        <v>357.71066445444251</v>
      </c>
      <c r="F645" s="143">
        <f>(INDEX(Production_Consumption!$AA$83:$AJ$99,MATCH('County Scaled Consumption '!$B645,Production_Consumption!$AA$83:$AA$99,0),MATCH('County Scaled Consumption '!F$2,Production_Consumption!$AA$83:$AJ$83,0)))*'CA Population'!$L645*10^6</f>
        <v>188.54240471549014</v>
      </c>
      <c r="G645" s="143">
        <f>(INDEX(Production_Consumption!$AA$83:$AJ$99,MATCH('County Scaled Consumption '!$B645,Production_Consumption!$AA$83:$AA$99,0),MATCH('County Scaled Consumption '!G$2,Production_Consumption!$AA$83:$AJ$83,0)))*'CA Population'!$L645*10^6</f>
        <v>404.63848638815966</v>
      </c>
      <c r="H645" s="143">
        <f>(INDEX(Production_Consumption!$AA$83:$AJ$99,MATCH('County Scaled Consumption '!$B645,Production_Consumption!$AA$83:$AA$99,0),MATCH('County Scaled Consumption '!H$2,Production_Consumption!$AA$83:$AJ$83,0)))*'CA Population'!$L645*10^6</f>
        <v>10.867275344134438</v>
      </c>
      <c r="I645" s="143">
        <f>(INDEX(Production_Consumption!$AA$83:$AJ$99,MATCH('County Scaled Consumption '!$B645,Production_Consumption!$AA$83:$AA$99,0),MATCH('County Scaled Consumption '!I$2,Production_Consumption!$AA$83:$AJ$83,0)))*'CA Population'!$L645*10^6</f>
        <v>214.72809966826179</v>
      </c>
      <c r="J645" s="143">
        <f>(INDEX(Production_Consumption!$AA$83:$AJ$99,MATCH('County Scaled Consumption '!$B645,Production_Consumption!$AA$83:$AA$99,0),MATCH('County Scaled Consumption '!J$2,Production_Consumption!$AA$83:$AJ$83,0)))*'CA Population'!$L645*10^6</f>
        <v>157.75048815334816</v>
      </c>
      <c r="K645" s="143">
        <f>(INDEX(Production_Consumption!$AA$83:$AJ$99,MATCH('County Scaled Consumption '!$B645,Production_Consumption!$AA$83:$AA$99,0),MATCH('County Scaled Consumption '!K$2,Production_Consumption!$AA$83:$AJ$83,0)))*'CA Population'!$L645*10^6</f>
        <v>2093.9148131817014</v>
      </c>
      <c r="L645" s="131">
        <f t="shared" si="10"/>
        <v>0</v>
      </c>
    </row>
    <row r="646" spans="1:12" x14ac:dyDescent="0.2">
      <c r="A646" s="132" t="s">
        <v>358</v>
      </c>
      <c r="B646" s="129">
        <v>2010</v>
      </c>
      <c r="C646" s="143">
        <f>(INDEX(Production_Consumption!$AA$83:$AJ$99,MATCH('County Scaled Consumption '!$B646,Production_Consumption!$AA$83:$AA$99,0),MATCH('County Scaled Consumption '!C$2,Production_Consumption!$AA$83:$AJ$83,0)))*'CA Population'!$L646*10^6</f>
        <v>4674.6801715161428</v>
      </c>
      <c r="D646" s="143">
        <f>(INDEX(Production_Consumption!$AA$83:$AJ$99,MATCH('County Scaled Consumption '!$B646,Production_Consumption!$AA$83:$AA$99,0),MATCH('County Scaled Consumption '!D$2,Production_Consumption!$AA$83:$AJ$83,0)))*'CA Population'!$L646*10^6</f>
        <v>19691.589276038198</v>
      </c>
      <c r="E646" s="143">
        <f>(INDEX(Production_Consumption!$AA$83:$AJ$99,MATCH('County Scaled Consumption '!$B646,Production_Consumption!$AA$83:$AA$99,0),MATCH('County Scaled Consumption '!E$2,Production_Consumption!$AA$83:$AJ$83,0)))*'CA Population'!$L646*10^6</f>
        <v>11473.389228043008</v>
      </c>
      <c r="F646" s="143">
        <f>(INDEX(Production_Consumption!$AA$83:$AJ$99,MATCH('County Scaled Consumption '!$B646,Production_Consumption!$AA$83:$AA$99,0),MATCH('County Scaled Consumption '!F$2,Production_Consumption!$AA$83:$AJ$83,0)))*'CA Population'!$L646*10^6</f>
        <v>6047.4025804940311</v>
      </c>
      <c r="G646" s="143">
        <f>(INDEX(Production_Consumption!$AA$83:$AJ$99,MATCH('County Scaled Consumption '!$B646,Production_Consumption!$AA$83:$AA$99,0),MATCH('County Scaled Consumption '!G$2,Production_Consumption!$AA$83:$AJ$83,0)))*'CA Population'!$L646*10^6</f>
        <v>12978.57545862687</v>
      </c>
      <c r="H646" s="143">
        <f>(INDEX(Production_Consumption!$AA$83:$AJ$99,MATCH('County Scaled Consumption '!$B646,Production_Consumption!$AA$83:$AA$99,0),MATCH('County Scaled Consumption '!H$2,Production_Consumption!$AA$83:$AJ$83,0)))*'CA Population'!$L646*10^6</f>
        <v>348.56237809328462</v>
      </c>
      <c r="I646" s="143">
        <f>(INDEX(Production_Consumption!$AA$83:$AJ$99,MATCH('County Scaled Consumption '!$B646,Production_Consumption!$AA$83:$AA$99,0),MATCH('County Scaled Consumption '!I$2,Production_Consumption!$AA$83:$AJ$83,0)))*'CA Population'!$L646*10^6</f>
        <v>6887.2955449885631</v>
      </c>
      <c r="J646" s="143">
        <f>(INDEX(Production_Consumption!$AA$83:$AJ$99,MATCH('County Scaled Consumption '!$B646,Production_Consumption!$AA$83:$AA$99,0),MATCH('County Scaled Consumption '!J$2,Production_Consumption!$AA$83:$AJ$83,0)))*'CA Population'!$L646*10^6</f>
        <v>5059.7673800347702</v>
      </c>
      <c r="K646" s="143">
        <f>(INDEX(Production_Consumption!$AA$83:$AJ$99,MATCH('County Scaled Consumption '!$B646,Production_Consumption!$AA$83:$AA$99,0),MATCH('County Scaled Consumption '!K$2,Production_Consumption!$AA$83:$AJ$83,0)))*'CA Population'!$L646*10^6</f>
        <v>67161.262017834859</v>
      </c>
      <c r="L646" s="131">
        <f t="shared" si="10"/>
        <v>0</v>
      </c>
    </row>
    <row r="647" spans="1:12" x14ac:dyDescent="0.2">
      <c r="A647" s="132" t="s">
        <v>359</v>
      </c>
      <c r="B647" s="129">
        <v>2010</v>
      </c>
      <c r="C647" s="143">
        <f>(INDEX(Production_Consumption!$AA$83:$AJ$99,MATCH('County Scaled Consumption '!$B647,Production_Consumption!$AA$83:$AA$99,0),MATCH('County Scaled Consumption '!C$2,Production_Consumption!$AA$83:$AJ$83,0)))*'CA Population'!$L647*10^6</f>
        <v>585.31424535310646</v>
      </c>
      <c r="D647" s="143">
        <f>(INDEX(Production_Consumption!$AA$83:$AJ$99,MATCH('County Scaled Consumption '!$B647,Production_Consumption!$AA$83:$AA$99,0),MATCH('County Scaled Consumption '!D$2,Production_Consumption!$AA$83:$AJ$83,0)))*'CA Population'!$L647*10^6</f>
        <v>2465.5735353055093</v>
      </c>
      <c r="E647" s="143">
        <f>(INDEX(Production_Consumption!$AA$83:$AJ$99,MATCH('County Scaled Consumption '!$B647,Production_Consumption!$AA$83:$AA$99,0),MATCH('County Scaled Consumption '!E$2,Production_Consumption!$AA$83:$AJ$83,0)))*'CA Population'!$L647*10^6</f>
        <v>1436.5770301407374</v>
      </c>
      <c r="F647" s="143">
        <f>(INDEX(Production_Consumption!$AA$83:$AJ$99,MATCH('County Scaled Consumption '!$B647,Production_Consumption!$AA$83:$AA$99,0),MATCH('County Scaled Consumption '!F$2,Production_Consumption!$AA$83:$AJ$83,0)))*'CA Population'!$L647*10^6</f>
        <v>757.19209611730093</v>
      </c>
      <c r="G647" s="143">
        <f>(INDEX(Production_Consumption!$AA$83:$AJ$99,MATCH('County Scaled Consumption '!$B647,Production_Consumption!$AA$83:$AA$99,0),MATCH('County Scaled Consumption '!G$2,Production_Consumption!$AA$83:$AJ$83,0)))*'CA Population'!$L647*10^6</f>
        <v>1625.0406063310936</v>
      </c>
      <c r="H647" s="143">
        <f>(INDEX(Production_Consumption!$AA$83:$AJ$99,MATCH('County Scaled Consumption '!$B647,Production_Consumption!$AA$83:$AA$99,0),MATCH('County Scaled Consumption '!H$2,Production_Consumption!$AA$83:$AJ$83,0)))*'CA Population'!$L647*10^6</f>
        <v>43.64331201421755</v>
      </c>
      <c r="I647" s="143">
        <f>(INDEX(Production_Consumption!$AA$83:$AJ$99,MATCH('County Scaled Consumption '!$B647,Production_Consumption!$AA$83:$AA$99,0),MATCH('County Scaled Consumption '!I$2,Production_Consumption!$AA$83:$AJ$83,0)))*'CA Population'!$L647*10^6</f>
        <v>862.35465241065674</v>
      </c>
      <c r="J647" s="143">
        <f>(INDEX(Production_Consumption!$AA$83:$AJ$99,MATCH('County Scaled Consumption '!$B647,Production_Consumption!$AA$83:$AA$99,0),MATCH('County Scaled Consumption '!J$2,Production_Consumption!$AA$83:$AJ$83,0)))*'CA Population'!$L647*10^6</f>
        <v>633.53081217250258</v>
      </c>
      <c r="K647" s="143">
        <f>(INDEX(Production_Consumption!$AA$83:$AJ$99,MATCH('County Scaled Consumption '!$B647,Production_Consumption!$AA$83:$AA$99,0),MATCH('County Scaled Consumption '!K$2,Production_Consumption!$AA$83:$AJ$83,0)))*'CA Population'!$L647*10^6</f>
        <v>8409.2262898451245</v>
      </c>
      <c r="L647" s="131">
        <f t="shared" si="10"/>
        <v>0</v>
      </c>
    </row>
    <row r="648" spans="1:12" x14ac:dyDescent="0.2">
      <c r="A648" s="132" t="s">
        <v>360</v>
      </c>
      <c r="B648" s="129">
        <v>2010</v>
      </c>
      <c r="C648" s="143">
        <f>(INDEX(Production_Consumption!$AA$83:$AJ$99,MATCH('County Scaled Consumption '!$B648,Production_Consumption!$AA$83:$AA$99,0),MATCH('County Scaled Consumption '!C$2,Production_Consumption!$AA$83:$AJ$83,0)))*'CA Population'!$L648*10^6</f>
        <v>8704.0504624876521</v>
      </c>
      <c r="D648" s="143">
        <f>(INDEX(Production_Consumption!$AA$83:$AJ$99,MATCH('County Scaled Consumption '!$B648,Production_Consumption!$AA$83:$AA$99,0),MATCH('County Scaled Consumption '!D$2,Production_Consumption!$AA$83:$AJ$83,0)))*'CA Population'!$L648*10^6</f>
        <v>36664.87983275827</v>
      </c>
      <c r="E648" s="143">
        <f>(INDEX(Production_Consumption!$AA$83:$AJ$99,MATCH('County Scaled Consumption '!$B648,Production_Consumption!$AA$83:$AA$99,0),MATCH('County Scaled Consumption '!E$2,Production_Consumption!$AA$83:$AJ$83,0)))*'CA Population'!$L648*10^6</f>
        <v>21362.950009959575</v>
      </c>
      <c r="F648" s="143">
        <f>(INDEX(Production_Consumption!$AA$83:$AJ$99,MATCH('County Scaled Consumption '!$B648,Production_Consumption!$AA$83:$AA$99,0),MATCH('County Scaled Consumption '!F$2,Production_Consumption!$AA$83:$AJ$83,0)))*'CA Population'!$L648*10^6</f>
        <v>11259.999678336568</v>
      </c>
      <c r="G648" s="143">
        <f>(INDEX(Production_Consumption!$AA$83:$AJ$99,MATCH('County Scaled Consumption '!$B648,Production_Consumption!$AA$83:$AA$99,0),MATCH('County Scaled Consumption '!G$2,Production_Consumption!$AA$83:$AJ$83,0)))*'CA Population'!$L648*10^6</f>
        <v>24165.541080525665</v>
      </c>
      <c r="H648" s="143">
        <f>(INDEX(Production_Consumption!$AA$83:$AJ$99,MATCH('County Scaled Consumption '!$B648,Production_Consumption!$AA$83:$AA$99,0),MATCH('County Scaled Consumption '!H$2,Production_Consumption!$AA$83:$AJ$83,0)))*'CA Population'!$L648*10^6</f>
        <v>649.00793571609438</v>
      </c>
      <c r="I648" s="143">
        <f>(INDEX(Production_Consumption!$AA$83:$AJ$99,MATCH('County Scaled Consumption '!$B648,Production_Consumption!$AA$83:$AA$99,0),MATCH('County Scaled Consumption '!I$2,Production_Consumption!$AA$83:$AJ$83,0)))*'CA Population'!$L648*10^6</f>
        <v>12823.843722811109</v>
      </c>
      <c r="J648" s="143">
        <f>(INDEX(Production_Consumption!$AA$83:$AJ$99,MATCH('County Scaled Consumption '!$B648,Production_Consumption!$AA$83:$AA$99,0),MATCH('County Scaled Consumption '!J$2,Production_Consumption!$AA$83:$AJ$83,0)))*'CA Population'!$L648*10^6</f>
        <v>9421.0660384040548</v>
      </c>
      <c r="K648" s="143">
        <f>(INDEX(Production_Consumption!$AA$83:$AJ$99,MATCH('County Scaled Consumption '!$B648,Production_Consumption!$AA$83:$AA$99,0),MATCH('County Scaled Consumption '!K$2,Production_Consumption!$AA$83:$AJ$83,0)))*'CA Population'!$L648*10^6</f>
        <v>125051.33876099897</v>
      </c>
      <c r="L648" s="131">
        <f t="shared" si="10"/>
        <v>0</v>
      </c>
    </row>
    <row r="649" spans="1:12" x14ac:dyDescent="0.2">
      <c r="A649" s="132" t="s">
        <v>361</v>
      </c>
      <c r="B649" s="129">
        <v>2010</v>
      </c>
      <c r="C649" s="143">
        <f>(INDEX(Production_Consumption!$AA$83:$AJ$99,MATCH('County Scaled Consumption '!$B649,Production_Consumption!$AA$83:$AA$99,0),MATCH('County Scaled Consumption '!C$2,Production_Consumption!$AA$83:$AJ$83,0)))*'CA Population'!$L649*10^6</f>
        <v>2123.3591775476575</v>
      </c>
      <c r="D649" s="143">
        <f>(INDEX(Production_Consumption!$AA$83:$AJ$99,MATCH('County Scaled Consumption '!$B649,Production_Consumption!$AA$83:$AA$99,0),MATCH('County Scaled Consumption '!D$2,Production_Consumption!$AA$83:$AJ$83,0)))*'CA Population'!$L649*10^6</f>
        <v>8944.4229927314409</v>
      </c>
      <c r="E649" s="143">
        <f>(INDEX(Production_Consumption!$AA$83:$AJ$99,MATCH('County Scaled Consumption '!$B649,Production_Consumption!$AA$83:$AA$99,0),MATCH('County Scaled Consumption '!E$2,Production_Consumption!$AA$83:$AJ$83,0)))*'CA Population'!$L649*10^6</f>
        <v>5211.5065461345075</v>
      </c>
      <c r="F649" s="143">
        <f>(INDEX(Production_Consumption!$AA$83:$AJ$99,MATCH('County Scaled Consumption '!$B649,Production_Consumption!$AA$83:$AA$99,0),MATCH('County Scaled Consumption '!F$2,Production_Consumption!$AA$83:$AJ$83,0)))*'CA Population'!$L649*10^6</f>
        <v>2746.8847703976121</v>
      </c>
      <c r="G649" s="143">
        <f>(INDEX(Production_Consumption!$AA$83:$AJ$99,MATCH('County Scaled Consumption '!$B649,Production_Consumption!$AA$83:$AA$99,0),MATCH('County Scaled Consumption '!G$2,Production_Consumption!$AA$83:$AJ$83,0)))*'CA Population'!$L649*10^6</f>
        <v>5895.2005913662751</v>
      </c>
      <c r="H649" s="143">
        <f>(INDEX(Production_Consumption!$AA$83:$AJ$99,MATCH('County Scaled Consumption '!$B649,Production_Consumption!$AA$83:$AA$99,0),MATCH('County Scaled Consumption '!H$2,Production_Consumption!$AA$83:$AJ$83,0)))*'CA Population'!$L649*10^6</f>
        <v>158.3259383138008</v>
      </c>
      <c r="I649" s="143">
        <f>(INDEX(Production_Consumption!$AA$83:$AJ$99,MATCH('County Scaled Consumption '!$B649,Production_Consumption!$AA$83:$AA$99,0),MATCH('County Scaled Consumption '!I$2,Production_Consumption!$AA$83:$AJ$83,0)))*'CA Population'!$L649*10^6</f>
        <v>3128.3856151364221</v>
      </c>
      <c r="J649" s="143">
        <f>(INDEX(Production_Consumption!$AA$83:$AJ$99,MATCH('County Scaled Consumption '!$B649,Production_Consumption!$AA$83:$AA$99,0),MATCH('County Scaled Consumption '!J$2,Production_Consumption!$AA$83:$AJ$83,0)))*'CA Population'!$L649*10^6</f>
        <v>2298.2756270935606</v>
      </c>
      <c r="K649" s="143">
        <f>(INDEX(Production_Consumption!$AA$83:$AJ$99,MATCH('County Scaled Consumption '!$B649,Production_Consumption!$AA$83:$AA$99,0),MATCH('County Scaled Consumption '!K$2,Production_Consumption!$AA$83:$AJ$83,0)))*'CA Population'!$L649*10^6</f>
        <v>30506.361258721277</v>
      </c>
      <c r="L649" s="131">
        <f t="shared" si="10"/>
        <v>0</v>
      </c>
    </row>
    <row r="650" spans="1:12" x14ac:dyDescent="0.2">
      <c r="A650" s="132" t="s">
        <v>362</v>
      </c>
      <c r="B650" s="129">
        <v>2010</v>
      </c>
      <c r="C650" s="143">
        <f>(INDEX(Production_Consumption!$AA$83:$AJ$99,MATCH('County Scaled Consumption '!$B650,Production_Consumption!$AA$83:$AA$99,0),MATCH('County Scaled Consumption '!C$2,Production_Consumption!$AA$83:$AJ$83,0)))*'CA Population'!$L650*10^6</f>
        <v>762.8167501752622</v>
      </c>
      <c r="D650" s="143">
        <f>(INDEX(Production_Consumption!$AA$83:$AJ$99,MATCH('County Scaled Consumption '!$B650,Production_Consumption!$AA$83:$AA$99,0),MATCH('County Scaled Consumption '!D$2,Production_Consumption!$AA$83:$AJ$83,0)))*'CA Population'!$L650*10^6</f>
        <v>3213.2838154062861</v>
      </c>
      <c r="E650" s="143">
        <f>(INDEX(Production_Consumption!$AA$83:$AJ$99,MATCH('County Scaled Consumption '!$B650,Production_Consumption!$AA$83:$AA$99,0),MATCH('County Scaled Consumption '!E$2,Production_Consumption!$AA$83:$AJ$83,0)))*'CA Population'!$L650*10^6</f>
        <v>1872.2336423698171</v>
      </c>
      <c r="F650" s="143">
        <f>(INDEX(Production_Consumption!$AA$83:$AJ$99,MATCH('County Scaled Consumption '!$B650,Production_Consumption!$AA$83:$AA$99,0),MATCH('County Scaled Consumption '!F$2,Production_Consumption!$AA$83:$AJ$83,0)))*'CA Population'!$L650*10^6</f>
        <v>986.81830931714717</v>
      </c>
      <c r="G650" s="143">
        <f>(INDEX(Production_Consumption!$AA$83:$AJ$99,MATCH('County Scaled Consumption '!$B650,Production_Consumption!$AA$83:$AA$99,0),MATCH('County Scaled Consumption '!G$2,Production_Consumption!$AA$83:$AJ$83,0)))*'CA Population'!$L650*10^6</f>
        <v>2117.8507170562643</v>
      </c>
      <c r="H650" s="143">
        <f>(INDEX(Production_Consumption!$AA$83:$AJ$99,MATCH('County Scaled Consumption '!$B650,Production_Consumption!$AA$83:$AA$99,0),MATCH('County Scaled Consumption '!H$2,Production_Consumption!$AA$83:$AJ$83,0)))*'CA Population'!$L650*10^6</f>
        <v>56.878590777311793</v>
      </c>
      <c r="I650" s="143">
        <f>(INDEX(Production_Consumption!$AA$83:$AJ$99,MATCH('County Scaled Consumption '!$B650,Production_Consumption!$AA$83:$AA$99,0),MATCH('County Scaled Consumption '!I$2,Production_Consumption!$AA$83:$AJ$83,0)))*'CA Population'!$L650*10^6</f>
        <v>1123.872481616381</v>
      </c>
      <c r="J650" s="143">
        <f>(INDEX(Production_Consumption!$AA$83:$AJ$99,MATCH('County Scaled Consumption '!$B650,Production_Consumption!$AA$83:$AA$99,0),MATCH('County Scaled Consumption '!J$2,Production_Consumption!$AA$83:$AJ$83,0)))*'CA Population'!$L650*10^6</f>
        <v>825.65548184425052</v>
      </c>
      <c r="K650" s="143">
        <f>(INDEX(Production_Consumption!$AA$83:$AJ$99,MATCH('County Scaled Consumption '!$B650,Production_Consumption!$AA$83:$AA$99,0),MATCH('County Scaled Consumption '!K$2,Production_Consumption!$AA$83:$AJ$83,0)))*'CA Population'!$L650*10^6</f>
        <v>10959.40978856272</v>
      </c>
      <c r="L650" s="131">
        <f t="shared" si="10"/>
        <v>0</v>
      </c>
    </row>
    <row r="651" spans="1:12" x14ac:dyDescent="0.2">
      <c r="A651" s="132" t="s">
        <v>363</v>
      </c>
      <c r="B651" s="129">
        <v>2010</v>
      </c>
      <c r="C651" s="143">
        <f>(INDEX(Production_Consumption!$AA$83:$AJ$99,MATCH('County Scaled Consumption '!$B651,Production_Consumption!$AA$83:$AA$99,0),MATCH('County Scaled Consumption '!C$2,Production_Consumption!$AA$83:$AJ$83,0)))*'CA Population'!$L651*10^6</f>
        <v>393845.77156250033</v>
      </c>
      <c r="D651" s="143">
        <f>(INDEX(Production_Consumption!$AA$83:$AJ$99,MATCH('County Scaled Consumption '!$B651,Production_Consumption!$AA$83:$AA$99,0),MATCH('County Scaled Consumption '!D$2,Production_Consumption!$AA$83:$AJ$83,0)))*'CA Population'!$L651*10^6</f>
        <v>1659033.1075415136</v>
      </c>
      <c r="E651" s="143">
        <f>(INDEX(Production_Consumption!$AA$83:$AJ$99,MATCH('County Scaled Consumption '!$B651,Production_Consumption!$AA$83:$AA$99,0),MATCH('County Scaled Consumption '!E$2,Production_Consumption!$AA$83:$AJ$83,0)))*'CA Population'!$L651*10^6</f>
        <v>966642.77921924891</v>
      </c>
      <c r="F651" s="143">
        <f>(INDEX(Production_Consumption!$AA$83:$AJ$99,MATCH('County Scaled Consumption '!$B651,Production_Consumption!$AA$83:$AA$99,0),MATCH('County Scaled Consumption '!F$2,Production_Consumption!$AA$83:$AJ$83,0)))*'CA Population'!$L651*10^6</f>
        <v>509498.79946359078</v>
      </c>
      <c r="G651" s="143">
        <f>(INDEX(Production_Consumption!$AA$83:$AJ$99,MATCH('County Scaled Consumption '!$B651,Production_Consumption!$AA$83:$AA$99,0),MATCH('County Scaled Consumption '!G$2,Production_Consumption!$AA$83:$AJ$83,0)))*'CA Population'!$L651*10^6</f>
        <v>1093455.9965045045</v>
      </c>
      <c r="H651" s="143">
        <f>(INDEX(Production_Consumption!$AA$83:$AJ$99,MATCH('County Scaled Consumption '!$B651,Production_Consumption!$AA$83:$AA$99,0),MATCH('County Scaled Consumption '!H$2,Production_Consumption!$AA$83:$AJ$83,0)))*'CA Population'!$L651*10^6</f>
        <v>29366.676157715745</v>
      </c>
      <c r="I651" s="143">
        <f>(INDEX(Production_Consumption!$AA$83:$AJ$99,MATCH('County Scaled Consumption '!$B651,Production_Consumption!$AA$83:$AA$99,0),MATCH('County Scaled Consumption '!I$2,Production_Consumption!$AA$83:$AJ$83,0)))*'CA Population'!$L651*10^6</f>
        <v>580260.49448752648</v>
      </c>
      <c r="J651" s="143">
        <f>(INDEX(Production_Consumption!$AA$83:$AJ$99,MATCH('County Scaled Consumption '!$B651,Production_Consumption!$AA$83:$AA$99,0),MATCH('County Scaled Consumption '!J$2,Production_Consumption!$AA$83:$AJ$83,0)))*'CA Population'!$L651*10^6</f>
        <v>426289.69567991834</v>
      </c>
      <c r="K651" s="143">
        <f>(INDEX(Production_Consumption!$AA$83:$AJ$99,MATCH('County Scaled Consumption '!$B651,Production_Consumption!$AA$83:$AA$99,0),MATCH('County Scaled Consumption '!K$2,Production_Consumption!$AA$83:$AJ$83,0)))*'CA Population'!$L651*10^6</f>
        <v>5658393.3206165181</v>
      </c>
      <c r="L651" s="131">
        <f t="shared" si="10"/>
        <v>0</v>
      </c>
    </row>
    <row r="652" spans="1:12" x14ac:dyDescent="0.2">
      <c r="A652" s="132" t="s">
        <v>305</v>
      </c>
      <c r="B652" s="129">
        <v>2009</v>
      </c>
      <c r="C652" s="143">
        <f>(INDEX(Production_Consumption!$AA$83:$AJ$99,MATCH('County Scaled Consumption '!$B652,Production_Consumption!$AA$83:$AA$99,0),MATCH('County Scaled Consumption '!C$2,Production_Consumption!$AA$83:$AJ$83,0)))*'CA Population'!$L652*10^6</f>
        <v>16763.922390429565</v>
      </c>
      <c r="D652" s="143">
        <f>(INDEX(Production_Consumption!$AA$83:$AJ$99,MATCH('County Scaled Consumption '!$B652,Production_Consumption!$AA$83:$AA$99,0),MATCH('County Scaled Consumption '!D$2,Production_Consumption!$AA$83:$AJ$83,0)))*'CA Population'!$L652*10^6</f>
        <v>68126.154518006326</v>
      </c>
      <c r="E652" s="143">
        <f>(INDEX(Production_Consumption!$AA$83:$AJ$99,MATCH('County Scaled Consumption '!$B652,Production_Consumption!$AA$83:$AA$99,0),MATCH('County Scaled Consumption '!E$2,Production_Consumption!$AA$83:$AJ$83,0)))*'CA Population'!$L652*10^6</f>
        <v>34113.587371771209</v>
      </c>
      <c r="F652" s="143">
        <f>(INDEX(Production_Consumption!$AA$83:$AJ$99,MATCH('County Scaled Consumption '!$B652,Production_Consumption!$AA$83:$AA$99,0),MATCH('County Scaled Consumption '!F$2,Production_Consumption!$AA$83:$AJ$83,0)))*'CA Population'!$L652*10^6</f>
        <v>15870.008403835192</v>
      </c>
      <c r="G652" s="143">
        <f>(INDEX(Production_Consumption!$AA$83:$AJ$99,MATCH('County Scaled Consumption '!$B652,Production_Consumption!$AA$83:$AA$99,0),MATCH('County Scaled Consumption '!G$2,Production_Consumption!$AA$83:$AJ$83,0)))*'CA Population'!$L652*10^6</f>
        <v>45209.746045919645</v>
      </c>
      <c r="H652" s="143">
        <f>(INDEX(Production_Consumption!$AA$83:$AJ$99,MATCH('County Scaled Consumption '!$B652,Production_Consumption!$AA$83:$AA$99,0),MATCH('County Scaled Consumption '!H$2,Production_Consumption!$AA$83:$AJ$83,0)))*'CA Population'!$L652*10^6</f>
        <v>1263.4481814315534</v>
      </c>
      <c r="I652" s="143">
        <f>(INDEX(Production_Consumption!$AA$83:$AJ$99,MATCH('County Scaled Consumption '!$B652,Production_Consumption!$AA$83:$AA$99,0),MATCH('County Scaled Consumption '!I$2,Production_Consumption!$AA$83:$AJ$83,0)))*'CA Population'!$L652*10^6</f>
        <v>21730.774099808736</v>
      </c>
      <c r="J652" s="143">
        <f>(INDEX(Production_Consumption!$AA$83:$AJ$99,MATCH('County Scaled Consumption '!$B652,Production_Consumption!$AA$83:$AA$99,0),MATCH('County Scaled Consumption '!J$2,Production_Consumption!$AA$83:$AJ$83,0)))*'CA Population'!$L652*10^6</f>
        <v>16843.003796824487</v>
      </c>
      <c r="K652" s="143">
        <f>(INDEX(Production_Consumption!$AA$83:$AJ$99,MATCH('County Scaled Consumption '!$B652,Production_Consumption!$AA$83:$AA$99,0),MATCH('County Scaled Consumption '!K$2,Production_Consumption!$AA$83:$AJ$83,0)))*'CA Population'!$L652*10^6</f>
        <v>219920.6448080267</v>
      </c>
      <c r="L652" s="131">
        <f t="shared" si="10"/>
        <v>0</v>
      </c>
    </row>
    <row r="653" spans="1:12" x14ac:dyDescent="0.2">
      <c r="A653" s="132" t="s">
        <v>306</v>
      </c>
      <c r="B653" s="129">
        <v>2009</v>
      </c>
      <c r="C653" s="143">
        <f>(INDEX(Production_Consumption!$AA$83:$AJ$99,MATCH('County Scaled Consumption '!$B653,Production_Consumption!$AA$83:$AA$99,0),MATCH('County Scaled Consumption '!C$2,Production_Consumption!$AA$83:$AJ$83,0)))*'CA Population'!$L653*10^6</f>
        <v>13.363691212354194</v>
      </c>
      <c r="D653" s="143">
        <f>(INDEX(Production_Consumption!$AA$83:$AJ$99,MATCH('County Scaled Consumption '!$B653,Production_Consumption!$AA$83:$AA$99,0),MATCH('County Scaled Consumption '!D$2,Production_Consumption!$AA$83:$AJ$83,0)))*'CA Population'!$L653*10^6</f>
        <v>54.308107092139565</v>
      </c>
      <c r="E653" s="143">
        <f>(INDEX(Production_Consumption!$AA$83:$AJ$99,MATCH('County Scaled Consumption '!$B653,Production_Consumption!$AA$83:$AA$99,0),MATCH('County Scaled Consumption '!E$2,Production_Consumption!$AA$83:$AJ$83,0)))*'CA Population'!$L653*10^6</f>
        <v>27.194318678203704</v>
      </c>
      <c r="F653" s="143">
        <f>(INDEX(Production_Consumption!$AA$83:$AJ$99,MATCH('County Scaled Consumption '!$B653,Production_Consumption!$AA$83:$AA$99,0),MATCH('County Scaled Consumption '!F$2,Production_Consumption!$AA$83:$AJ$83,0)))*'CA Population'!$L653*10^6</f>
        <v>12.651090055594388</v>
      </c>
      <c r="G653" s="143">
        <f>(INDEX(Production_Consumption!$AA$83:$AJ$99,MATCH('County Scaled Consumption '!$B653,Production_Consumption!$AA$83:$AA$99,0),MATCH('County Scaled Consumption '!G$2,Production_Consumption!$AA$83:$AJ$83,0)))*'CA Population'!$L653*10^6</f>
        <v>36.039840311569208</v>
      </c>
      <c r="H653" s="143">
        <f>(INDEX(Production_Consumption!$AA$83:$AJ$99,MATCH('County Scaled Consumption '!$B653,Production_Consumption!$AA$83:$AA$99,0),MATCH('County Scaled Consumption '!H$2,Production_Consumption!$AA$83:$AJ$83,0)))*'CA Population'!$L653*10^6</f>
        <v>1.0071826250580185</v>
      </c>
      <c r="I653" s="143">
        <f>(INDEX(Production_Consumption!$AA$83:$AJ$99,MATCH('County Scaled Consumption '!$B653,Production_Consumption!$AA$83:$AA$99,0),MATCH('County Scaled Consumption '!I$2,Production_Consumption!$AA$83:$AJ$83,0)))*'CA Population'!$L653*10^6</f>
        <v>17.323114967476698</v>
      </c>
      <c r="J653" s="143">
        <f>(INDEX(Production_Consumption!$AA$83:$AJ$99,MATCH('County Scaled Consumption '!$B653,Production_Consumption!$AA$83:$AA$99,0),MATCH('County Scaled Consumption '!J$2,Production_Consumption!$AA$83:$AJ$83,0)))*'CA Population'!$L653*10^6</f>
        <v>13.42673251444849</v>
      </c>
      <c r="K653" s="143">
        <f>(INDEX(Production_Consumption!$AA$83:$AJ$99,MATCH('County Scaled Consumption '!$B653,Production_Consumption!$AA$83:$AA$99,0),MATCH('County Scaled Consumption '!K$2,Production_Consumption!$AA$83:$AJ$83,0)))*'CA Population'!$L653*10^6</f>
        <v>175.31407745684425</v>
      </c>
      <c r="L653" s="131">
        <f t="shared" si="10"/>
        <v>0</v>
      </c>
    </row>
    <row r="654" spans="1:12" x14ac:dyDescent="0.2">
      <c r="A654" s="132" t="s">
        <v>307</v>
      </c>
      <c r="B654" s="129">
        <v>2009</v>
      </c>
      <c r="C654" s="143">
        <f>(INDEX(Production_Consumption!$AA$83:$AJ$99,MATCH('County Scaled Consumption '!$B654,Production_Consumption!$AA$83:$AA$99,0),MATCH('County Scaled Consumption '!C$2,Production_Consumption!$AA$83:$AJ$83,0)))*'CA Population'!$L654*10^6</f>
        <v>424.01179052665515</v>
      </c>
      <c r="D654" s="143">
        <f>(INDEX(Production_Consumption!$AA$83:$AJ$99,MATCH('County Scaled Consumption '!$B654,Production_Consumption!$AA$83:$AA$99,0),MATCH('County Scaled Consumption '!D$2,Production_Consumption!$AA$83:$AJ$83,0)))*'CA Population'!$L654*10^6</f>
        <v>1723.122553667182</v>
      </c>
      <c r="E654" s="143">
        <f>(INDEX(Production_Consumption!$AA$83:$AJ$99,MATCH('County Scaled Consumption '!$B654,Production_Consumption!$AA$83:$AA$99,0),MATCH('County Scaled Consumption '!E$2,Production_Consumption!$AA$83:$AJ$83,0)))*'CA Population'!$L654*10^6</f>
        <v>862.83883484511648</v>
      </c>
      <c r="F654" s="143">
        <f>(INDEX(Production_Consumption!$AA$83:$AJ$99,MATCH('County Scaled Consumption '!$B654,Production_Consumption!$AA$83:$AA$99,0),MATCH('County Scaled Consumption '!F$2,Production_Consumption!$AA$83:$AJ$83,0)))*'CA Population'!$L654*10^6</f>
        <v>401.40192266845713</v>
      </c>
      <c r="G654" s="143">
        <f>(INDEX(Production_Consumption!$AA$83:$AJ$99,MATCH('County Scaled Consumption '!$B654,Production_Consumption!$AA$83:$AA$99,0),MATCH('County Scaled Consumption '!G$2,Production_Consumption!$AA$83:$AJ$83,0)))*'CA Population'!$L654*10^6</f>
        <v>1143.4952348102915</v>
      </c>
      <c r="H654" s="143">
        <f>(INDEX(Production_Consumption!$AA$83:$AJ$99,MATCH('County Scaled Consumption '!$B654,Production_Consumption!$AA$83:$AA$99,0),MATCH('County Scaled Consumption '!H$2,Production_Consumption!$AA$83:$AJ$83,0)))*'CA Population'!$L654*10^6</f>
        <v>31.956538163901147</v>
      </c>
      <c r="I654" s="143">
        <f>(INDEX(Production_Consumption!$AA$83:$AJ$99,MATCH('County Scaled Consumption '!$B654,Production_Consumption!$AA$83:$AA$99,0),MATCH('County Scaled Consumption '!I$2,Production_Consumption!$AA$83:$AJ$83,0)))*'CA Population'!$L654*10^6</f>
        <v>549.63893419421049</v>
      </c>
      <c r="J654" s="143">
        <f>(INDEX(Production_Consumption!$AA$83:$AJ$99,MATCH('County Scaled Consumption '!$B654,Production_Consumption!$AA$83:$AA$99,0),MATCH('County Scaled Consumption '!J$2,Production_Consumption!$AA$83:$AJ$83,0)))*'CA Population'!$L654*10^6</f>
        <v>426.01200550868225</v>
      </c>
      <c r="K654" s="143">
        <f>(INDEX(Production_Consumption!$AA$83:$AJ$99,MATCH('County Scaled Consumption '!$B654,Production_Consumption!$AA$83:$AA$99,0),MATCH('County Scaled Consumption '!K$2,Production_Consumption!$AA$83:$AJ$83,0)))*'CA Population'!$L654*10^6</f>
        <v>5562.4778143844951</v>
      </c>
      <c r="L654" s="131">
        <f t="shared" si="10"/>
        <v>0</v>
      </c>
    </row>
    <row r="655" spans="1:12" x14ac:dyDescent="0.2">
      <c r="A655" s="132" t="s">
        <v>308</v>
      </c>
      <c r="B655" s="129">
        <v>2009</v>
      </c>
      <c r="C655" s="143">
        <f>(INDEX(Production_Consumption!$AA$83:$AJ$99,MATCH('County Scaled Consumption '!$B655,Production_Consumption!$AA$83:$AA$99,0),MATCH('County Scaled Consumption '!C$2,Production_Consumption!$AA$83:$AJ$83,0)))*'CA Population'!$L655*10^6</f>
        <v>2449.8645547726737</v>
      </c>
      <c r="D655" s="143">
        <f>(INDEX(Production_Consumption!$AA$83:$AJ$99,MATCH('County Scaled Consumption '!$B655,Production_Consumption!$AA$83:$AA$99,0),MATCH('County Scaled Consumption '!D$2,Production_Consumption!$AA$83:$AJ$83,0)))*'CA Population'!$L655*10^6</f>
        <v>9955.8950059272647</v>
      </c>
      <c r="E655" s="143">
        <f>(INDEX(Production_Consumption!$AA$83:$AJ$99,MATCH('County Scaled Consumption '!$B655,Production_Consumption!$AA$83:$AA$99,0),MATCH('County Scaled Consumption '!E$2,Production_Consumption!$AA$83:$AJ$83,0)))*'CA Population'!$L655*10^6</f>
        <v>4985.3290054572653</v>
      </c>
      <c r="F655" s="143">
        <f>(INDEX(Production_Consumption!$AA$83:$AJ$99,MATCH('County Scaled Consumption '!$B655,Production_Consumption!$AA$83:$AA$99,0),MATCH('County Scaled Consumption '!F$2,Production_Consumption!$AA$83:$AJ$83,0)))*'CA Population'!$L655*10^6</f>
        <v>2319.2287680057698</v>
      </c>
      <c r="G655" s="143">
        <f>(INDEX(Production_Consumption!$AA$83:$AJ$99,MATCH('County Scaled Consumption '!$B655,Production_Consumption!$AA$83:$AA$99,0),MATCH('County Scaled Consumption '!G$2,Production_Consumption!$AA$83:$AJ$83,0)))*'CA Population'!$L655*10^6</f>
        <v>6606.9116635497903</v>
      </c>
      <c r="H655" s="143">
        <f>(INDEX(Production_Consumption!$AA$83:$AJ$99,MATCH('County Scaled Consumption '!$B655,Production_Consumption!$AA$83:$AA$99,0),MATCH('County Scaled Consumption '!H$2,Production_Consumption!$AA$83:$AJ$83,0)))*'CA Population'!$L655*10^6</f>
        <v>184.6391819523237</v>
      </c>
      <c r="I655" s="143">
        <f>(INDEX(Production_Consumption!$AA$83:$AJ$99,MATCH('County Scaled Consumption '!$B655,Production_Consumption!$AA$83:$AA$99,0),MATCH('County Scaled Consumption '!I$2,Production_Consumption!$AA$83:$AJ$83,0)))*'CA Population'!$L655*10^6</f>
        <v>3175.7158005746001</v>
      </c>
      <c r="J655" s="143">
        <f>(INDEX(Production_Consumption!$AA$83:$AJ$99,MATCH('County Scaled Consumption '!$B655,Production_Consumption!$AA$83:$AA$99,0),MATCH('County Scaled Consumption '!J$2,Production_Consumption!$AA$83:$AJ$83,0)))*'CA Population'!$L655*10^6</f>
        <v>2461.421440443959</v>
      </c>
      <c r="K655" s="143">
        <f>(INDEX(Production_Consumption!$AA$83:$AJ$99,MATCH('County Scaled Consumption '!$B655,Production_Consumption!$AA$83:$AA$99,0),MATCH('County Scaled Consumption '!K$2,Production_Consumption!$AA$83:$AJ$83,0)))*'CA Population'!$L655*10^6</f>
        <v>32139.005420683647</v>
      </c>
      <c r="L655" s="131">
        <f t="shared" si="10"/>
        <v>0</v>
      </c>
    </row>
    <row r="656" spans="1:12" x14ac:dyDescent="0.2">
      <c r="A656" s="132" t="s">
        <v>309</v>
      </c>
      <c r="B656" s="129">
        <v>2009</v>
      </c>
      <c r="C656" s="143">
        <f>(INDEX(Production_Consumption!$AA$83:$AJ$99,MATCH('County Scaled Consumption '!$B656,Production_Consumption!$AA$83:$AA$99,0),MATCH('County Scaled Consumption '!C$2,Production_Consumption!$AA$83:$AJ$83,0)))*'CA Population'!$L656*10^6</f>
        <v>510.7302825813623</v>
      </c>
      <c r="D656" s="143">
        <f>(INDEX(Production_Consumption!$AA$83:$AJ$99,MATCH('County Scaled Consumption '!$B656,Production_Consumption!$AA$83:$AA$99,0),MATCH('County Scaled Consumption '!D$2,Production_Consumption!$AA$83:$AJ$83,0)))*'CA Population'!$L656*10^6</f>
        <v>2075.5339554677662</v>
      </c>
      <c r="E656" s="143">
        <f>(INDEX(Production_Consumption!$AA$83:$AJ$99,MATCH('County Scaled Consumption '!$B656,Production_Consumption!$AA$83:$AA$99,0),MATCH('County Scaled Consumption '!E$2,Production_Consumption!$AA$83:$AJ$83,0)))*'CA Population'!$L656*10^6</f>
        <v>1039.3058207066931</v>
      </c>
      <c r="F656" s="143">
        <f>(INDEX(Production_Consumption!$AA$83:$AJ$99,MATCH('County Scaled Consumption '!$B656,Production_Consumption!$AA$83:$AA$99,0),MATCH('County Scaled Consumption '!F$2,Production_Consumption!$AA$83:$AJ$83,0)))*'CA Population'!$L656*10^6</f>
        <v>483.49626584328576</v>
      </c>
      <c r="G656" s="143">
        <f>(INDEX(Production_Consumption!$AA$83:$AJ$99,MATCH('County Scaled Consumption '!$B656,Production_Consumption!$AA$83:$AA$99,0),MATCH('County Scaled Consumption '!G$2,Production_Consumption!$AA$83:$AJ$83,0)))*'CA Population'!$L656*10^6</f>
        <v>1377.3618032642598</v>
      </c>
      <c r="H656" s="143">
        <f>(INDEX(Production_Consumption!$AA$83:$AJ$99,MATCH('County Scaled Consumption '!$B656,Production_Consumption!$AA$83:$AA$99,0),MATCH('County Scaled Consumption '!H$2,Production_Consumption!$AA$83:$AJ$83,0)))*'CA Population'!$L656*10^6</f>
        <v>38.492259251798572</v>
      </c>
      <c r="I656" s="143">
        <f>(INDEX(Production_Consumption!$AA$83:$AJ$99,MATCH('County Scaled Consumption '!$B656,Production_Consumption!$AA$83:$AA$99,0),MATCH('County Scaled Consumption '!I$2,Production_Consumption!$AA$83:$AJ$83,0)))*'CA Population'!$L656*10^6</f>
        <v>662.05057135334744</v>
      </c>
      <c r="J656" s="143">
        <f>(INDEX(Production_Consumption!$AA$83:$AJ$99,MATCH('County Scaled Consumption '!$B656,Production_Consumption!$AA$83:$AA$99,0),MATCH('County Scaled Consumption '!J$2,Production_Consumption!$AA$83:$AJ$83,0)))*'CA Population'!$L656*10^6</f>
        <v>513.13957964766632</v>
      </c>
      <c r="K656" s="143">
        <f>(INDEX(Production_Consumption!$AA$83:$AJ$99,MATCH('County Scaled Consumption '!$B656,Production_Consumption!$AA$83:$AA$99,0),MATCH('County Scaled Consumption '!K$2,Production_Consumption!$AA$83:$AJ$83,0)))*'CA Population'!$L656*10^6</f>
        <v>6700.1105381161788</v>
      </c>
      <c r="L656" s="131">
        <f t="shared" si="10"/>
        <v>0</v>
      </c>
    </row>
    <row r="657" spans="1:12" x14ac:dyDescent="0.2">
      <c r="A657" s="132" t="s">
        <v>310</v>
      </c>
      <c r="B657" s="129">
        <v>2009</v>
      </c>
      <c r="C657" s="143">
        <f>(INDEX(Production_Consumption!$AA$83:$AJ$99,MATCH('County Scaled Consumption '!$B657,Production_Consumption!$AA$83:$AA$99,0),MATCH('County Scaled Consumption '!C$2,Production_Consumption!$AA$83:$AJ$83,0)))*'CA Population'!$L657*10^6</f>
        <v>237.51330922727669</v>
      </c>
      <c r="D657" s="143">
        <f>(INDEX(Production_Consumption!$AA$83:$AJ$99,MATCH('County Scaled Consumption '!$B657,Production_Consumption!$AA$83:$AA$99,0),MATCH('County Scaled Consumption '!D$2,Production_Consumption!$AA$83:$AJ$83,0)))*'CA Population'!$L657*10^6</f>
        <v>965.21971574731481</v>
      </c>
      <c r="E657" s="143">
        <f>(INDEX(Production_Consumption!$AA$83:$AJ$99,MATCH('County Scaled Consumption '!$B657,Production_Consumption!$AA$83:$AA$99,0),MATCH('County Scaled Consumption '!E$2,Production_Consumption!$AA$83:$AJ$83,0)))*'CA Population'!$L657*10^6</f>
        <v>483.32549134854338</v>
      </c>
      <c r="F657" s="143">
        <f>(INDEX(Production_Consumption!$AA$83:$AJ$99,MATCH('County Scaled Consumption '!$B657,Production_Consumption!$AA$83:$AA$99,0),MATCH('County Scaled Consumption '!F$2,Production_Consumption!$AA$83:$AJ$83,0)))*'CA Population'!$L657*10^6</f>
        <v>224.84822618908586</v>
      </c>
      <c r="G657" s="143">
        <f>(INDEX(Production_Consumption!$AA$83:$AJ$99,MATCH('County Scaled Consumption '!$B657,Production_Consumption!$AA$83:$AA$99,0),MATCH('County Scaled Consumption '!G$2,Production_Consumption!$AA$83:$AJ$83,0)))*'CA Population'!$L657*10^6</f>
        <v>640.53722885411241</v>
      </c>
      <c r="H657" s="143">
        <f>(INDEX(Production_Consumption!$AA$83:$AJ$99,MATCH('County Scaled Consumption '!$B657,Production_Consumption!$AA$83:$AA$99,0),MATCH('County Scaled Consumption '!H$2,Production_Consumption!$AA$83:$AJ$83,0)))*'CA Population'!$L657*10^6</f>
        <v>17.900688849544565</v>
      </c>
      <c r="I657" s="143">
        <f>(INDEX(Production_Consumption!$AA$83:$AJ$99,MATCH('County Scaled Consumption '!$B657,Production_Consumption!$AA$83:$AA$99,0),MATCH('County Scaled Consumption '!I$2,Production_Consumption!$AA$83:$AJ$83,0)))*'CA Population'!$L657*10^6</f>
        <v>307.8842736388803</v>
      </c>
      <c r="J657" s="143">
        <f>(INDEX(Production_Consumption!$AA$83:$AJ$99,MATCH('County Scaled Consumption '!$B657,Production_Consumption!$AA$83:$AA$99,0),MATCH('County Scaled Consumption '!J$2,Production_Consumption!$AA$83:$AJ$83,0)))*'CA Population'!$L657*10^6</f>
        <v>238.63374429573821</v>
      </c>
      <c r="K657" s="143">
        <f>(INDEX(Production_Consumption!$AA$83:$AJ$99,MATCH('County Scaled Consumption '!$B657,Production_Consumption!$AA$83:$AA$99,0),MATCH('County Scaled Consumption '!K$2,Production_Consumption!$AA$83:$AJ$83,0)))*'CA Population'!$L657*10^6</f>
        <v>3115.8626781504959</v>
      </c>
      <c r="L657" s="131">
        <f t="shared" si="10"/>
        <v>0</v>
      </c>
    </row>
    <row r="658" spans="1:12" x14ac:dyDescent="0.2">
      <c r="A658" s="132" t="s">
        <v>311</v>
      </c>
      <c r="B658" s="129">
        <v>2009</v>
      </c>
      <c r="C658" s="143">
        <f>(INDEX(Production_Consumption!$AA$83:$AJ$99,MATCH('County Scaled Consumption '!$B658,Production_Consumption!$AA$83:$AA$99,0),MATCH('County Scaled Consumption '!C$2,Production_Consumption!$AA$83:$AJ$83,0)))*'CA Population'!$L658*10^6</f>
        <v>11622.046329980298</v>
      </c>
      <c r="D658" s="143">
        <f>(INDEX(Production_Consumption!$AA$83:$AJ$99,MATCH('County Scaled Consumption '!$B658,Production_Consumption!$AA$83:$AA$99,0),MATCH('County Scaled Consumption '!D$2,Production_Consumption!$AA$83:$AJ$83,0)))*'CA Population'!$L658*10^6</f>
        <v>47230.314341211735</v>
      </c>
      <c r="E658" s="143">
        <f>(INDEX(Production_Consumption!$AA$83:$AJ$99,MATCH('County Scaled Consumption '!$B658,Production_Consumption!$AA$83:$AA$99,0),MATCH('County Scaled Consumption '!E$2,Production_Consumption!$AA$83:$AJ$83,0)))*'CA Population'!$L658*10^6</f>
        <v>23650.174683634799</v>
      </c>
      <c r="F658" s="143">
        <f>(INDEX(Production_Consumption!$AA$83:$AJ$99,MATCH('County Scaled Consumption '!$B658,Production_Consumption!$AA$83:$AA$99,0),MATCH('County Scaled Consumption '!F$2,Production_Consumption!$AA$83:$AJ$83,0)))*'CA Population'!$L658*10^6</f>
        <v>11002.316082771071</v>
      </c>
      <c r="G658" s="143">
        <f>(INDEX(Production_Consumption!$AA$83:$AJ$99,MATCH('County Scaled Consumption '!$B658,Production_Consumption!$AA$83:$AA$99,0),MATCH('County Scaled Consumption '!G$2,Production_Consumption!$AA$83:$AJ$83,0)))*'CA Population'!$L658*10^6</f>
        <v>31342.889263928275</v>
      </c>
      <c r="H658" s="143">
        <f>(INDEX(Production_Consumption!$AA$83:$AJ$99,MATCH('County Scaled Consumption '!$B658,Production_Consumption!$AA$83:$AA$99,0),MATCH('County Scaled Consumption '!H$2,Production_Consumption!$AA$83:$AJ$83,0)))*'CA Population'!$L658*10^6</f>
        <v>875.91990455108532</v>
      </c>
      <c r="I658" s="143">
        <f>(INDEX(Production_Consumption!$AA$83:$AJ$99,MATCH('County Scaled Consumption '!$B658,Production_Consumption!$AA$83:$AA$99,0),MATCH('County Scaled Consumption '!I$2,Production_Consumption!$AA$83:$AJ$83,0)))*'CA Population'!$L658*10^6</f>
        <v>15065.451717820879</v>
      </c>
      <c r="J658" s="143">
        <f>(INDEX(Production_Consumption!$AA$83:$AJ$99,MATCH('County Scaled Consumption '!$B658,Production_Consumption!$AA$83:$AA$99,0),MATCH('County Scaled Consumption '!J$2,Production_Consumption!$AA$83:$AJ$83,0)))*'CA Population'!$L658*10^6</f>
        <v>11676.871671422254</v>
      </c>
      <c r="K658" s="143">
        <f>(INDEX(Production_Consumption!$AA$83:$AJ$99,MATCH('County Scaled Consumption '!$B658,Production_Consumption!$AA$83:$AA$99,0),MATCH('County Scaled Consumption '!K$2,Production_Consumption!$AA$83:$AJ$83,0)))*'CA Population'!$L658*10^6</f>
        <v>152465.98399532039</v>
      </c>
      <c r="L658" s="131">
        <f t="shared" si="10"/>
        <v>0</v>
      </c>
    </row>
    <row r="659" spans="1:12" x14ac:dyDescent="0.2">
      <c r="A659" s="132" t="s">
        <v>312</v>
      </c>
      <c r="B659" s="129">
        <v>2009</v>
      </c>
      <c r="C659" s="143">
        <f>(INDEX(Production_Consumption!$AA$83:$AJ$99,MATCH('County Scaled Consumption '!$B659,Production_Consumption!$AA$83:$AA$99,0),MATCH('County Scaled Consumption '!C$2,Production_Consumption!$AA$83:$AJ$83,0)))*'CA Population'!$L659*10^6</f>
        <v>319.71008331733458</v>
      </c>
      <c r="D659" s="143">
        <f>(INDEX(Production_Consumption!$AA$83:$AJ$99,MATCH('County Scaled Consumption '!$B659,Production_Consumption!$AA$83:$AA$99,0),MATCH('County Scaled Consumption '!D$2,Production_Consumption!$AA$83:$AJ$83,0)))*'CA Population'!$L659*10^6</f>
        <v>1299.2555101230878</v>
      </c>
      <c r="E659" s="143">
        <f>(INDEX(Production_Consumption!$AA$83:$AJ$99,MATCH('County Scaled Consumption '!$B659,Production_Consumption!$AA$83:$AA$99,0),MATCH('County Scaled Consumption '!E$2,Production_Consumption!$AA$83:$AJ$83,0)))*'CA Population'!$L659*10^6</f>
        <v>650.59104944965554</v>
      </c>
      <c r="F659" s="143">
        <f>(INDEX(Production_Consumption!$AA$83:$AJ$99,MATCH('County Scaled Consumption '!$B659,Production_Consumption!$AA$83:$AA$99,0),MATCH('County Scaled Consumption '!F$2,Production_Consumption!$AA$83:$AJ$83,0)))*'CA Population'!$L659*10^6</f>
        <v>302.66196602852068</v>
      </c>
      <c r="G659" s="143">
        <f>(INDEX(Production_Consumption!$AA$83:$AJ$99,MATCH('County Scaled Consumption '!$B659,Production_Consumption!$AA$83:$AA$99,0),MATCH('County Scaled Consumption '!G$2,Production_Consumption!$AA$83:$AJ$83,0)))*'CA Population'!$L659*10^6</f>
        <v>862.20941247904057</v>
      </c>
      <c r="H659" s="143">
        <f>(INDEX(Production_Consumption!$AA$83:$AJ$99,MATCH('County Scaled Consumption '!$B659,Production_Consumption!$AA$83:$AA$99,0),MATCH('County Scaled Consumption '!H$2,Production_Consumption!$AA$83:$AJ$83,0)))*'CA Population'!$L659*10^6</f>
        <v>24.095621176534586</v>
      </c>
      <c r="I659" s="143">
        <f>(INDEX(Production_Consumption!$AA$83:$AJ$99,MATCH('County Scaled Consumption '!$B659,Production_Consumption!$AA$83:$AA$99,0),MATCH('County Scaled Consumption '!I$2,Production_Consumption!$AA$83:$AJ$83,0)))*'CA Population'!$L659*10^6</f>
        <v>414.43448831320921</v>
      </c>
      <c r="J659" s="143">
        <f>(INDEX(Production_Consumption!$AA$83:$AJ$99,MATCH('County Scaled Consumption '!$B659,Production_Consumption!$AA$83:$AA$99,0),MATCH('County Scaled Consumption '!J$2,Production_Consumption!$AA$83:$AJ$83,0)))*'CA Population'!$L659*10^6</f>
        <v>321.21826991224549</v>
      </c>
      <c r="K659" s="143">
        <f>(INDEX(Production_Consumption!$AA$83:$AJ$99,MATCH('County Scaled Consumption '!$B659,Production_Consumption!$AA$83:$AA$99,0),MATCH('County Scaled Consumption '!K$2,Production_Consumption!$AA$83:$AJ$83,0)))*'CA Population'!$L659*10^6</f>
        <v>4194.176400799628</v>
      </c>
      <c r="L659" s="131">
        <f t="shared" si="10"/>
        <v>0</v>
      </c>
    </row>
    <row r="660" spans="1:12" x14ac:dyDescent="0.2">
      <c r="A660" s="132" t="s">
        <v>313</v>
      </c>
      <c r="B660" s="129">
        <v>2009</v>
      </c>
      <c r="C660" s="143">
        <f>(INDEX(Production_Consumption!$AA$83:$AJ$99,MATCH('County Scaled Consumption '!$B660,Production_Consumption!$AA$83:$AA$99,0),MATCH('County Scaled Consumption '!C$2,Production_Consumption!$AA$83:$AJ$83,0)))*'CA Population'!$L660*10^6</f>
        <v>2005.1133004131109</v>
      </c>
      <c r="D660" s="143">
        <f>(INDEX(Production_Consumption!$AA$83:$AJ$99,MATCH('County Scaled Consumption '!$B660,Production_Consumption!$AA$83:$AA$99,0),MATCH('County Scaled Consumption '!D$2,Production_Consumption!$AA$83:$AJ$83,0)))*'CA Population'!$L660*10^6</f>
        <v>8148.4902726606406</v>
      </c>
      <c r="E660" s="143">
        <f>(INDEX(Production_Consumption!$AA$83:$AJ$99,MATCH('County Scaled Consumption '!$B660,Production_Consumption!$AA$83:$AA$99,0),MATCH('County Scaled Consumption '!E$2,Production_Consumption!$AA$83:$AJ$83,0)))*'CA Population'!$L660*10^6</f>
        <v>4080.28659229497</v>
      </c>
      <c r="F660" s="143">
        <f>(INDEX(Production_Consumption!$AA$83:$AJ$99,MATCH('County Scaled Consumption '!$B660,Production_Consumption!$AA$83:$AA$99,0),MATCH('County Scaled Consumption '!F$2,Production_Consumption!$AA$83:$AJ$83,0)))*'CA Population'!$L660*10^6</f>
        <v>1898.1932859796775</v>
      </c>
      <c r="G660" s="143">
        <f>(INDEX(Production_Consumption!$AA$83:$AJ$99,MATCH('County Scaled Consumption '!$B660,Production_Consumption!$AA$83:$AA$99,0),MATCH('County Scaled Consumption '!G$2,Production_Consumption!$AA$83:$AJ$83,0)))*'CA Population'!$L660*10^6</f>
        <v>5407.4852527785806</v>
      </c>
      <c r="H660" s="143">
        <f>(INDEX(Production_Consumption!$AA$83:$AJ$99,MATCH('County Scaled Consumption '!$B660,Production_Consumption!$AA$83:$AA$99,0),MATCH('County Scaled Consumption '!H$2,Production_Consumption!$AA$83:$AJ$83,0)))*'CA Population'!$L660*10^6</f>
        <v>151.11957058554776</v>
      </c>
      <c r="I660" s="143">
        <f>(INDEX(Production_Consumption!$AA$83:$AJ$99,MATCH('County Scaled Consumption '!$B660,Production_Consumption!$AA$83:$AA$99,0),MATCH('County Scaled Consumption '!I$2,Production_Consumption!$AA$83:$AJ$83,0)))*'CA Population'!$L660*10^6</f>
        <v>2599.1926686963575</v>
      </c>
      <c r="J660" s="143">
        <f>(INDEX(Production_Consumption!$AA$83:$AJ$99,MATCH('County Scaled Consumption '!$B660,Production_Consumption!$AA$83:$AA$99,0),MATCH('County Scaled Consumption '!J$2,Production_Consumption!$AA$83:$AJ$83,0)))*'CA Population'!$L660*10^6</f>
        <v>2014.5721356477782</v>
      </c>
      <c r="K660" s="143">
        <f>(INDEX(Production_Consumption!$AA$83:$AJ$99,MATCH('County Scaled Consumption '!$B660,Production_Consumption!$AA$83:$AA$99,0),MATCH('County Scaled Consumption '!K$2,Production_Consumption!$AA$83:$AJ$83,0)))*'CA Population'!$L660*10^6</f>
        <v>26304.45307905666</v>
      </c>
      <c r="L660" s="131">
        <f t="shared" si="10"/>
        <v>0</v>
      </c>
    </row>
    <row r="661" spans="1:12" x14ac:dyDescent="0.2">
      <c r="A661" s="132" t="s">
        <v>314</v>
      </c>
      <c r="B661" s="129">
        <v>2009</v>
      </c>
      <c r="C661" s="143">
        <f>(INDEX(Production_Consumption!$AA$83:$AJ$99,MATCH('County Scaled Consumption '!$B661,Production_Consumption!$AA$83:$AA$99,0),MATCH('County Scaled Consumption '!C$2,Production_Consumption!$AA$83:$AJ$83,0)))*'CA Population'!$L661*10^6</f>
        <v>10280.864489129037</v>
      </c>
      <c r="D661" s="143">
        <f>(INDEX(Production_Consumption!$AA$83:$AJ$99,MATCH('County Scaled Consumption '!$B661,Production_Consumption!$AA$83:$AA$99,0),MATCH('County Scaled Consumption '!D$2,Production_Consumption!$AA$83:$AJ$83,0)))*'CA Population'!$L661*10^6</f>
        <v>41779.945435976319</v>
      </c>
      <c r="E661" s="143">
        <f>(INDEX(Production_Consumption!$AA$83:$AJ$99,MATCH('County Scaled Consumption '!$B661,Production_Consumption!$AA$83:$AA$99,0),MATCH('County Scaled Consumption '!E$2,Production_Consumption!$AA$83:$AJ$83,0)))*'CA Population'!$L661*10^6</f>
        <v>20920.949216960464</v>
      </c>
      <c r="F661" s="143">
        <f>(INDEX(Production_Consumption!$AA$83:$AJ$99,MATCH('County Scaled Consumption '!$B661,Production_Consumption!$AA$83:$AA$99,0),MATCH('County Scaled Consumption '!F$2,Production_Consumption!$AA$83:$AJ$83,0)))*'CA Population'!$L661*10^6</f>
        <v>9732.6509895031668</v>
      </c>
      <c r="G661" s="143">
        <f>(INDEX(Production_Consumption!$AA$83:$AJ$99,MATCH('County Scaled Consumption '!$B661,Production_Consumption!$AA$83:$AA$99,0),MATCH('County Scaled Consumption '!G$2,Production_Consumption!$AA$83:$AJ$83,0)))*'CA Population'!$L661*10^6</f>
        <v>27725.926060799844</v>
      </c>
      <c r="H661" s="143">
        <f>(INDEX(Production_Consumption!$AA$83:$AJ$99,MATCH('County Scaled Consumption '!$B661,Production_Consumption!$AA$83:$AA$99,0),MATCH('County Scaled Consumption '!H$2,Production_Consumption!$AA$83:$AJ$83,0)))*'CA Population'!$L661*10^6</f>
        <v>774.83892133441657</v>
      </c>
      <c r="I661" s="143">
        <f>(INDEX(Production_Consumption!$AA$83:$AJ$99,MATCH('County Scaled Consumption '!$B661,Production_Consumption!$AA$83:$AA$99,0),MATCH('County Scaled Consumption '!I$2,Production_Consumption!$AA$83:$AJ$83,0)))*'CA Population'!$L661*10^6</f>
        <v>13326.901578329476</v>
      </c>
      <c r="J661" s="143">
        <f>(INDEX(Production_Consumption!$AA$83:$AJ$99,MATCH('County Scaled Consumption '!$B661,Production_Consumption!$AA$83:$AA$99,0),MATCH('County Scaled Consumption '!J$2,Production_Consumption!$AA$83:$AJ$83,0)))*'CA Population'!$L661*10^6</f>
        <v>10329.362997045062</v>
      </c>
      <c r="K661" s="143">
        <f>(INDEX(Production_Consumption!$AA$83:$AJ$99,MATCH('County Scaled Consumption '!$B661,Production_Consumption!$AA$83:$AA$99,0),MATCH('County Scaled Consumption '!K$2,Production_Consumption!$AA$83:$AJ$83,0)))*'CA Population'!$L661*10^6</f>
        <v>134871.43968907779</v>
      </c>
      <c r="L661" s="131">
        <f t="shared" si="10"/>
        <v>0</v>
      </c>
    </row>
    <row r="662" spans="1:12" x14ac:dyDescent="0.2">
      <c r="A662" s="132" t="s">
        <v>315</v>
      </c>
      <c r="B662" s="129">
        <v>2009</v>
      </c>
      <c r="C662" s="143">
        <f>(INDEX(Production_Consumption!$AA$83:$AJ$99,MATCH('County Scaled Consumption '!$B662,Production_Consumption!$AA$83:$AA$99,0),MATCH('County Scaled Consumption '!C$2,Production_Consumption!$AA$83:$AJ$83,0)))*'CA Population'!$L662*10^6</f>
        <v>314.37132225511277</v>
      </c>
      <c r="D662" s="143">
        <f>(INDEX(Production_Consumption!$AA$83:$AJ$99,MATCH('County Scaled Consumption '!$B662,Production_Consumption!$AA$83:$AA$99,0),MATCH('County Scaled Consumption '!D$2,Production_Consumption!$AA$83:$AJ$83,0)))*'CA Population'!$L662*10^6</f>
        <v>1277.5595577923084</v>
      </c>
      <c r="E662" s="143">
        <f>(INDEX(Production_Consumption!$AA$83:$AJ$99,MATCH('County Scaled Consumption '!$B662,Production_Consumption!$AA$83:$AA$99,0),MATCH('County Scaled Consumption '!E$2,Production_Consumption!$AA$83:$AJ$83,0)))*'CA Population'!$L662*10^6</f>
        <v>639.7269874651472</v>
      </c>
      <c r="F662" s="143">
        <f>(INDEX(Production_Consumption!$AA$83:$AJ$99,MATCH('County Scaled Consumption '!$B662,Production_Consumption!$AA$83:$AA$99,0),MATCH('County Scaled Consumption '!F$2,Production_Consumption!$AA$83:$AJ$83,0)))*'CA Population'!$L662*10^6</f>
        <v>297.6078873379692</v>
      </c>
      <c r="G662" s="143">
        <f>(INDEX(Production_Consumption!$AA$83:$AJ$99,MATCH('County Scaled Consumption '!$B662,Production_Consumption!$AA$83:$AA$99,0),MATCH('County Scaled Consumption '!G$2,Production_Consumption!$AA$83:$AJ$83,0)))*'CA Population'!$L662*10^6</f>
        <v>847.81158682693126</v>
      </c>
      <c r="H662" s="143">
        <f>(INDEX(Production_Consumption!$AA$83:$AJ$99,MATCH('County Scaled Consumption '!$B662,Production_Consumption!$AA$83:$AA$99,0),MATCH('County Scaled Consumption '!H$2,Production_Consumption!$AA$83:$AJ$83,0)))*'CA Population'!$L662*10^6</f>
        <v>23.693254248433519</v>
      </c>
      <c r="I662" s="143">
        <f>(INDEX(Production_Consumption!$AA$83:$AJ$99,MATCH('County Scaled Consumption '!$B662,Production_Consumption!$AA$83:$AA$99,0),MATCH('County Scaled Consumption '!I$2,Production_Consumption!$AA$83:$AJ$83,0)))*'CA Population'!$L662*10^6</f>
        <v>407.51394740911684</v>
      </c>
      <c r="J662" s="143">
        <f>(INDEX(Production_Consumption!$AA$83:$AJ$99,MATCH('County Scaled Consumption '!$B662,Production_Consumption!$AA$83:$AA$99,0),MATCH('County Scaled Consumption '!J$2,Production_Consumption!$AA$83:$AJ$83,0)))*'CA Population'!$L662*10^6</f>
        <v>315.8543240082322</v>
      </c>
      <c r="K662" s="143">
        <f>(INDEX(Production_Consumption!$AA$83:$AJ$99,MATCH('County Scaled Consumption '!$B662,Production_Consumption!$AA$83:$AA$99,0),MATCH('County Scaled Consumption '!K$2,Production_Consumption!$AA$83:$AJ$83,0)))*'CA Population'!$L662*10^6</f>
        <v>4124.1388673432511</v>
      </c>
      <c r="L662" s="131">
        <f t="shared" si="10"/>
        <v>0</v>
      </c>
    </row>
    <row r="663" spans="1:12" x14ac:dyDescent="0.2">
      <c r="A663" s="132" t="s">
        <v>316</v>
      </c>
      <c r="B663" s="129">
        <v>2009</v>
      </c>
      <c r="C663" s="143">
        <f>(INDEX(Production_Consumption!$AA$83:$AJ$99,MATCH('County Scaled Consumption '!$B663,Production_Consumption!$AA$83:$AA$99,0),MATCH('County Scaled Consumption '!C$2,Production_Consumption!$AA$83:$AJ$83,0)))*'CA Population'!$L663*10^6</f>
        <v>1494.0024772109609</v>
      </c>
      <c r="D663" s="143">
        <f>(INDEX(Production_Consumption!$AA$83:$AJ$99,MATCH('County Scaled Consumption '!$B663,Production_Consumption!$AA$83:$AA$99,0),MATCH('County Scaled Consumption '!D$2,Production_Consumption!$AA$83:$AJ$83,0)))*'CA Population'!$L663*10^6</f>
        <v>6071.4098551818761</v>
      </c>
      <c r="E663" s="143">
        <f>(INDEX(Production_Consumption!$AA$83:$AJ$99,MATCH('County Scaled Consumption '!$B663,Production_Consumption!$AA$83:$AA$99,0),MATCH('County Scaled Consumption '!E$2,Production_Consumption!$AA$83:$AJ$83,0)))*'CA Population'!$L663*10^6</f>
        <v>3040.2063940044754</v>
      </c>
      <c r="F663" s="143">
        <f>(INDEX(Production_Consumption!$AA$83:$AJ$99,MATCH('County Scaled Consumption '!$B663,Production_Consumption!$AA$83:$AA$99,0),MATCH('County Scaled Consumption '!F$2,Production_Consumption!$AA$83:$AJ$83,0)))*'CA Population'!$L663*10^6</f>
        <v>1414.3367713408388</v>
      </c>
      <c r="G663" s="143">
        <f>(INDEX(Production_Consumption!$AA$83:$AJ$99,MATCH('County Scaled Consumption '!$B663,Production_Consumption!$AA$83:$AA$99,0),MATCH('County Scaled Consumption '!G$2,Production_Consumption!$AA$83:$AJ$83,0)))*'CA Population'!$L663*10^6</f>
        <v>4029.0971894049453</v>
      </c>
      <c r="H663" s="143">
        <f>(INDEX(Production_Consumption!$AA$83:$AJ$99,MATCH('County Scaled Consumption '!$B663,Production_Consumption!$AA$83:$AA$99,0),MATCH('County Scaled Consumption '!H$2,Production_Consumption!$AA$83:$AJ$83,0)))*'CA Population'!$L663*10^6</f>
        <v>112.5986310914946</v>
      </c>
      <c r="I663" s="143">
        <f>(INDEX(Production_Consumption!$AA$83:$AJ$99,MATCH('County Scaled Consumption '!$B663,Production_Consumption!$AA$83:$AA$99,0),MATCH('County Scaled Consumption '!I$2,Production_Consumption!$AA$83:$AJ$83,0)))*'CA Population'!$L663*10^6</f>
        <v>1936.6488093121104</v>
      </c>
      <c r="J663" s="143">
        <f>(INDEX(Production_Consumption!$AA$83:$AJ$99,MATCH('County Scaled Consumption '!$B663,Production_Consumption!$AA$83:$AA$99,0),MATCH('County Scaled Consumption '!J$2,Production_Consumption!$AA$83:$AJ$83,0)))*'CA Population'!$L663*10^6</f>
        <v>1501.0502202333689</v>
      </c>
      <c r="K663" s="143">
        <f>(INDEX(Production_Consumption!$AA$83:$AJ$99,MATCH('County Scaled Consumption '!$B663,Production_Consumption!$AA$83:$AA$99,0),MATCH('County Scaled Consumption '!K$2,Production_Consumption!$AA$83:$AJ$83,0)))*'CA Population'!$L663*10^6</f>
        <v>19599.350347780066</v>
      </c>
      <c r="L663" s="131">
        <f t="shared" si="10"/>
        <v>0</v>
      </c>
    </row>
    <row r="664" spans="1:12" x14ac:dyDescent="0.2">
      <c r="A664" s="132" t="s">
        <v>317</v>
      </c>
      <c r="B664" s="129">
        <v>2009</v>
      </c>
      <c r="C664" s="143">
        <f>(INDEX(Production_Consumption!$AA$83:$AJ$99,MATCH('County Scaled Consumption '!$B664,Production_Consumption!$AA$83:$AA$99,0),MATCH('County Scaled Consumption '!C$2,Production_Consumption!$AA$83:$AJ$83,0)))*'CA Population'!$L664*10^6</f>
        <v>1921.3943638399035</v>
      </c>
      <c r="D664" s="143">
        <f>(INDEX(Production_Consumption!$AA$83:$AJ$99,MATCH('County Scaled Consumption '!$B664,Production_Consumption!$AA$83:$AA$99,0),MATCH('County Scaled Consumption '!D$2,Production_Consumption!$AA$83:$AJ$83,0)))*'CA Population'!$L664*10^6</f>
        <v>7808.2686302408711</v>
      </c>
      <c r="E664" s="143">
        <f>(INDEX(Production_Consumption!$AA$83:$AJ$99,MATCH('County Scaled Consumption '!$B664,Production_Consumption!$AA$83:$AA$99,0),MATCH('County Scaled Consumption '!E$2,Production_Consumption!$AA$83:$AJ$83,0)))*'CA Population'!$L664*10^6</f>
        <v>3909.9235238586516</v>
      </c>
      <c r="F664" s="143">
        <f>(INDEX(Production_Consumption!$AA$83:$AJ$99,MATCH('County Scaled Consumption '!$B664,Production_Consumption!$AA$83:$AA$99,0),MATCH('County Scaled Consumption '!F$2,Production_Consumption!$AA$83:$AJ$83,0)))*'CA Population'!$L664*10^6</f>
        <v>1818.9385509580306</v>
      </c>
      <c r="G664" s="143">
        <f>(INDEX(Production_Consumption!$AA$83:$AJ$99,MATCH('County Scaled Consumption '!$B664,Production_Consumption!$AA$83:$AA$99,0),MATCH('County Scaled Consumption '!G$2,Production_Consumption!$AA$83:$AJ$83,0)))*'CA Population'!$L664*10^6</f>
        <v>5181.7080287161525</v>
      </c>
      <c r="H664" s="143">
        <f>(INDEX(Production_Consumption!$AA$83:$AJ$99,MATCH('County Scaled Consumption '!$B664,Production_Consumption!$AA$83:$AA$99,0),MATCH('County Scaled Consumption '!H$2,Production_Consumption!$AA$83:$AJ$83,0)))*'CA Population'!$L664*10^6</f>
        <v>144.80991728953938</v>
      </c>
      <c r="I664" s="143">
        <f>(INDEX(Production_Consumption!$AA$83:$AJ$99,MATCH('County Scaled Consumption '!$B664,Production_Consumption!$AA$83:$AA$99,0),MATCH('County Scaled Consumption '!I$2,Production_Consumption!$AA$83:$AJ$83,0)))*'CA Population'!$L664*10^6</f>
        <v>2490.6693018984297</v>
      </c>
      <c r="J664" s="143">
        <f>(INDEX(Production_Consumption!$AA$83:$AJ$99,MATCH('County Scaled Consumption '!$B664,Production_Consumption!$AA$83:$AA$99,0),MATCH('County Scaled Consumption '!J$2,Production_Consumption!$AA$83:$AJ$83,0)))*'CA Population'!$L664*10^6</f>
        <v>1930.4582669642987</v>
      </c>
      <c r="K664" s="143">
        <f>(INDEX(Production_Consumption!$AA$83:$AJ$99,MATCH('County Scaled Consumption '!$B664,Production_Consumption!$AA$83:$AA$99,0),MATCH('County Scaled Consumption '!K$2,Production_Consumption!$AA$83:$AJ$83,0)))*'CA Population'!$L664*10^6</f>
        <v>25206.170583765877</v>
      </c>
      <c r="L664" s="131">
        <f t="shared" si="10"/>
        <v>0</v>
      </c>
    </row>
    <row r="665" spans="1:12" x14ac:dyDescent="0.2">
      <c r="A665" s="132" t="s">
        <v>318</v>
      </c>
      <c r="B665" s="129">
        <v>2009</v>
      </c>
      <c r="C665" s="143">
        <f>(INDEX(Production_Consumption!$AA$83:$AJ$99,MATCH('County Scaled Consumption '!$B665,Production_Consumption!$AA$83:$AA$99,0),MATCH('County Scaled Consumption '!C$2,Production_Consumption!$AA$83:$AJ$83,0)))*'CA Population'!$L665*10^6</f>
        <v>206.11870801232402</v>
      </c>
      <c r="D665" s="143">
        <f>(INDEX(Production_Consumption!$AA$83:$AJ$99,MATCH('County Scaled Consumption '!$B665,Production_Consumption!$AA$83:$AA$99,0),MATCH('County Scaled Consumption '!D$2,Production_Consumption!$AA$83:$AJ$83,0)))*'CA Population'!$L665*10^6</f>
        <v>837.63659983990146</v>
      </c>
      <c r="E665" s="143">
        <f>(INDEX(Production_Consumption!$AA$83:$AJ$99,MATCH('County Scaled Consumption '!$B665,Production_Consumption!$AA$83:$AA$99,0),MATCH('County Scaled Consumption '!E$2,Production_Consumption!$AA$83:$AJ$83,0)))*'CA Population'!$L665*10^6</f>
        <v>419.43934068492416</v>
      </c>
      <c r="F665" s="143">
        <f>(INDEX(Production_Consumption!$AA$83:$AJ$99,MATCH('County Scaled Consumption '!$B665,Production_Consumption!$AA$83:$AA$99,0),MATCH('County Scaled Consumption '!F$2,Production_Consumption!$AA$83:$AJ$83,0)))*'CA Population'!$L665*10^6</f>
        <v>195.1277005559684</v>
      </c>
      <c r="G665" s="143">
        <f>(INDEX(Production_Consumption!$AA$83:$AJ$99,MATCH('County Scaled Consumption '!$B665,Production_Consumption!$AA$83:$AA$99,0),MATCH('County Scaled Consumption '!G$2,Production_Consumption!$AA$83:$AJ$83,0)))*'CA Population'!$L665*10^6</f>
        <v>555.87076983070244</v>
      </c>
      <c r="H665" s="143">
        <f>(INDEX(Production_Consumption!$AA$83:$AJ$99,MATCH('County Scaled Consumption '!$B665,Production_Consumption!$AA$83:$AA$99,0),MATCH('County Scaled Consumption '!H$2,Production_Consumption!$AA$83:$AJ$83,0)))*'CA Population'!$L665*10^6</f>
        <v>15.534568863541431</v>
      </c>
      <c r="I665" s="143">
        <f>(INDEX(Production_Consumption!$AA$83:$AJ$99,MATCH('County Scaled Consumption '!$B665,Production_Consumption!$AA$83:$AA$99,0),MATCH('County Scaled Consumption '!I$2,Production_Consumption!$AA$83:$AJ$83,0)))*'CA Population'!$L665*10^6</f>
        <v>267.18801108965738</v>
      </c>
      <c r="J665" s="143">
        <f>(INDEX(Production_Consumption!$AA$83:$AJ$99,MATCH('County Scaled Consumption '!$B665,Production_Consumption!$AA$83:$AA$99,0),MATCH('County Scaled Consumption '!J$2,Production_Consumption!$AA$83:$AJ$83,0)))*'CA Population'!$L665*10^6</f>
        <v>207.09104353943334</v>
      </c>
      <c r="K665" s="143">
        <f>(INDEX(Production_Consumption!$AA$83:$AJ$99,MATCH('County Scaled Consumption '!$B665,Production_Consumption!$AA$83:$AA$99,0),MATCH('County Scaled Consumption '!K$2,Production_Consumption!$AA$83:$AJ$83,0)))*'CA Population'!$L665*10^6</f>
        <v>2704.0067424164522</v>
      </c>
      <c r="L665" s="131">
        <f t="shared" si="10"/>
        <v>0</v>
      </c>
    </row>
    <row r="666" spans="1:12" x14ac:dyDescent="0.2">
      <c r="A666" s="132" t="s">
        <v>319</v>
      </c>
      <c r="B666" s="129">
        <v>2009</v>
      </c>
      <c r="C666" s="143">
        <f>(INDEX(Production_Consumption!$AA$83:$AJ$99,MATCH('County Scaled Consumption '!$B666,Production_Consumption!$AA$83:$AA$99,0),MATCH('County Scaled Consumption '!C$2,Production_Consumption!$AA$83:$AJ$83,0)))*'CA Population'!$L666*10^6</f>
        <v>9239.33600240538</v>
      </c>
      <c r="D666" s="143">
        <f>(INDEX(Production_Consumption!$AA$83:$AJ$99,MATCH('County Scaled Consumption '!$B666,Production_Consumption!$AA$83:$AA$99,0),MATCH('County Scaled Consumption '!D$2,Production_Consumption!$AA$83:$AJ$83,0)))*'CA Population'!$L666*10^6</f>
        <v>37547.324396048993</v>
      </c>
      <c r="E666" s="143">
        <f>(INDEX(Production_Consumption!$AA$83:$AJ$99,MATCH('County Scaled Consumption '!$B666,Production_Consumption!$AA$83:$AA$99,0),MATCH('County Scaled Consumption '!E$2,Production_Consumption!$AA$83:$AJ$83,0)))*'CA Population'!$L666*10^6</f>
        <v>18801.500545907198</v>
      </c>
      <c r="F666" s="143">
        <f>(INDEX(Production_Consumption!$AA$83:$AJ$99,MATCH('County Scaled Consumption '!$B666,Production_Consumption!$AA$83:$AA$99,0),MATCH('County Scaled Consumption '!F$2,Production_Consumption!$AA$83:$AJ$83,0)))*'CA Population'!$L666*10^6</f>
        <v>8746.6606316275829</v>
      </c>
      <c r="G666" s="143">
        <f>(INDEX(Production_Consumption!$AA$83:$AJ$99,MATCH('County Scaled Consumption '!$B666,Production_Consumption!$AA$83:$AA$99,0),MATCH('County Scaled Consumption '!G$2,Production_Consumption!$AA$83:$AJ$83,0)))*'CA Population'!$L666*10^6</f>
        <v>24917.082325562245</v>
      </c>
      <c r="H666" s="143">
        <f>(INDEX(Production_Consumption!$AA$83:$AJ$99,MATCH('County Scaled Consumption '!$B666,Production_Consumption!$AA$83:$AA$99,0),MATCH('County Scaled Consumption '!H$2,Production_Consumption!$AA$83:$AJ$83,0)))*'CA Population'!$L666*10^6</f>
        <v>696.34194182015858</v>
      </c>
      <c r="I666" s="143">
        <f>(INDEX(Production_Consumption!$AA$83:$AJ$99,MATCH('County Scaled Consumption '!$B666,Production_Consumption!$AA$83:$AA$99,0),MATCH('County Scaled Consumption '!I$2,Production_Consumption!$AA$83:$AJ$83,0)))*'CA Population'!$L666*10^6</f>
        <v>11976.786746228574</v>
      </c>
      <c r="J666" s="143">
        <f>(INDEX(Production_Consumption!$AA$83:$AJ$99,MATCH('County Scaled Consumption '!$B666,Production_Consumption!$AA$83:$AA$99,0),MATCH('County Scaled Consumption '!J$2,Production_Consumption!$AA$83:$AJ$83,0)))*'CA Population'!$L666*10^6</f>
        <v>9282.9212486388387</v>
      </c>
      <c r="K666" s="143">
        <f>(INDEX(Production_Consumption!$AA$83:$AJ$99,MATCH('County Scaled Consumption '!$B666,Production_Consumption!$AA$83:$AA$99,0),MATCH('County Scaled Consumption '!K$2,Production_Consumption!$AA$83:$AJ$83,0)))*'CA Population'!$L666*10^6</f>
        <v>121207.95383823896</v>
      </c>
      <c r="L666" s="131">
        <f t="shared" si="10"/>
        <v>0</v>
      </c>
    </row>
    <row r="667" spans="1:12" x14ac:dyDescent="0.2">
      <c r="A667" s="132" t="s">
        <v>320</v>
      </c>
      <c r="B667" s="129">
        <v>2009</v>
      </c>
      <c r="C667" s="143">
        <f>(INDEX(Production_Consumption!$AA$83:$AJ$99,MATCH('County Scaled Consumption '!$B667,Production_Consumption!$AA$83:$AA$99,0),MATCH('County Scaled Consumption '!C$2,Production_Consumption!$AA$83:$AJ$83,0)))*'CA Population'!$L667*10^6</f>
        <v>1699.1810260425164</v>
      </c>
      <c r="D667" s="143">
        <f>(INDEX(Production_Consumption!$AA$83:$AJ$99,MATCH('County Scaled Consumption '!$B667,Production_Consumption!$AA$83:$AA$99,0),MATCH('County Scaled Consumption '!D$2,Production_Consumption!$AA$83:$AJ$83,0)))*'CA Population'!$L667*10^6</f>
        <v>6905.2257841710734</v>
      </c>
      <c r="E667" s="143">
        <f>(INDEX(Production_Consumption!$AA$83:$AJ$99,MATCH('County Scaled Consumption '!$B667,Production_Consumption!$AA$83:$AA$99,0),MATCH('County Scaled Consumption '!E$2,Production_Consumption!$AA$83:$AJ$83,0)))*'CA Population'!$L667*10^6</f>
        <v>3457.732566541184</v>
      </c>
      <c r="F667" s="143">
        <f>(INDEX(Production_Consumption!$AA$83:$AJ$99,MATCH('County Scaled Consumption '!$B667,Production_Consumption!$AA$83:$AA$99,0),MATCH('County Scaled Consumption '!F$2,Production_Consumption!$AA$83:$AJ$83,0)))*'CA Population'!$L667*10^6</f>
        <v>1608.5744454607352</v>
      </c>
      <c r="G667" s="143">
        <f>(INDEX(Production_Consumption!$AA$83:$AJ$99,MATCH('County Scaled Consumption '!$B667,Production_Consumption!$AA$83:$AA$99,0),MATCH('County Scaled Consumption '!G$2,Production_Consumption!$AA$83:$AJ$83,0)))*'CA Population'!$L667*10^6</f>
        <v>4582.4324930830753</v>
      </c>
      <c r="H667" s="143">
        <f>(INDEX(Production_Consumption!$AA$83:$AJ$99,MATCH('County Scaled Consumption '!$B667,Production_Consumption!$AA$83:$AA$99,0),MATCH('County Scaled Consumption '!H$2,Production_Consumption!$AA$83:$AJ$83,0)))*'CA Population'!$L667*10^6</f>
        <v>128.06234288593646</v>
      </c>
      <c r="I667" s="143">
        <f>(INDEX(Production_Consumption!$AA$83:$AJ$99,MATCH('County Scaled Consumption '!$B667,Production_Consumption!$AA$83:$AA$99,0),MATCH('County Scaled Consumption '!I$2,Production_Consumption!$AA$83:$AJ$83,0)))*'CA Population'!$L667*10^6</f>
        <v>2202.6181087960153</v>
      </c>
      <c r="J667" s="143">
        <f>(INDEX(Production_Consumption!$AA$83:$AJ$99,MATCH('County Scaled Consumption '!$B667,Production_Consumption!$AA$83:$AA$99,0),MATCH('County Scaled Consumption '!J$2,Production_Consumption!$AA$83:$AJ$83,0)))*'CA Population'!$L667*10^6</f>
        <v>1707.1966695255546</v>
      </c>
      <c r="K667" s="143">
        <f>(INDEX(Production_Consumption!$AA$83:$AJ$99,MATCH('County Scaled Consumption '!$B667,Production_Consumption!$AA$83:$AA$99,0),MATCH('County Scaled Consumption '!K$2,Production_Consumption!$AA$83:$AJ$83,0)))*'CA Population'!$L667*10^6</f>
        <v>22291.02343650609</v>
      </c>
      <c r="L667" s="131">
        <f t="shared" si="10"/>
        <v>0</v>
      </c>
    </row>
    <row r="668" spans="1:12" x14ac:dyDescent="0.2">
      <c r="A668" s="132" t="s">
        <v>321</v>
      </c>
      <c r="B668" s="129">
        <v>2009</v>
      </c>
      <c r="C668" s="143">
        <f>(INDEX(Production_Consumption!$AA$83:$AJ$99,MATCH('County Scaled Consumption '!$B668,Production_Consumption!$AA$83:$AA$99,0),MATCH('County Scaled Consumption '!C$2,Production_Consumption!$AA$83:$AJ$83,0)))*'CA Population'!$L668*10^6</f>
        <v>720.60962731676079</v>
      </c>
      <c r="D668" s="143">
        <f>(INDEX(Production_Consumption!$AA$83:$AJ$99,MATCH('County Scaled Consumption '!$B668,Production_Consumption!$AA$83:$AA$99,0),MATCH('County Scaled Consumption '!D$2,Production_Consumption!$AA$83:$AJ$83,0)))*'CA Population'!$L668*10^6</f>
        <v>2928.4532387104809</v>
      </c>
      <c r="E668" s="143">
        <f>(INDEX(Production_Consumption!$AA$83:$AJ$99,MATCH('County Scaled Consumption '!$B668,Production_Consumption!$AA$83:$AA$99,0),MATCH('County Scaled Consumption '!E$2,Production_Consumption!$AA$83:$AJ$83,0)))*'CA Population'!$L668*10^6</f>
        <v>1466.3978339844784</v>
      </c>
      <c r="F668" s="143">
        <f>(INDEX(Production_Consumption!$AA$83:$AJ$99,MATCH('County Scaled Consumption '!$B668,Production_Consumption!$AA$83:$AA$99,0),MATCH('County Scaled Consumption '!F$2,Production_Consumption!$AA$83:$AJ$83,0)))*'CA Population'!$L668*10^6</f>
        <v>682.18407214354193</v>
      </c>
      <c r="G668" s="143">
        <f>(INDEX(Production_Consumption!$AA$83:$AJ$99,MATCH('County Scaled Consumption '!$B668,Production_Consumption!$AA$83:$AA$99,0),MATCH('County Scaled Consumption '!G$2,Production_Consumption!$AA$83:$AJ$83,0)))*'CA Population'!$L668*10^6</f>
        <v>1943.3744377052531</v>
      </c>
      <c r="H668" s="143">
        <f>(INDEX(Production_Consumption!$AA$83:$AJ$99,MATCH('County Scaled Consumption '!$B668,Production_Consumption!$AA$83:$AA$99,0),MATCH('County Scaled Consumption '!H$2,Production_Consumption!$AA$83:$AJ$83,0)))*'CA Population'!$L668*10^6</f>
        <v>54.310256391738243</v>
      </c>
      <c r="I668" s="143">
        <f>(INDEX(Production_Consumption!$AA$83:$AJ$99,MATCH('County Scaled Consumption '!$B668,Production_Consumption!$AA$83:$AA$99,0),MATCH('County Scaled Consumption '!I$2,Production_Consumption!$AA$83:$AJ$83,0)))*'CA Population'!$L668*10^6</f>
        <v>934.11342886601324</v>
      </c>
      <c r="J668" s="143">
        <f>(INDEX(Production_Consumption!$AA$83:$AJ$99,MATCH('County Scaled Consumption '!$B668,Production_Consumption!$AA$83:$AA$99,0),MATCH('County Scaled Consumption '!J$2,Production_Consumption!$AA$83:$AJ$83,0)))*'CA Population'!$L668*10^6</f>
        <v>724.00900017609013</v>
      </c>
      <c r="K668" s="143">
        <f>(INDEX(Production_Consumption!$AA$83:$AJ$99,MATCH('County Scaled Consumption '!$B668,Production_Consumption!$AA$83:$AA$99,0),MATCH('County Scaled Consumption '!K$2,Production_Consumption!$AA$83:$AJ$83,0)))*'CA Population'!$L668*10^6</f>
        <v>9453.4518952943563</v>
      </c>
      <c r="L668" s="131">
        <f t="shared" si="10"/>
        <v>0</v>
      </c>
    </row>
    <row r="669" spans="1:12" x14ac:dyDescent="0.2">
      <c r="A669" s="132" t="s">
        <v>322</v>
      </c>
      <c r="B669" s="129">
        <v>2009</v>
      </c>
      <c r="C669" s="143">
        <f>(INDEX(Production_Consumption!$AA$83:$AJ$99,MATCH('County Scaled Consumption '!$B669,Production_Consumption!$AA$83:$AA$99,0),MATCH('County Scaled Consumption '!C$2,Production_Consumption!$AA$83:$AJ$83,0)))*'CA Population'!$L669*10^6</f>
        <v>391.13979631335184</v>
      </c>
      <c r="D669" s="143">
        <f>(INDEX(Production_Consumption!$AA$83:$AJ$99,MATCH('County Scaled Consumption '!$B669,Production_Consumption!$AA$83:$AA$99,0),MATCH('County Scaled Consumption '!D$2,Production_Consumption!$AA$83:$AJ$83,0)))*'CA Population'!$L669*10^6</f>
        <v>1589.5355264229495</v>
      </c>
      <c r="E669" s="143">
        <f>(INDEX(Production_Consumption!$AA$83:$AJ$99,MATCH('County Scaled Consumption '!$B669,Production_Consumption!$AA$83:$AA$99,0),MATCH('County Scaled Consumption '!E$2,Production_Consumption!$AA$83:$AJ$83,0)))*'CA Population'!$L669*10^6</f>
        <v>795.94627709144459</v>
      </c>
      <c r="F669" s="143">
        <f>(INDEX(Production_Consumption!$AA$83:$AJ$99,MATCH('County Scaled Consumption '!$B669,Production_Consumption!$AA$83:$AA$99,0),MATCH('County Scaled Consumption '!F$2,Production_Consumption!$AA$83:$AJ$83,0)))*'CA Population'!$L669*10^6</f>
        <v>370.28278406436948</v>
      </c>
      <c r="G669" s="143">
        <f>(INDEX(Production_Consumption!$AA$83:$AJ$99,MATCH('County Scaled Consumption '!$B669,Production_Consumption!$AA$83:$AA$99,0),MATCH('County Scaled Consumption '!G$2,Production_Consumption!$AA$83:$AJ$83,0)))*'CA Population'!$L669*10^6</f>
        <v>1054.8444718328385</v>
      </c>
      <c r="H669" s="143">
        <f>(INDEX(Production_Consumption!$AA$83:$AJ$99,MATCH('County Scaled Consumption '!$B669,Production_Consumption!$AA$83:$AA$99,0),MATCH('County Scaled Consumption '!H$2,Production_Consumption!$AA$83:$AJ$83,0)))*'CA Population'!$L669*10^6</f>
        <v>29.47907135502728</v>
      </c>
      <c r="I669" s="143">
        <f>(INDEX(Production_Consumption!$AA$83:$AJ$99,MATCH('County Scaled Consumption '!$B669,Production_Consumption!$AA$83:$AA$99,0),MATCH('County Scaled Consumption '!I$2,Production_Consumption!$AA$83:$AJ$83,0)))*'CA Population'!$L669*10^6</f>
        <v>507.02755340737707</v>
      </c>
      <c r="J669" s="143">
        <f>(INDEX(Production_Consumption!$AA$83:$AJ$99,MATCH('County Scaled Consumption '!$B669,Production_Consumption!$AA$83:$AA$99,0),MATCH('County Scaled Consumption '!J$2,Production_Consumption!$AA$83:$AJ$83,0)))*'CA Population'!$L669*10^6</f>
        <v>392.98494236384545</v>
      </c>
      <c r="K669" s="143">
        <f>(INDEX(Production_Consumption!$AA$83:$AJ$99,MATCH('County Scaled Consumption '!$B669,Production_Consumption!$AA$83:$AA$99,0),MATCH('County Scaled Consumption '!K$2,Production_Consumption!$AA$83:$AJ$83,0)))*'CA Population'!$L669*10^6</f>
        <v>5131.2404228512032</v>
      </c>
      <c r="L669" s="131">
        <f t="shared" si="10"/>
        <v>0</v>
      </c>
    </row>
    <row r="670" spans="1:12" x14ac:dyDescent="0.2">
      <c r="A670" s="132" t="s">
        <v>323</v>
      </c>
      <c r="B670" s="129">
        <v>2009</v>
      </c>
      <c r="C670" s="143">
        <f>(INDEX(Production_Consumption!$AA$83:$AJ$99,MATCH('County Scaled Consumption '!$B670,Production_Consumption!$AA$83:$AA$99,0),MATCH('County Scaled Consumption '!C$2,Production_Consumption!$AA$83:$AJ$83,0)))*'CA Population'!$L670*10^6</f>
        <v>109697.50459517576</v>
      </c>
      <c r="D670" s="143">
        <f>(INDEX(Production_Consumption!$AA$83:$AJ$99,MATCH('County Scaled Consumption '!$B670,Production_Consumption!$AA$83:$AA$99,0),MATCH('County Scaled Consumption '!D$2,Production_Consumption!$AA$83:$AJ$83,0)))*'CA Population'!$L670*10^6</f>
        <v>445794.78323981643</v>
      </c>
      <c r="E670" s="143">
        <f>(INDEX(Production_Consumption!$AA$83:$AJ$99,MATCH('County Scaled Consumption '!$B670,Production_Consumption!$AA$83:$AA$99,0),MATCH('County Scaled Consumption '!E$2,Production_Consumption!$AA$83:$AJ$83,0)))*'CA Population'!$L670*10^6</f>
        <v>223227.91291429449</v>
      </c>
      <c r="F670" s="143">
        <f>(INDEX(Production_Consumption!$AA$83:$AJ$99,MATCH('County Scaled Consumption '!$B670,Production_Consumption!$AA$83:$AA$99,0),MATCH('County Scaled Consumption '!F$2,Production_Consumption!$AA$83:$AJ$83,0)))*'CA Population'!$L670*10^6</f>
        <v>103848.03026760966</v>
      </c>
      <c r="G670" s="143">
        <f>(INDEX(Production_Consumption!$AA$83:$AJ$99,MATCH('County Scaled Consumption '!$B670,Production_Consumption!$AA$83:$AA$99,0),MATCH('County Scaled Consumption '!G$2,Production_Consumption!$AA$83:$AJ$83,0)))*'CA Population'!$L670*10^6</f>
        <v>295837.46626328287</v>
      </c>
      <c r="H670" s="143">
        <f>(INDEX(Production_Consumption!$AA$83:$AJ$99,MATCH('County Scaled Consumption '!$B670,Production_Consumption!$AA$83:$AA$99,0),MATCH('County Scaled Consumption '!H$2,Production_Consumption!$AA$83:$AJ$83,0)))*'CA Population'!$L670*10^6</f>
        <v>8267.5825776596685</v>
      </c>
      <c r="I670" s="143">
        <f>(INDEX(Production_Consumption!$AA$83:$AJ$99,MATCH('County Scaled Consumption '!$B670,Production_Consumption!$AA$83:$AA$99,0),MATCH('County Scaled Consumption '!I$2,Production_Consumption!$AA$83:$AJ$83,0)))*'CA Population'!$L670*10^6</f>
        <v>142198.92195584255</v>
      </c>
      <c r="J670" s="143">
        <f>(INDEX(Production_Consumption!$AA$83:$AJ$99,MATCH('County Scaled Consumption '!$B670,Production_Consumption!$AA$83:$AA$99,0),MATCH('County Scaled Consumption '!J$2,Production_Consumption!$AA$83:$AJ$83,0)))*'CA Population'!$L670*10^6</f>
        <v>110214.98688478312</v>
      </c>
      <c r="K670" s="143">
        <f>(INDEX(Production_Consumption!$AA$83:$AJ$99,MATCH('County Scaled Consumption '!$B670,Production_Consumption!$AA$83:$AA$99,0),MATCH('County Scaled Consumption '!K$2,Production_Consumption!$AA$83:$AJ$83,0)))*'CA Population'!$L670*10^6</f>
        <v>1439087.1886984643</v>
      </c>
      <c r="L670" s="131">
        <f t="shared" si="10"/>
        <v>0</v>
      </c>
    </row>
    <row r="671" spans="1:12" x14ac:dyDescent="0.2">
      <c r="A671" s="132" t="s">
        <v>324</v>
      </c>
      <c r="B671" s="129">
        <v>2009</v>
      </c>
      <c r="C671" s="143">
        <f>(INDEX(Production_Consumption!$AA$83:$AJ$99,MATCH('County Scaled Consumption '!$B671,Production_Consumption!$AA$83:$AA$99,0),MATCH('County Scaled Consumption '!C$2,Production_Consumption!$AA$83:$AJ$83,0)))*'CA Population'!$L671*10^6</f>
        <v>1674.7368873425316</v>
      </c>
      <c r="D671" s="143">
        <f>(INDEX(Production_Consumption!$AA$83:$AJ$99,MATCH('County Scaled Consumption '!$B671,Production_Consumption!$AA$83:$AA$99,0),MATCH('County Scaled Consumption '!D$2,Production_Consumption!$AA$83:$AJ$83,0)))*'CA Population'!$L671*10^6</f>
        <v>6805.8883420527873</v>
      </c>
      <c r="E671" s="143">
        <f>(INDEX(Production_Consumption!$AA$83:$AJ$99,MATCH('County Scaled Consumption '!$B671,Production_Consumption!$AA$83:$AA$99,0),MATCH('County Scaled Consumption '!E$2,Production_Consumption!$AA$83:$AJ$83,0)))*'CA Population'!$L671*10^6</f>
        <v>3407.9901946875852</v>
      </c>
      <c r="F671" s="143">
        <f>(INDEX(Production_Consumption!$AA$83:$AJ$99,MATCH('County Scaled Consumption '!$B671,Production_Consumption!$AA$83:$AA$99,0),MATCH('County Scaled Consumption '!F$2,Production_Consumption!$AA$83:$AJ$83,0)))*'CA Population'!$L671*10^6</f>
        <v>1585.433758122864</v>
      </c>
      <c r="G671" s="143">
        <f>(INDEX(Production_Consumption!$AA$83:$AJ$99,MATCH('County Scaled Consumption '!$B671,Production_Consumption!$AA$83:$AA$99,0),MATCH('County Scaled Consumption '!G$2,Production_Consumption!$AA$83:$AJ$83,0)))*'CA Population'!$L671*10^6</f>
        <v>4516.5103731161844</v>
      </c>
      <c r="H671" s="143">
        <f>(INDEX(Production_Consumption!$AA$83:$AJ$99,MATCH('County Scaled Consumption '!$B671,Production_Consumption!$AA$83:$AA$99,0),MATCH('County Scaled Consumption '!H$2,Production_Consumption!$AA$83:$AJ$83,0)))*'CA Population'!$L671*10^6</f>
        <v>126.22005908934794</v>
      </c>
      <c r="I671" s="143">
        <f>(INDEX(Production_Consumption!$AA$83:$AJ$99,MATCH('County Scaled Consumption '!$B671,Production_Consumption!$AA$83:$AA$99,0),MATCH('County Scaled Consumption '!I$2,Production_Consumption!$AA$83:$AJ$83,0)))*'CA Population'!$L671*10^6</f>
        <v>2170.9316070464602</v>
      </c>
      <c r="J671" s="143">
        <f>(INDEX(Production_Consumption!$AA$83:$AJ$99,MATCH('County Scaled Consumption '!$B671,Production_Consumption!$AA$83:$AA$99,0),MATCH('County Scaled Consumption '!J$2,Production_Consumption!$AA$83:$AJ$83,0)))*'CA Population'!$L671*10^6</f>
        <v>1682.6372190971163</v>
      </c>
      <c r="K671" s="143">
        <f>(INDEX(Production_Consumption!$AA$83:$AJ$99,MATCH('County Scaled Consumption '!$B671,Production_Consumption!$AA$83:$AA$99,0),MATCH('County Scaled Consumption '!K$2,Production_Consumption!$AA$83:$AJ$83,0)))*'CA Population'!$L671*10^6</f>
        <v>21970.348440554873</v>
      </c>
      <c r="L671" s="131">
        <f t="shared" si="10"/>
        <v>0</v>
      </c>
    </row>
    <row r="672" spans="1:12" x14ac:dyDescent="0.2">
      <c r="A672" s="132" t="s">
        <v>325</v>
      </c>
      <c r="B672" s="129">
        <v>2009</v>
      </c>
      <c r="C672" s="143">
        <f>(INDEX(Production_Consumption!$AA$83:$AJ$99,MATCH('County Scaled Consumption '!$B672,Production_Consumption!$AA$83:$AA$99,0),MATCH('County Scaled Consumption '!C$2,Production_Consumption!$AA$83:$AJ$83,0)))*'CA Population'!$L672*10^6</f>
        <v>2806.5990020183735</v>
      </c>
      <c r="D672" s="143">
        <f>(INDEX(Production_Consumption!$AA$83:$AJ$99,MATCH('County Scaled Consumption '!$B672,Production_Consumption!$AA$83:$AA$99,0),MATCH('County Scaled Consumption '!D$2,Production_Consumption!$AA$83:$AJ$83,0)))*'CA Population'!$L672*10^6</f>
        <v>11405.612172885192</v>
      </c>
      <c r="E672" s="143">
        <f>(INDEX(Production_Consumption!$AA$83:$AJ$99,MATCH('County Scaled Consumption '!$B672,Production_Consumption!$AA$83:$AA$99,0),MATCH('County Scaled Consumption '!E$2,Production_Consumption!$AA$83:$AJ$83,0)))*'CA Population'!$L672*10^6</f>
        <v>5711.262438648544</v>
      </c>
      <c r="F672" s="143">
        <f>(INDEX(Production_Consumption!$AA$83:$AJ$99,MATCH('County Scaled Consumption '!$B672,Production_Consumption!$AA$83:$AA$99,0),MATCH('County Scaled Consumption '!F$2,Production_Consumption!$AA$83:$AJ$83,0)))*'CA Population'!$L672*10^6</f>
        <v>2656.9408227310296</v>
      </c>
      <c r="G672" s="143">
        <f>(INDEX(Production_Consumption!$AA$83:$AJ$99,MATCH('County Scaled Consumption '!$B672,Production_Consumption!$AA$83:$AA$99,0),MATCH('County Scaled Consumption '!G$2,Production_Consumption!$AA$83:$AJ$83,0)))*'CA Population'!$L672*10^6</f>
        <v>7568.9701478468141</v>
      </c>
      <c r="H672" s="143">
        <f>(INDEX(Production_Consumption!$AA$83:$AJ$99,MATCH('County Scaled Consumption '!$B672,Production_Consumption!$AA$83:$AA$99,0),MATCH('County Scaled Consumption '!H$2,Production_Consumption!$AA$83:$AJ$83,0)))*'CA Population'!$L672*10^6</f>
        <v>211.52522199292187</v>
      </c>
      <c r="I672" s="143">
        <f>(INDEX(Production_Consumption!$AA$83:$AJ$99,MATCH('County Scaled Consumption '!$B672,Production_Consumption!$AA$83:$AA$99,0),MATCH('County Scaled Consumption '!I$2,Production_Consumption!$AA$83:$AJ$83,0)))*'CA Population'!$L672*10^6</f>
        <v>3638.1443126000481</v>
      </c>
      <c r="J672" s="143">
        <f>(INDEX(Production_Consumption!$AA$83:$AJ$99,MATCH('County Scaled Consumption '!$B672,Production_Consumption!$AA$83:$AA$99,0),MATCH('County Scaled Consumption '!J$2,Production_Consumption!$AA$83:$AJ$83,0)))*'CA Population'!$L672*10^6</f>
        <v>2819.838731426385</v>
      </c>
      <c r="K672" s="143">
        <f>(INDEX(Production_Consumption!$AA$83:$AJ$99,MATCH('County Scaled Consumption '!$B672,Production_Consumption!$AA$83:$AA$99,0),MATCH('County Scaled Consumption '!K$2,Production_Consumption!$AA$83:$AJ$83,0)))*'CA Population'!$L672*10^6</f>
        <v>36818.892850149306</v>
      </c>
      <c r="L672" s="131">
        <f t="shared" si="10"/>
        <v>0</v>
      </c>
    </row>
    <row r="673" spans="1:12" x14ac:dyDescent="0.2">
      <c r="A673" s="132" t="s">
        <v>326</v>
      </c>
      <c r="B673" s="129">
        <v>2009</v>
      </c>
      <c r="C673" s="143">
        <f>(INDEX(Production_Consumption!$AA$83:$AJ$99,MATCH('County Scaled Consumption '!$B673,Production_Consumption!$AA$83:$AA$99,0),MATCH('County Scaled Consumption '!C$2,Production_Consumption!$AA$83:$AJ$83,0)))*'CA Population'!$L673*10^6</f>
        <v>205.20093357395461</v>
      </c>
      <c r="D673" s="143">
        <f>(INDEX(Production_Consumption!$AA$83:$AJ$99,MATCH('County Scaled Consumption '!$B673,Production_Consumption!$AA$83:$AA$99,0),MATCH('County Scaled Consumption '!D$2,Production_Consumption!$AA$83:$AJ$83,0)))*'CA Population'!$L673*10^6</f>
        <v>833.90689734278624</v>
      </c>
      <c r="E673" s="143">
        <f>(INDEX(Production_Consumption!$AA$83:$AJ$99,MATCH('County Scaled Consumption '!$B673,Production_Consumption!$AA$83:$AA$99,0),MATCH('County Scaled Consumption '!E$2,Production_Consumption!$AA$83:$AJ$83,0)))*'CA Population'!$L673*10^6</f>
        <v>417.57172415928534</v>
      </c>
      <c r="F673" s="143">
        <f>(INDEX(Production_Consumption!$AA$83:$AJ$99,MATCH('County Scaled Consumption '!$B673,Production_Consumption!$AA$83:$AA$99,0),MATCH('County Scaled Consumption '!F$2,Production_Consumption!$AA$83:$AJ$83,0)))*'CA Population'!$L673*10^6</f>
        <v>194.25886522551718</v>
      </c>
      <c r="G673" s="143">
        <f>(INDEX(Production_Consumption!$AA$83:$AJ$99,MATCH('County Scaled Consumption '!$B673,Production_Consumption!$AA$83:$AA$99,0),MATCH('County Scaled Consumption '!G$2,Production_Consumption!$AA$83:$AJ$83,0)))*'CA Population'!$L673*10^6</f>
        <v>553.39567191985759</v>
      </c>
      <c r="H673" s="143">
        <f>(INDEX(Production_Consumption!$AA$83:$AJ$99,MATCH('County Scaled Consumption '!$B673,Production_Consumption!$AA$83:$AA$99,0),MATCH('County Scaled Consumption '!H$2,Production_Consumption!$AA$83:$AJ$83,0)))*'CA Population'!$L673*10^6</f>
        <v>15.465398867515669</v>
      </c>
      <c r="I673" s="143">
        <f>(INDEX(Production_Consumption!$AA$83:$AJ$99,MATCH('County Scaled Consumption '!$B673,Production_Consumption!$AA$83:$AA$99,0),MATCH('County Scaled Consumption '!I$2,Production_Consumption!$AA$83:$AJ$83,0)))*'CA Population'!$L673*10^6</f>
        <v>265.99831642689929</v>
      </c>
      <c r="J673" s="143">
        <f>(INDEX(Production_Consumption!$AA$83:$AJ$99,MATCH('County Scaled Consumption '!$B673,Production_Consumption!$AA$83:$AA$99,0),MATCH('County Scaled Consumption '!J$2,Production_Consumption!$AA$83:$AJ$83,0)))*'CA Population'!$L673*10^6</f>
        <v>206.16893963140589</v>
      </c>
      <c r="K673" s="143">
        <f>(INDEX(Production_Consumption!$AA$83:$AJ$99,MATCH('County Scaled Consumption '!$B673,Production_Consumption!$AA$83:$AA$99,0),MATCH('County Scaled Consumption '!K$2,Production_Consumption!$AA$83:$AJ$83,0)))*'CA Population'!$L673*10^6</f>
        <v>2691.9667471472212</v>
      </c>
      <c r="L673" s="131">
        <f t="shared" si="10"/>
        <v>0</v>
      </c>
    </row>
    <row r="674" spans="1:12" x14ac:dyDescent="0.2">
      <c r="A674" s="132" t="s">
        <v>327</v>
      </c>
      <c r="B674" s="129">
        <v>2009</v>
      </c>
      <c r="C674" s="143">
        <f>(INDEX(Production_Consumption!$AA$83:$AJ$99,MATCH('County Scaled Consumption '!$B674,Production_Consumption!$AA$83:$AA$99,0),MATCH('County Scaled Consumption '!C$2,Production_Consumption!$AA$83:$AJ$83,0)))*'CA Population'!$L674*10^6</f>
        <v>981.31352966966392</v>
      </c>
      <c r="D674" s="143">
        <f>(INDEX(Production_Consumption!$AA$83:$AJ$99,MATCH('County Scaled Consumption '!$B674,Production_Consumption!$AA$83:$AA$99,0),MATCH('County Scaled Consumption '!D$2,Production_Consumption!$AA$83:$AJ$83,0)))*'CA Population'!$L674*10^6</f>
        <v>3987.9161687751434</v>
      </c>
      <c r="E674" s="143">
        <f>(INDEX(Production_Consumption!$AA$83:$AJ$99,MATCH('County Scaled Consumption '!$B674,Production_Consumption!$AA$83:$AA$99,0),MATCH('County Scaled Consumption '!E$2,Production_Consumption!$AA$83:$AJ$83,0)))*'CA Population'!$L674*10^6</f>
        <v>1996.9148063223333</v>
      </c>
      <c r="F674" s="143">
        <f>(INDEX(Production_Consumption!$AA$83:$AJ$99,MATCH('County Scaled Consumption '!$B674,Production_Consumption!$AA$83:$AA$99,0),MATCH('County Scaled Consumption '!F$2,Production_Consumption!$AA$83:$AJ$83,0)))*'CA Population'!$L674*10^6</f>
        <v>928.98628375573639</v>
      </c>
      <c r="G674" s="143">
        <f>(INDEX(Production_Consumption!$AA$83:$AJ$99,MATCH('County Scaled Consumption '!$B674,Production_Consumption!$AA$83:$AA$99,0),MATCH('County Scaled Consumption '!G$2,Production_Consumption!$AA$83:$AJ$83,0)))*'CA Population'!$L674*10^6</f>
        <v>2646.4531649894921</v>
      </c>
      <c r="H674" s="143">
        <f>(INDEX(Production_Consumption!$AA$83:$AJ$99,MATCH('County Scaled Consumption '!$B674,Production_Consumption!$AA$83:$AA$99,0),MATCH('County Scaled Consumption '!H$2,Production_Consumption!$AA$83:$AJ$83,0)))*'CA Population'!$L674*10^6</f>
        <v>73.958752945738595</v>
      </c>
      <c r="I674" s="143">
        <f>(INDEX(Production_Consumption!$AA$83:$AJ$99,MATCH('County Scaled Consumption '!$B674,Production_Consumption!$AA$83:$AA$99,0),MATCH('County Scaled Consumption '!I$2,Production_Consumption!$AA$83:$AJ$83,0)))*'CA Population'!$L674*10^6</f>
        <v>1272.0592554467792</v>
      </c>
      <c r="J674" s="143">
        <f>(INDEX(Production_Consumption!$AA$83:$AJ$99,MATCH('County Scaled Consumption '!$B674,Production_Consumption!$AA$83:$AA$99,0),MATCH('County Scaled Consumption '!J$2,Production_Consumption!$AA$83:$AJ$83,0)))*'CA Population'!$L674*10^6</f>
        <v>985.94273590393664</v>
      </c>
      <c r="K674" s="143">
        <f>(INDEX(Production_Consumption!$AA$83:$AJ$99,MATCH('County Scaled Consumption '!$B674,Production_Consumption!$AA$83:$AA$99,0),MATCH('County Scaled Consumption '!K$2,Production_Consumption!$AA$83:$AJ$83,0)))*'CA Population'!$L674*10^6</f>
        <v>12873.544697808822</v>
      </c>
      <c r="L674" s="131">
        <f t="shared" si="10"/>
        <v>0</v>
      </c>
    </row>
    <row r="675" spans="1:12" x14ac:dyDescent="0.2">
      <c r="A675" s="132" t="s">
        <v>328</v>
      </c>
      <c r="B675" s="129">
        <v>2009</v>
      </c>
      <c r="C675" s="143">
        <f>(INDEX(Production_Consumption!$AA$83:$AJ$99,MATCH('County Scaled Consumption '!$B675,Production_Consumption!$AA$83:$AA$99,0),MATCH('County Scaled Consumption '!C$2,Production_Consumption!$AA$83:$AJ$83,0)))*'CA Population'!$L675*10^6</f>
        <v>2831.9609151567274</v>
      </c>
      <c r="D675" s="143">
        <f>(INDEX(Production_Consumption!$AA$83:$AJ$99,MATCH('County Scaled Consumption '!$B675,Production_Consumption!$AA$83:$AA$99,0),MATCH('County Scaled Consumption '!D$2,Production_Consumption!$AA$83:$AJ$83,0)))*'CA Population'!$L675*10^6</f>
        <v>11508.679317500593</v>
      </c>
      <c r="E675" s="143">
        <f>(INDEX(Production_Consumption!$AA$83:$AJ$99,MATCH('County Scaled Consumption '!$B675,Production_Consumption!$AA$83:$AA$99,0),MATCH('County Scaled Consumption '!E$2,Production_Consumption!$AA$83:$AJ$83,0)))*'CA Population'!$L675*10^6</f>
        <v>5762.8724270277817</v>
      </c>
      <c r="F675" s="143">
        <f>(INDEX(Production_Consumption!$AA$83:$AJ$99,MATCH('County Scaled Consumption '!$B675,Production_Consumption!$AA$83:$AA$99,0),MATCH('County Scaled Consumption '!F$2,Production_Consumption!$AA$83:$AJ$83,0)))*'CA Population'!$L675*10^6</f>
        <v>2680.9503453993516</v>
      </c>
      <c r="G675" s="143">
        <f>(INDEX(Production_Consumption!$AA$83:$AJ$99,MATCH('County Scaled Consumption '!$B675,Production_Consumption!$AA$83:$AA$99,0),MATCH('County Scaled Consumption '!G$2,Production_Consumption!$AA$83:$AJ$83,0)))*'CA Population'!$L675*10^6</f>
        <v>7637.3673657245499</v>
      </c>
      <c r="H675" s="143">
        <f>(INDEX(Production_Consumption!$AA$83:$AJ$99,MATCH('County Scaled Consumption '!$B675,Production_Consumption!$AA$83:$AA$99,0),MATCH('County Scaled Consumption '!H$2,Production_Consumption!$AA$83:$AJ$83,0)))*'CA Population'!$L675*10^6</f>
        <v>213.43667578553618</v>
      </c>
      <c r="I675" s="143">
        <f>(INDEX(Production_Consumption!$AA$83:$AJ$99,MATCH('County Scaled Consumption '!$B675,Production_Consumption!$AA$83:$AA$99,0),MATCH('County Scaled Consumption '!I$2,Production_Consumption!$AA$83:$AJ$83,0)))*'CA Population'!$L675*10^6</f>
        <v>3671.0205090123613</v>
      </c>
      <c r="J675" s="143">
        <f>(INDEX(Production_Consumption!$AA$83:$AJ$99,MATCH('County Scaled Consumption '!$B675,Production_Consumption!$AA$83:$AA$99,0),MATCH('County Scaled Consumption '!J$2,Production_Consumption!$AA$83:$AJ$83,0)))*'CA Population'!$L675*10^6</f>
        <v>2845.3202857628512</v>
      </c>
      <c r="K675" s="143">
        <f>(INDEX(Production_Consumption!$AA$83:$AJ$99,MATCH('County Scaled Consumption '!$B675,Production_Consumption!$AA$83:$AA$99,0),MATCH('County Scaled Consumption '!K$2,Production_Consumption!$AA$83:$AJ$83,0)))*'CA Population'!$L675*10^6</f>
        <v>37151.607841369747</v>
      </c>
      <c r="L675" s="131">
        <f t="shared" si="10"/>
        <v>0</v>
      </c>
    </row>
    <row r="676" spans="1:12" x14ac:dyDescent="0.2">
      <c r="A676" s="132" t="s">
        <v>329</v>
      </c>
      <c r="B676" s="129">
        <v>2009</v>
      </c>
      <c r="C676" s="143">
        <f>(INDEX(Production_Consumption!$AA$83:$AJ$99,MATCH('County Scaled Consumption '!$B676,Production_Consumption!$AA$83:$AA$99,0),MATCH('County Scaled Consumption '!C$2,Production_Consumption!$AA$83:$AJ$83,0)))*'CA Population'!$L676*10^6</f>
        <v>107.76014991000518</v>
      </c>
      <c r="D676" s="143">
        <f>(INDEX(Production_Consumption!$AA$83:$AJ$99,MATCH('County Scaled Consumption '!$B676,Production_Consumption!$AA$83:$AA$99,0),MATCH('County Scaled Consumption '!D$2,Production_Consumption!$AA$83:$AJ$83,0)))*'CA Population'!$L676*10^6</f>
        <v>437.92165417346718</v>
      </c>
      <c r="E676" s="143">
        <f>(INDEX(Production_Consumption!$AA$83:$AJ$99,MATCH('County Scaled Consumption '!$B676,Production_Consumption!$AA$83:$AA$99,0),MATCH('County Scaled Consumption '!E$2,Production_Consumption!$AA$83:$AJ$83,0)))*'CA Population'!$L676*10^6</f>
        <v>219.28551108353875</v>
      </c>
      <c r="F676" s="143">
        <f>(INDEX(Production_Consumption!$AA$83:$AJ$99,MATCH('County Scaled Consumption '!$B676,Production_Consumption!$AA$83:$AA$99,0),MATCH('County Scaled Consumption '!F$2,Production_Consumption!$AA$83:$AJ$83,0)))*'CA Population'!$L676*10^6</f>
        <v>102.01398245834403</v>
      </c>
      <c r="G676" s="143">
        <f>(INDEX(Production_Consumption!$AA$83:$AJ$99,MATCH('County Scaled Consumption '!$B676,Production_Consumption!$AA$83:$AA$99,0),MATCH('County Scaled Consumption '!G$2,Production_Consumption!$AA$83:$AJ$83,0)))*'CA Population'!$L676*10^6</f>
        <v>290.61271567821473</v>
      </c>
      <c r="H676" s="143">
        <f>(INDEX(Production_Consumption!$AA$83:$AJ$99,MATCH('County Scaled Consumption '!$B676,Production_Consumption!$AA$83:$AA$99,0),MATCH('County Scaled Consumption '!H$2,Production_Consumption!$AA$83:$AJ$83,0)))*'CA Population'!$L676*10^6</f>
        <v>8.12156977726851</v>
      </c>
      <c r="I676" s="143">
        <f>(INDEX(Production_Consumption!$AA$83:$AJ$99,MATCH('County Scaled Consumption '!$B676,Production_Consumption!$AA$83:$AA$99,0),MATCH('County Scaled Consumption '!I$2,Production_Consumption!$AA$83:$AJ$83,0)))*'CA Population'!$L676*10^6</f>
        <v>139.68756357358933</v>
      </c>
      <c r="J676" s="143">
        <f>(INDEX(Production_Consumption!$AA$83:$AJ$99,MATCH('County Scaled Consumption '!$B676,Production_Consumption!$AA$83:$AA$99,0),MATCH('County Scaled Consumption '!J$2,Production_Consumption!$AA$83:$AJ$83,0)))*'CA Population'!$L676*10^6</f>
        <v>108.26849300595482</v>
      </c>
      <c r="K676" s="143">
        <f>(INDEX(Production_Consumption!$AA$83:$AJ$99,MATCH('County Scaled Consumption '!$B676,Production_Consumption!$AA$83:$AA$99,0),MATCH('County Scaled Consumption '!K$2,Production_Consumption!$AA$83:$AJ$83,0)))*'CA Population'!$L676*10^6</f>
        <v>1413.6716396603824</v>
      </c>
      <c r="L676" s="131">
        <f t="shared" si="10"/>
        <v>0</v>
      </c>
    </row>
    <row r="677" spans="1:12" x14ac:dyDescent="0.2">
      <c r="A677" s="132" t="s">
        <v>330</v>
      </c>
      <c r="B677" s="129">
        <v>2009</v>
      </c>
      <c r="C677" s="143">
        <f>(INDEX(Production_Consumption!$AA$83:$AJ$99,MATCH('County Scaled Consumption '!$B677,Production_Consumption!$AA$83:$AA$99,0),MATCH('County Scaled Consumption '!C$2,Production_Consumption!$AA$83:$AJ$83,0)))*'CA Population'!$L677*10^6</f>
        <v>157.52143226354517</v>
      </c>
      <c r="D677" s="143">
        <f>(INDEX(Production_Consumption!$AA$83:$AJ$99,MATCH('County Scaled Consumption '!$B677,Production_Consumption!$AA$83:$AA$99,0),MATCH('County Scaled Consumption '!D$2,Production_Consumption!$AA$83:$AJ$83,0)))*'CA Population'!$L677*10^6</f>
        <v>640.14430419997689</v>
      </c>
      <c r="E677" s="143">
        <f>(INDEX(Production_Consumption!$AA$83:$AJ$99,MATCH('County Scaled Consumption '!$B677,Production_Consumption!$AA$83:$AA$99,0),MATCH('County Scaled Consumption '!E$2,Production_Consumption!$AA$83:$AJ$83,0)))*'CA Population'!$L677*10^6</f>
        <v>320.54676807122189</v>
      </c>
      <c r="F677" s="143">
        <f>(INDEX(Production_Consumption!$AA$83:$AJ$99,MATCH('County Scaled Consumption '!$B677,Production_Consumption!$AA$83:$AA$99,0),MATCH('County Scaled Consumption '!F$2,Production_Consumption!$AA$83:$AJ$83,0)))*'CA Population'!$L677*10^6</f>
        <v>149.12181025329602</v>
      </c>
      <c r="G677" s="143">
        <f>(INDEX(Production_Consumption!$AA$83:$AJ$99,MATCH('County Scaled Consumption '!$B677,Production_Consumption!$AA$83:$AA$99,0),MATCH('County Scaled Consumption '!G$2,Production_Consumption!$AA$83:$AJ$83,0)))*'CA Population'!$L677*10^6</f>
        <v>424.81131703938451</v>
      </c>
      <c r="H677" s="143">
        <f>(INDEX(Production_Consumption!$AA$83:$AJ$99,MATCH('County Scaled Consumption '!$B677,Production_Consumption!$AA$83:$AA$99,0),MATCH('County Scaled Consumption '!H$2,Production_Consumption!$AA$83:$AJ$83,0)))*'CA Population'!$L677*10^6</f>
        <v>11.871933220323747</v>
      </c>
      <c r="I677" s="143">
        <f>(INDEX(Production_Consumption!$AA$83:$AJ$99,MATCH('County Scaled Consumption '!$B677,Production_Consumption!$AA$83:$AA$99,0),MATCH('County Scaled Consumption '!I$2,Production_Consumption!$AA$83:$AJ$83,0)))*'CA Population'!$L677*10^6</f>
        <v>204.1922278494699</v>
      </c>
      <c r="J677" s="143">
        <f>(INDEX(Production_Consumption!$AA$83:$AJ$99,MATCH('County Scaled Consumption '!$B677,Production_Consumption!$AA$83:$AA$99,0),MATCH('County Scaled Consumption '!J$2,Production_Consumption!$AA$83:$AJ$83,0)))*'CA Population'!$L677*10^6</f>
        <v>158.26451709241883</v>
      </c>
      <c r="K677" s="143">
        <f>(INDEX(Production_Consumption!$AA$83:$AJ$99,MATCH('County Scaled Consumption '!$B677,Production_Consumption!$AA$83:$AA$99,0),MATCH('County Scaled Consumption '!K$2,Production_Consumption!$AA$83:$AJ$83,0)))*'CA Population'!$L677*10^6</f>
        <v>2066.4743099896368</v>
      </c>
      <c r="L677" s="131">
        <f t="shared" si="10"/>
        <v>0</v>
      </c>
    </row>
    <row r="678" spans="1:12" x14ac:dyDescent="0.2">
      <c r="A678" s="132" t="s">
        <v>331</v>
      </c>
      <c r="B678" s="129">
        <v>2009</v>
      </c>
      <c r="C678" s="143">
        <f>(INDEX(Production_Consumption!$AA$83:$AJ$99,MATCH('County Scaled Consumption '!$B678,Production_Consumption!$AA$83:$AA$99,0),MATCH('County Scaled Consumption '!C$2,Production_Consumption!$AA$83:$AJ$83,0)))*'CA Population'!$L678*10^6</f>
        <v>4613.8647567356838</v>
      </c>
      <c r="D678" s="143">
        <f>(INDEX(Production_Consumption!$AA$83:$AJ$99,MATCH('County Scaled Consumption '!$B678,Production_Consumption!$AA$83:$AA$99,0),MATCH('County Scaled Consumption '!D$2,Production_Consumption!$AA$83:$AJ$83,0)))*'CA Population'!$L678*10^6</f>
        <v>18750.078652356762</v>
      </c>
      <c r="E678" s="143">
        <f>(INDEX(Production_Consumption!$AA$83:$AJ$99,MATCH('County Scaled Consumption '!$B678,Production_Consumption!$AA$83:$AA$99,0),MATCH('County Scaled Consumption '!E$2,Production_Consumption!$AA$83:$AJ$83,0)))*'CA Population'!$L678*10^6</f>
        <v>9388.9410148006264</v>
      </c>
      <c r="F678" s="143">
        <f>(INDEX(Production_Consumption!$AA$83:$AJ$99,MATCH('County Scaled Consumption '!$B678,Production_Consumption!$AA$83:$AA$99,0),MATCH('County Scaled Consumption '!F$2,Production_Consumption!$AA$83:$AJ$83,0)))*'CA Population'!$L678*10^6</f>
        <v>4367.8365216816092</v>
      </c>
      <c r="G678" s="143">
        <f>(INDEX(Production_Consumption!$AA$83:$AJ$99,MATCH('County Scaled Consumption '!$B678,Production_Consumption!$AA$83:$AA$99,0),MATCH('County Scaled Consumption '!G$2,Production_Consumption!$AA$83:$AJ$83,0)))*'CA Population'!$L678*10^6</f>
        <v>12442.890696113158</v>
      </c>
      <c r="H678" s="143">
        <f>(INDEX(Production_Consumption!$AA$83:$AJ$99,MATCH('County Scaled Consumption '!$B678,Production_Consumption!$AA$83:$AA$99,0),MATCH('County Scaled Consumption '!H$2,Production_Consumption!$AA$83:$AJ$83,0)))*'CA Population'!$L678*10^6</f>
        <v>347.73359721569693</v>
      </c>
      <c r="I678" s="143">
        <f>(INDEX(Production_Consumption!$AA$83:$AJ$99,MATCH('County Scaled Consumption '!$B678,Production_Consumption!$AA$83:$AA$99,0),MATCH('County Scaled Consumption '!I$2,Production_Consumption!$AA$83:$AJ$83,0)))*'CA Population'!$L678*10^6</f>
        <v>5980.870730643067</v>
      </c>
      <c r="J678" s="143">
        <f>(INDEX(Production_Consumption!$AA$83:$AJ$99,MATCH('County Scaled Consumption '!$B678,Production_Consumption!$AA$83:$AA$99,0),MATCH('County Scaled Consumption '!J$2,Production_Consumption!$AA$83:$AJ$83,0)))*'CA Population'!$L678*10^6</f>
        <v>4635.6300038765876</v>
      </c>
      <c r="K678" s="143">
        <f>(INDEX(Production_Consumption!$AA$83:$AJ$99,MATCH('County Scaled Consumption '!$B678,Production_Consumption!$AA$83:$AA$99,0),MATCH('County Scaled Consumption '!K$2,Production_Consumption!$AA$83:$AJ$83,0)))*'CA Population'!$L678*10^6</f>
        <v>60527.845973423187</v>
      </c>
      <c r="L678" s="131">
        <f t="shared" si="10"/>
        <v>0</v>
      </c>
    </row>
    <row r="679" spans="1:12" x14ac:dyDescent="0.2">
      <c r="A679" s="132" t="s">
        <v>332</v>
      </c>
      <c r="B679" s="129">
        <v>2009</v>
      </c>
      <c r="C679" s="143">
        <f>(INDEX(Production_Consumption!$AA$83:$AJ$99,MATCH('County Scaled Consumption '!$B679,Production_Consumption!$AA$83:$AA$99,0),MATCH('County Scaled Consumption '!C$2,Production_Consumption!$AA$83:$AJ$83,0)))*'CA Population'!$L679*10^6</f>
        <v>1513.488395469511</v>
      </c>
      <c r="D679" s="143">
        <f>(INDEX(Production_Consumption!$AA$83:$AJ$99,MATCH('County Scaled Consumption '!$B679,Production_Consumption!$AA$83:$AA$99,0),MATCH('County Scaled Consumption '!D$2,Production_Consumption!$AA$83:$AJ$83,0)))*'CA Population'!$L679*10^6</f>
        <v>6150.5978069803796</v>
      </c>
      <c r="E679" s="143">
        <f>(INDEX(Production_Consumption!$AA$83:$AJ$99,MATCH('County Scaled Consumption '!$B679,Production_Consumption!$AA$83:$AA$99,0),MATCH('County Scaled Consumption '!E$2,Production_Consumption!$AA$83:$AJ$83,0)))*'CA Population'!$L679*10^6</f>
        <v>3079.8590814573668</v>
      </c>
      <c r="F679" s="143">
        <f>(INDEX(Production_Consumption!$AA$83:$AJ$99,MATCH('County Scaled Consumption '!$B679,Production_Consumption!$AA$83:$AA$99,0),MATCH('County Scaled Consumption '!F$2,Production_Consumption!$AA$83:$AJ$83,0)))*'CA Population'!$L679*10^6</f>
        <v>1432.7836287837113</v>
      </c>
      <c r="G679" s="143">
        <f>(INDEX(Production_Consumption!$AA$83:$AJ$99,MATCH('County Scaled Consumption '!$B679,Production_Consumption!$AA$83:$AA$99,0),MATCH('County Scaled Consumption '!G$2,Production_Consumption!$AA$83:$AJ$83,0)))*'CA Population'!$L679*10^6</f>
        <v>4081.6477438291008</v>
      </c>
      <c r="H679" s="143">
        <f>(INDEX(Production_Consumption!$AA$83:$AJ$99,MATCH('County Scaled Consumption '!$B679,Production_Consumption!$AA$83:$AA$99,0),MATCH('County Scaled Consumption '!H$2,Production_Consumption!$AA$83:$AJ$83,0)))*'CA Population'!$L679*10^6</f>
        <v>114.06722820223663</v>
      </c>
      <c r="I679" s="143">
        <f>(INDEX(Production_Consumption!$AA$83:$AJ$99,MATCH('County Scaled Consumption '!$B679,Production_Consumption!$AA$83:$AA$99,0),MATCH('County Scaled Consumption '!I$2,Production_Consumption!$AA$83:$AJ$83,0)))*'CA Population'!$L679*10^6</f>
        <v>1961.9080581884728</v>
      </c>
      <c r="J679" s="143">
        <f>(INDEX(Production_Consumption!$AA$83:$AJ$99,MATCH('County Scaled Consumption '!$B679,Production_Consumption!$AA$83:$AA$99,0),MATCH('County Scaled Consumption '!J$2,Production_Consumption!$AA$83:$AJ$83,0)))*'CA Population'!$L679*10^6</f>
        <v>1520.628060524537</v>
      </c>
      <c r="K679" s="143">
        <f>(INDEX(Production_Consumption!$AA$83:$AJ$99,MATCH('County Scaled Consumption '!$B679,Production_Consumption!$AA$83:$AA$99,0),MATCH('County Scaled Consumption '!K$2,Production_Consumption!$AA$83:$AJ$83,0)))*'CA Population'!$L679*10^6</f>
        <v>19854.980003435317</v>
      </c>
      <c r="L679" s="131">
        <f t="shared" si="10"/>
        <v>0</v>
      </c>
    </row>
    <row r="680" spans="1:12" x14ac:dyDescent="0.2">
      <c r="A680" s="132" t="s">
        <v>333</v>
      </c>
      <c r="B680" s="129">
        <v>2009</v>
      </c>
      <c r="C680" s="143">
        <f>(INDEX(Production_Consumption!$AA$83:$AJ$99,MATCH('County Scaled Consumption '!$B680,Production_Consumption!$AA$83:$AA$99,0),MATCH('County Scaled Consumption '!C$2,Production_Consumption!$AA$83:$AJ$83,0)))*'CA Population'!$L680*10^6</f>
        <v>1103.0977206928012</v>
      </c>
      <c r="D680" s="143">
        <f>(INDEX(Production_Consumption!$AA$83:$AJ$99,MATCH('County Scaled Consumption '!$B680,Production_Consumption!$AA$83:$AA$99,0),MATCH('County Scaled Consumption '!D$2,Production_Consumption!$AA$83:$AJ$83,0)))*'CA Population'!$L680*10^6</f>
        <v>4482.8294964716015</v>
      </c>
      <c r="E680" s="143">
        <f>(INDEX(Production_Consumption!$AA$83:$AJ$99,MATCH('County Scaled Consumption '!$B680,Production_Consumption!$AA$83:$AA$99,0),MATCH('County Scaled Consumption '!E$2,Production_Consumption!$AA$83:$AJ$83,0)))*'CA Population'!$L680*10^6</f>
        <v>2244.7384089500842</v>
      </c>
      <c r="F680" s="143">
        <f>(INDEX(Production_Consumption!$AA$83:$AJ$99,MATCH('County Scaled Consumption '!$B680,Production_Consumption!$AA$83:$AA$99,0),MATCH('County Scaled Consumption '!F$2,Production_Consumption!$AA$83:$AJ$83,0)))*'CA Population'!$L680*10^6</f>
        <v>1044.2764938854873</v>
      </c>
      <c r="G680" s="143">
        <f>(INDEX(Production_Consumption!$AA$83:$AJ$99,MATCH('County Scaled Consumption '!$B680,Production_Consumption!$AA$83:$AA$99,0),MATCH('County Scaled Consumption '!G$2,Production_Consumption!$AA$83:$AJ$83,0)))*'CA Population'!$L680*10^6</f>
        <v>2974.8865841102497</v>
      </c>
      <c r="H680" s="143">
        <f>(INDEX(Production_Consumption!$AA$83:$AJ$99,MATCH('County Scaled Consumption '!$B680,Production_Consumption!$AA$83:$AA$99,0),MATCH('County Scaled Consumption '!H$2,Production_Consumption!$AA$83:$AJ$83,0)))*'CA Population'!$L680*10^6</f>
        <v>83.137274003742192</v>
      </c>
      <c r="I680" s="143">
        <f>(INDEX(Production_Consumption!$AA$83:$AJ$99,MATCH('County Scaled Consumption '!$B680,Production_Consumption!$AA$83:$AA$99,0),MATCH('County Scaled Consumption '!I$2,Production_Consumption!$AA$83:$AJ$83,0)))*'CA Population'!$L680*10^6</f>
        <v>1429.9259338061711</v>
      </c>
      <c r="J680" s="143">
        <f>(INDEX(Production_Consumption!$AA$83:$AJ$99,MATCH('County Scaled Consumption '!$B680,Production_Consumption!$AA$83:$AA$99,0),MATCH('County Scaled Consumption '!J$2,Production_Consumption!$AA$83:$AJ$83,0)))*'CA Population'!$L680*10^6</f>
        <v>1108.3014264313351</v>
      </c>
      <c r="K680" s="143">
        <f>(INDEX(Production_Consumption!$AA$83:$AJ$99,MATCH('County Scaled Consumption '!$B680,Production_Consumption!$AA$83:$AA$99,0),MATCH('County Scaled Consumption '!K$2,Production_Consumption!$AA$83:$AJ$83,0)))*'CA Population'!$L680*10^6</f>
        <v>14471.19333835147</v>
      </c>
      <c r="L680" s="131">
        <f t="shared" si="10"/>
        <v>0</v>
      </c>
    </row>
    <row r="681" spans="1:12" x14ac:dyDescent="0.2">
      <c r="A681" s="132" t="s">
        <v>334</v>
      </c>
      <c r="B681" s="129">
        <v>2009</v>
      </c>
      <c r="C681" s="143">
        <f>(INDEX(Production_Consumption!$AA$83:$AJ$99,MATCH('County Scaled Consumption '!$B681,Production_Consumption!$AA$83:$AA$99,0),MATCH('County Scaled Consumption '!C$2,Production_Consumption!$AA$83:$AJ$83,0)))*'CA Population'!$L681*10^6</f>
        <v>33474.199745699319</v>
      </c>
      <c r="D681" s="143">
        <f>(INDEX(Production_Consumption!$AA$83:$AJ$99,MATCH('County Scaled Consumption '!$B681,Production_Consumption!$AA$83:$AA$99,0),MATCH('County Scaled Consumption '!D$2,Production_Consumption!$AA$83:$AJ$83,0)))*'CA Population'!$L681*10^6</f>
        <v>136034.30337663859</v>
      </c>
      <c r="E681" s="143">
        <f>(INDEX(Production_Consumption!$AA$83:$AJ$99,MATCH('County Scaled Consumption '!$B681,Production_Consumption!$AA$83:$AA$99,0),MATCH('County Scaled Consumption '!E$2,Production_Consumption!$AA$83:$AJ$83,0)))*'CA Population'!$L681*10^6</f>
        <v>68118.010280037706</v>
      </c>
      <c r="F681" s="143">
        <f>(INDEX(Production_Consumption!$AA$83:$AJ$99,MATCH('County Scaled Consumption '!$B681,Production_Consumption!$AA$83:$AA$99,0),MATCH('County Scaled Consumption '!F$2,Production_Consumption!$AA$83:$AJ$83,0)))*'CA Population'!$L681*10^6</f>
        <v>31689.23232305023</v>
      </c>
      <c r="G681" s="143">
        <f>(INDEX(Production_Consumption!$AA$83:$AJ$99,MATCH('County Scaled Consumption '!$B681,Production_Consumption!$AA$83:$AA$99,0),MATCH('County Scaled Consumption '!G$2,Production_Consumption!$AA$83:$AJ$83,0)))*'CA Population'!$L681*10^6</f>
        <v>90274.819600538322</v>
      </c>
      <c r="H681" s="143">
        <f>(INDEX(Production_Consumption!$AA$83:$AJ$99,MATCH('County Scaled Consumption '!$B681,Production_Consumption!$AA$83:$AA$99,0),MATCH('County Scaled Consumption '!H$2,Production_Consumption!$AA$83:$AJ$83,0)))*'CA Population'!$L681*10^6</f>
        <v>2522.8532922417476</v>
      </c>
      <c r="I681" s="143">
        <f>(INDEX(Production_Consumption!$AA$83:$AJ$99,MATCH('County Scaled Consumption '!$B681,Production_Consumption!$AA$83:$AA$99,0),MATCH('County Scaled Consumption '!I$2,Production_Consumption!$AA$83:$AJ$83,0)))*'CA Population'!$L681*10^6</f>
        <v>43392.009095732115</v>
      </c>
      <c r="J681" s="143">
        <f>(INDEX(Production_Consumption!$AA$83:$AJ$99,MATCH('County Scaled Consumption '!$B681,Production_Consumption!$AA$83:$AA$99,0),MATCH('County Scaled Consumption '!J$2,Production_Consumption!$AA$83:$AJ$83,0)))*'CA Population'!$L681*10^6</f>
        <v>33632.109495707802</v>
      </c>
      <c r="K681" s="143">
        <f>(INDEX(Production_Consumption!$AA$83:$AJ$99,MATCH('County Scaled Consumption '!$B681,Production_Consumption!$AA$83:$AA$99,0),MATCH('County Scaled Consumption '!K$2,Production_Consumption!$AA$83:$AJ$83,0)))*'CA Population'!$L681*10^6</f>
        <v>439137.53720964584</v>
      </c>
      <c r="L681" s="131">
        <f t="shared" si="10"/>
        <v>0</v>
      </c>
    </row>
    <row r="682" spans="1:12" x14ac:dyDescent="0.2">
      <c r="A682" s="132" t="s">
        <v>335</v>
      </c>
      <c r="B682" s="129">
        <v>2009</v>
      </c>
      <c r="C682" s="143">
        <f>(INDEX(Production_Consumption!$AA$83:$AJ$99,MATCH('County Scaled Consumption '!$B682,Production_Consumption!$AA$83:$AA$99,0),MATCH('County Scaled Consumption '!C$2,Production_Consumption!$AA$83:$AJ$83,0)))*'CA Population'!$L682*10^6</f>
        <v>3816.5426172166822</v>
      </c>
      <c r="D682" s="143">
        <f>(INDEX(Production_Consumption!$AA$83:$AJ$99,MATCH('County Scaled Consumption '!$B682,Production_Consumption!$AA$83:$AA$99,0),MATCH('County Scaled Consumption '!D$2,Production_Consumption!$AA$83:$AJ$83,0)))*'CA Population'!$L682*10^6</f>
        <v>15509.876865899609</v>
      </c>
      <c r="E682" s="143">
        <f>(INDEX(Production_Consumption!$AA$83:$AJ$99,MATCH('County Scaled Consumption '!$B682,Production_Consumption!$AA$83:$AA$99,0),MATCH('County Scaled Consumption '!E$2,Production_Consumption!$AA$83:$AJ$83,0)))*'CA Population'!$L682*10^6</f>
        <v>7766.4377702462916</v>
      </c>
      <c r="F682" s="143">
        <f>(INDEX(Production_Consumption!$AA$83:$AJ$99,MATCH('County Scaled Consumption '!$B682,Production_Consumption!$AA$83:$AA$99,0),MATCH('County Scaled Consumption '!F$2,Production_Consumption!$AA$83:$AJ$83,0)))*'CA Population'!$L682*10^6</f>
        <v>3613.0305305757188</v>
      </c>
      <c r="G682" s="143">
        <f>(INDEX(Production_Consumption!$AA$83:$AJ$99,MATCH('County Scaled Consumption '!$B682,Production_Consumption!$AA$83:$AA$99,0),MATCH('County Scaled Consumption '!G$2,Production_Consumption!$AA$83:$AJ$83,0)))*'CA Population'!$L682*10^6</f>
        <v>10292.634294006317</v>
      </c>
      <c r="H682" s="143">
        <f>(INDEX(Production_Consumption!$AA$83:$AJ$99,MATCH('County Scaled Consumption '!$B682,Production_Consumption!$AA$83:$AA$99,0),MATCH('County Scaled Consumption '!H$2,Production_Consumption!$AA$83:$AJ$83,0)))*'CA Population'!$L682*10^6</f>
        <v>287.6417414000494</v>
      </c>
      <c r="I682" s="143">
        <f>(INDEX(Production_Consumption!$AA$83:$AJ$99,MATCH('County Scaled Consumption '!$B682,Production_Consumption!$AA$83:$AA$99,0),MATCH('County Scaled Consumption '!I$2,Production_Consumption!$AA$83:$AJ$83,0)))*'CA Population'!$L682*10^6</f>
        <v>4947.316238136279</v>
      </c>
      <c r="J682" s="143">
        <f>(INDEX(Production_Consumption!$AA$83:$AJ$99,MATCH('County Scaled Consumption '!$B682,Production_Consumption!$AA$83:$AA$99,0),MATCH('County Scaled Consumption '!J$2,Production_Consumption!$AA$83:$AJ$83,0)))*'CA Population'!$L682*10^6</f>
        <v>3834.5466111929336</v>
      </c>
      <c r="K682" s="143">
        <f>(INDEX(Production_Consumption!$AA$83:$AJ$99,MATCH('County Scaled Consumption '!$B682,Production_Consumption!$AA$83:$AA$99,0),MATCH('County Scaled Consumption '!K$2,Production_Consumption!$AA$83:$AJ$83,0)))*'CA Population'!$L682*10^6</f>
        <v>50068.026668673876</v>
      </c>
      <c r="L682" s="131">
        <f t="shared" si="10"/>
        <v>0</v>
      </c>
    </row>
    <row r="683" spans="1:12" x14ac:dyDescent="0.2">
      <c r="A683" s="132" t="s">
        <v>336</v>
      </c>
      <c r="B683" s="129">
        <v>2009</v>
      </c>
      <c r="C683" s="143">
        <f>(INDEX(Production_Consumption!$AA$83:$AJ$99,MATCH('County Scaled Consumption '!$B683,Production_Consumption!$AA$83:$AA$99,0),MATCH('County Scaled Consumption '!C$2,Production_Consumption!$AA$83:$AJ$83,0)))*'CA Population'!$L683*10^6</f>
        <v>226.26497617165191</v>
      </c>
      <c r="D683" s="143">
        <f>(INDEX(Production_Consumption!$AA$83:$AJ$99,MATCH('County Scaled Consumption '!$B683,Production_Consumption!$AA$83:$AA$99,0),MATCH('County Scaled Consumption '!D$2,Production_Consumption!$AA$83:$AJ$83,0)))*'CA Population'!$L683*10^6</f>
        <v>919.50811806925753</v>
      </c>
      <c r="E683" s="143">
        <f>(INDEX(Production_Consumption!$AA$83:$AJ$99,MATCH('County Scaled Consumption '!$B683,Production_Consumption!$AA$83:$AA$99,0),MATCH('County Scaled Consumption '!E$2,Production_Consumption!$AA$83:$AJ$83,0)))*'CA Population'!$L683*10^6</f>
        <v>460.43580100382417</v>
      </c>
      <c r="F683" s="143">
        <f>(INDEX(Production_Consumption!$AA$83:$AJ$99,MATCH('County Scaled Consumption '!$B683,Production_Consumption!$AA$83:$AA$99,0),MATCH('County Scaled Consumption '!F$2,Production_Consumption!$AA$83:$AJ$83,0)))*'CA Population'!$L683*10^6</f>
        <v>214.19969561465339</v>
      </c>
      <c r="G683" s="143">
        <f>(INDEX(Production_Consumption!$AA$83:$AJ$99,MATCH('County Scaled Consumption '!$B683,Production_Consumption!$AA$83:$AA$99,0),MATCH('County Scaled Consumption '!G$2,Production_Consumption!$AA$83:$AJ$83,0)))*'CA Population'!$L683*10^6</f>
        <v>610.20218738583185</v>
      </c>
      <c r="H683" s="143">
        <f>(INDEX(Production_Consumption!$AA$83:$AJ$99,MATCH('County Scaled Consumption '!$B683,Production_Consumption!$AA$83:$AA$99,0),MATCH('County Scaled Consumption '!H$2,Production_Consumption!$AA$83:$AJ$83,0)))*'CA Population'!$L683*10^6</f>
        <v>17.052934629960554</v>
      </c>
      <c r="I683" s="143">
        <f>(INDEX(Production_Consumption!$AA$83:$AJ$99,MATCH('County Scaled Consumption '!$B683,Production_Consumption!$AA$83:$AA$99,0),MATCH('County Scaled Consumption '!I$2,Production_Consumption!$AA$83:$AJ$83,0)))*'CA Population'!$L683*10^6</f>
        <v>293.30325978434587</v>
      </c>
      <c r="J683" s="143">
        <f>(INDEX(Production_Consumption!$AA$83:$AJ$99,MATCH('County Scaled Consumption '!$B683,Production_Consumption!$AA$83:$AA$99,0),MATCH('County Scaled Consumption '!J$2,Production_Consumption!$AA$83:$AJ$83,0)))*'CA Population'!$L683*10^6</f>
        <v>227.3323488375969</v>
      </c>
      <c r="K683" s="143">
        <f>(INDEX(Production_Consumption!$AA$83:$AJ$99,MATCH('County Scaled Consumption '!$B683,Production_Consumption!$AA$83:$AA$99,0),MATCH('County Scaled Consumption '!K$2,Production_Consumption!$AA$83:$AJ$83,0)))*'CA Population'!$L683*10^6</f>
        <v>2968.2993214971216</v>
      </c>
      <c r="L683" s="131">
        <f t="shared" si="10"/>
        <v>0</v>
      </c>
    </row>
    <row r="684" spans="1:12" x14ac:dyDescent="0.2">
      <c r="A684" s="132" t="s">
        <v>337</v>
      </c>
      <c r="B684" s="129">
        <v>2009</v>
      </c>
      <c r="C684" s="143">
        <f>(INDEX(Production_Consumption!$AA$83:$AJ$99,MATCH('County Scaled Consumption '!$B684,Production_Consumption!$AA$83:$AA$99,0),MATCH('County Scaled Consumption '!C$2,Production_Consumption!$AA$83:$AJ$83,0)))*'CA Population'!$L684*10^6</f>
        <v>23958.680791571951</v>
      </c>
      <c r="D684" s="143">
        <f>(INDEX(Production_Consumption!$AA$83:$AJ$99,MATCH('County Scaled Consumption '!$B684,Production_Consumption!$AA$83:$AA$99,0),MATCH('County Scaled Consumption '!D$2,Production_Consumption!$AA$83:$AJ$83,0)))*'CA Population'!$L684*10^6</f>
        <v>97364.611434018734</v>
      </c>
      <c r="E684" s="143">
        <f>(INDEX(Production_Consumption!$AA$83:$AJ$99,MATCH('County Scaled Consumption '!$B684,Production_Consumption!$AA$83:$AA$99,0),MATCH('County Scaled Consumption '!E$2,Production_Consumption!$AA$83:$AJ$83,0)))*'CA Population'!$L684*10^6</f>
        <v>48754.493814780973</v>
      </c>
      <c r="F684" s="143">
        <f>(INDEX(Production_Consumption!$AA$83:$AJ$99,MATCH('County Scaled Consumption '!$B684,Production_Consumption!$AA$83:$AA$99,0),MATCH('County Scaled Consumption '!F$2,Production_Consumption!$AA$83:$AJ$83,0)))*'CA Population'!$L684*10^6</f>
        <v>22681.115830273695</v>
      </c>
      <c r="G684" s="143">
        <f>(INDEX(Production_Consumption!$AA$83:$AJ$99,MATCH('County Scaled Consumption '!$B684,Production_Consumption!$AA$83:$AA$99,0),MATCH('County Scaled Consumption '!G$2,Production_Consumption!$AA$83:$AJ$83,0)))*'CA Population'!$L684*10^6</f>
        <v>64612.913908536975</v>
      </c>
      <c r="H684" s="143">
        <f>(INDEX(Production_Consumption!$AA$83:$AJ$99,MATCH('County Scaled Consumption '!$B684,Production_Consumption!$AA$83:$AA$99,0),MATCH('County Scaled Consumption '!H$2,Production_Consumption!$AA$83:$AJ$83,0)))*'CA Population'!$L684*10^6</f>
        <v>1805.6962428370568</v>
      </c>
      <c r="I684" s="143">
        <f>(INDEX(Production_Consumption!$AA$83:$AJ$99,MATCH('County Scaled Consumption '!$B684,Production_Consumption!$AA$83:$AA$99,0),MATCH('County Scaled Consumption '!I$2,Production_Consumption!$AA$83:$AJ$83,0)))*'CA Population'!$L684*10^6</f>
        <v>31057.211306842357</v>
      </c>
      <c r="J684" s="143">
        <f>(INDEX(Production_Consumption!$AA$83:$AJ$99,MATCH('County Scaled Consumption '!$B684,Production_Consumption!$AA$83:$AA$99,0),MATCH('County Scaled Consumption '!J$2,Production_Consumption!$AA$83:$AJ$83,0)))*'CA Population'!$L684*10^6</f>
        <v>24071.702441770365</v>
      </c>
      <c r="K684" s="143">
        <f>(INDEX(Production_Consumption!$AA$83:$AJ$99,MATCH('County Scaled Consumption '!$B684,Production_Consumption!$AA$83:$AA$99,0),MATCH('County Scaled Consumption '!K$2,Production_Consumption!$AA$83:$AJ$83,0)))*'CA Population'!$L684*10^6</f>
        <v>314306.42577063205</v>
      </c>
      <c r="L684" s="131">
        <f t="shared" si="10"/>
        <v>0</v>
      </c>
    </row>
    <row r="685" spans="1:12" x14ac:dyDescent="0.2">
      <c r="A685" s="132" t="s">
        <v>338</v>
      </c>
      <c r="B685" s="129">
        <v>2009</v>
      </c>
      <c r="C685" s="143">
        <f>(INDEX(Production_Consumption!$AA$83:$AJ$99,MATCH('County Scaled Consumption '!$B685,Production_Consumption!$AA$83:$AA$99,0),MATCH('County Scaled Consumption '!C$2,Production_Consumption!$AA$83:$AJ$83,0)))*'CA Population'!$L685*10^6</f>
        <v>15738.354225036579</v>
      </c>
      <c r="D685" s="143">
        <f>(INDEX(Production_Consumption!$AA$83:$AJ$99,MATCH('County Scaled Consumption '!$B685,Production_Consumption!$AA$83:$AA$99,0),MATCH('County Scaled Consumption '!D$2,Production_Consumption!$AA$83:$AJ$83,0)))*'CA Population'!$L685*10^6</f>
        <v>63958.393914187363</v>
      </c>
      <c r="E685" s="143">
        <f>(INDEX(Production_Consumption!$AA$83:$AJ$99,MATCH('County Scaled Consumption '!$B685,Production_Consumption!$AA$83:$AA$99,0),MATCH('County Scaled Consumption '!E$2,Production_Consumption!$AA$83:$AJ$83,0)))*'CA Population'!$L685*10^6</f>
        <v>32026.617007615034</v>
      </c>
      <c r="F685" s="143">
        <f>(INDEX(Production_Consumption!$AA$83:$AJ$99,MATCH('County Scaled Consumption '!$B685,Production_Consumption!$AA$83:$AA$99,0),MATCH('County Scaled Consumption '!F$2,Production_Consumption!$AA$83:$AJ$83,0)))*'CA Population'!$L685*10^6</f>
        <v>14899.127304267213</v>
      </c>
      <c r="G685" s="143">
        <f>(INDEX(Production_Consumption!$AA$83:$AJ$99,MATCH('County Scaled Consumption '!$B685,Production_Consumption!$AA$83:$AA$99,0),MATCH('County Scaled Consumption '!G$2,Production_Consumption!$AA$83:$AJ$83,0)))*'CA Population'!$L685*10^6</f>
        <v>42443.94486703405</v>
      </c>
      <c r="H685" s="143">
        <f>(INDEX(Production_Consumption!$AA$83:$AJ$99,MATCH('County Scaled Consumption '!$B685,Production_Consumption!$AA$83:$AA$99,0),MATCH('County Scaled Consumption '!H$2,Production_Consumption!$AA$83:$AJ$83,0)))*'CA Population'!$L685*10^6</f>
        <v>1186.1540850189144</v>
      </c>
      <c r="I685" s="143">
        <f>(INDEX(Production_Consumption!$AA$83:$AJ$99,MATCH('County Scaled Consumption '!$B685,Production_Consumption!$AA$83:$AA$99,0),MATCH('County Scaled Consumption '!I$2,Production_Consumption!$AA$83:$AJ$83,0)))*'CA Population'!$L685*10^6</f>
        <v>20401.348348062627</v>
      </c>
      <c r="J685" s="143">
        <f>(INDEX(Production_Consumption!$AA$83:$AJ$99,MATCH('County Scaled Consumption '!$B685,Production_Consumption!$AA$83:$AA$99,0),MATCH('County Scaled Consumption '!J$2,Production_Consumption!$AA$83:$AJ$83,0)))*'CA Population'!$L685*10^6</f>
        <v>15812.59766028225</v>
      </c>
      <c r="K685" s="143">
        <f>(INDEX(Production_Consumption!$AA$83:$AJ$99,MATCH('County Scaled Consumption '!$B685,Production_Consumption!$AA$83:$AA$99,0),MATCH('County Scaled Consumption '!K$2,Production_Consumption!$AA$83:$AJ$83,0)))*'CA Population'!$L685*10^6</f>
        <v>206466.53741150399</v>
      </c>
      <c r="L685" s="131">
        <f t="shared" si="10"/>
        <v>0</v>
      </c>
    </row>
    <row r="686" spans="1:12" x14ac:dyDescent="0.2">
      <c r="A686" s="132" t="s">
        <v>339</v>
      </c>
      <c r="B686" s="129">
        <v>2009</v>
      </c>
      <c r="C686" s="143">
        <f>(INDEX(Production_Consumption!$AA$83:$AJ$99,MATCH('County Scaled Consumption '!$B686,Production_Consumption!$AA$83:$AA$99,0),MATCH('County Scaled Consumption '!C$2,Production_Consumption!$AA$83:$AJ$83,0)))*'CA Population'!$L686*10^6</f>
        <v>616.34149722103928</v>
      </c>
      <c r="D686" s="143">
        <f>(INDEX(Production_Consumption!$AA$83:$AJ$99,MATCH('County Scaled Consumption '!$B686,Production_Consumption!$AA$83:$AA$99,0),MATCH('County Scaled Consumption '!D$2,Production_Consumption!$AA$83:$AJ$83,0)))*'CA Population'!$L686*10^6</f>
        <v>2504.7226476967685</v>
      </c>
      <c r="E686" s="143">
        <f>(INDEX(Production_Consumption!$AA$83:$AJ$99,MATCH('County Scaled Consumption '!$B686,Production_Consumption!$AA$83:$AA$99,0),MATCH('County Scaled Consumption '!E$2,Production_Consumption!$AA$83:$AJ$83,0)))*'CA Population'!$L686*10^6</f>
        <v>1254.2183760228825</v>
      </c>
      <c r="F686" s="143">
        <f>(INDEX(Production_Consumption!$AA$83:$AJ$99,MATCH('County Scaled Consumption '!$B686,Production_Consumption!$AA$83:$AA$99,0),MATCH('County Scaled Consumption '!F$2,Production_Consumption!$AA$83:$AJ$83,0)))*'CA Population'!$L686*10^6</f>
        <v>583.47590216203662</v>
      </c>
      <c r="G686" s="143">
        <f>(INDEX(Production_Consumption!$AA$83:$AJ$99,MATCH('County Scaled Consumption '!$B686,Production_Consumption!$AA$83:$AA$99,0),MATCH('County Scaled Consumption '!G$2,Production_Consumption!$AA$83:$AJ$83,0)))*'CA Population'!$L686*10^6</f>
        <v>1662.1791677365941</v>
      </c>
      <c r="H686" s="143">
        <f>(INDEX(Production_Consumption!$AA$83:$AJ$99,MATCH('County Scaled Consumption '!$B686,Production_Consumption!$AA$83:$AA$99,0),MATCH('County Scaled Consumption '!H$2,Production_Consumption!$AA$83:$AJ$83,0)))*'CA Population'!$L686*10^6</f>
        <v>46.451870013982379</v>
      </c>
      <c r="I686" s="143">
        <f>(INDEX(Production_Consumption!$AA$83:$AJ$99,MATCH('County Scaled Consumption '!$B686,Production_Consumption!$AA$83:$AA$99,0),MATCH('County Scaled Consumption '!I$2,Production_Consumption!$AA$83:$AJ$83,0)))*'CA Population'!$L686*10^6</f>
        <v>798.95250839950324</v>
      </c>
      <c r="J686" s="143">
        <f>(INDEX(Production_Consumption!$AA$83:$AJ$99,MATCH('County Scaled Consumption '!$B686,Production_Consumption!$AA$83:$AA$99,0),MATCH('County Scaled Consumption '!J$2,Production_Consumption!$AA$83:$AJ$83,0)))*'CA Population'!$L686*10^6</f>
        <v>619.24900008848374</v>
      </c>
      <c r="K686" s="143">
        <f>(INDEX(Production_Consumption!$AA$83:$AJ$99,MATCH('County Scaled Consumption '!$B686,Production_Consumption!$AA$83:$AA$99,0),MATCH('County Scaled Consumption '!K$2,Production_Consumption!$AA$83:$AJ$83,0)))*'CA Population'!$L686*10^6</f>
        <v>8085.5909693412896</v>
      </c>
      <c r="L686" s="131">
        <f t="shared" si="10"/>
        <v>0</v>
      </c>
    </row>
    <row r="687" spans="1:12" x14ac:dyDescent="0.2">
      <c r="A687" s="132" t="s">
        <v>340</v>
      </c>
      <c r="B687" s="129">
        <v>2009</v>
      </c>
      <c r="C687" s="143">
        <f>(INDEX(Production_Consumption!$AA$83:$AJ$99,MATCH('County Scaled Consumption '!$B687,Production_Consumption!$AA$83:$AA$99,0),MATCH('County Scaled Consumption '!C$2,Production_Consumption!$AA$83:$AJ$83,0)))*'CA Population'!$L687*10^6</f>
        <v>22602.2325564044</v>
      </c>
      <c r="D687" s="143">
        <f>(INDEX(Production_Consumption!$AA$83:$AJ$99,MATCH('County Scaled Consumption '!$B687,Production_Consumption!$AA$83:$AA$99,0),MATCH('County Scaled Consumption '!D$2,Production_Consumption!$AA$83:$AJ$83,0)))*'CA Population'!$L687*10^6</f>
        <v>91852.202111636187</v>
      </c>
      <c r="E687" s="143">
        <f>(INDEX(Production_Consumption!$AA$83:$AJ$99,MATCH('County Scaled Consumption '!$B687,Production_Consumption!$AA$83:$AA$99,0),MATCH('County Scaled Consumption '!E$2,Production_Consumption!$AA$83:$AJ$83,0)))*'CA Population'!$L687*10^6</f>
        <v>45994.202141509435</v>
      </c>
      <c r="F687" s="143">
        <f>(INDEX(Production_Consumption!$AA$83:$AJ$99,MATCH('County Scaled Consumption '!$B687,Production_Consumption!$AA$83:$AA$99,0),MATCH('County Scaled Consumption '!F$2,Production_Consumption!$AA$83:$AJ$83,0)))*'CA Population'!$L687*10^6</f>
        <v>21396.998402972433</v>
      </c>
      <c r="G687" s="143">
        <f>(INDEX(Production_Consumption!$AA$83:$AJ$99,MATCH('County Scaled Consumption '!$B687,Production_Consumption!$AA$83:$AA$99,0),MATCH('County Scaled Consumption '!G$2,Production_Consumption!$AA$83:$AJ$83,0)))*'CA Population'!$L687*10^6</f>
        <v>60954.77956455011</v>
      </c>
      <c r="H687" s="143">
        <f>(INDEX(Production_Consumption!$AA$83:$AJ$99,MATCH('County Scaled Consumption '!$B687,Production_Consumption!$AA$83:$AA$99,0),MATCH('County Scaled Consumption '!H$2,Production_Consumption!$AA$83:$AJ$83,0)))*'CA Population'!$L687*10^6</f>
        <v>1703.4646757840571</v>
      </c>
      <c r="I687" s="143">
        <f>(INDEX(Production_Consumption!$AA$83:$AJ$99,MATCH('County Scaled Consumption '!$B687,Production_Consumption!$AA$83:$AA$99,0),MATCH('County Scaled Consumption '!I$2,Production_Consumption!$AA$83:$AJ$83,0)))*'CA Population'!$L687*10^6</f>
        <v>29298.871612228984</v>
      </c>
      <c r="J687" s="143">
        <f>(INDEX(Production_Consumption!$AA$83:$AJ$99,MATCH('County Scaled Consumption '!$B687,Production_Consumption!$AA$83:$AA$99,0),MATCH('County Scaled Consumption '!J$2,Production_Consumption!$AA$83:$AJ$83,0)))*'CA Population'!$L687*10^6</f>
        <v>22708.855356045013</v>
      </c>
      <c r="K687" s="143">
        <f>(INDEX(Production_Consumption!$AA$83:$AJ$99,MATCH('County Scaled Consumption '!$B687,Production_Consumption!$AA$83:$AA$99,0),MATCH('County Scaled Consumption '!K$2,Production_Consumption!$AA$83:$AJ$83,0)))*'CA Population'!$L687*10^6</f>
        <v>296511.60642113053</v>
      </c>
      <c r="L687" s="131">
        <f t="shared" si="10"/>
        <v>0</v>
      </c>
    </row>
    <row r="688" spans="1:12" x14ac:dyDescent="0.2">
      <c r="A688" s="132" t="s">
        <v>341</v>
      </c>
      <c r="B688" s="129">
        <v>2009</v>
      </c>
      <c r="C688" s="143">
        <f>(INDEX(Production_Consumption!$AA$83:$AJ$99,MATCH('County Scaled Consumption '!$B688,Production_Consumption!$AA$83:$AA$99,0),MATCH('County Scaled Consumption '!C$2,Production_Consumption!$AA$83:$AJ$83,0)))*'CA Population'!$L688*10^6</f>
        <v>34298.305229499027</v>
      </c>
      <c r="D688" s="143">
        <f>(INDEX(Production_Consumption!$AA$83:$AJ$99,MATCH('County Scaled Consumption '!$B688,Production_Consumption!$AA$83:$AA$99,0),MATCH('County Scaled Consumption '!D$2,Production_Consumption!$AA$83:$AJ$83,0)))*'CA Population'!$L688*10^6</f>
        <v>139383.34879816399</v>
      </c>
      <c r="E688" s="143">
        <f>(INDEX(Production_Consumption!$AA$83:$AJ$99,MATCH('County Scaled Consumption '!$B688,Production_Consumption!$AA$83:$AA$99,0),MATCH('County Scaled Consumption '!E$2,Production_Consumption!$AA$83:$AJ$83,0)))*'CA Population'!$L688*10^6</f>
        <v>69795.016041004899</v>
      </c>
      <c r="F688" s="143">
        <f>(INDEX(Production_Consumption!$AA$83:$AJ$99,MATCH('County Scaled Consumption '!$B688,Production_Consumption!$AA$83:$AA$99,0),MATCH('County Scaled Consumption '!F$2,Production_Consumption!$AA$83:$AJ$83,0)))*'CA Population'!$L688*10^6</f>
        <v>32469.393472031359</v>
      </c>
      <c r="G688" s="143">
        <f>(INDEX(Production_Consumption!$AA$83:$AJ$99,MATCH('County Scaled Consumption '!$B688,Production_Consumption!$AA$83:$AA$99,0),MATCH('County Scaled Consumption '!G$2,Production_Consumption!$AA$83:$AJ$83,0)))*'CA Population'!$L688*10^6</f>
        <v>92497.306603872625</v>
      </c>
      <c r="H688" s="143">
        <f>(INDEX(Production_Consumption!$AA$83:$AJ$99,MATCH('County Scaled Consumption '!$B688,Production_Consumption!$AA$83:$AA$99,0),MATCH('County Scaled Consumption '!H$2,Production_Consumption!$AA$83:$AJ$83,0)))*'CA Population'!$L688*10^6</f>
        <v>2584.9637309901959</v>
      </c>
      <c r="I688" s="143">
        <f>(INDEX(Production_Consumption!$AA$83:$AJ$99,MATCH('County Scaled Consumption '!$B688,Production_Consumption!$AA$83:$AA$99,0),MATCH('County Scaled Consumption '!I$2,Production_Consumption!$AA$83:$AJ$83,0)))*'CA Population'!$L688*10^6</f>
        <v>44460.282360531346</v>
      </c>
      <c r="J688" s="143">
        <f>(INDEX(Production_Consumption!$AA$83:$AJ$99,MATCH('County Scaled Consumption '!$B688,Production_Consumption!$AA$83:$AA$99,0),MATCH('County Scaled Consumption '!J$2,Production_Consumption!$AA$83:$AJ$83,0)))*'CA Population'!$L688*10^6</f>
        <v>34460.102579268401</v>
      </c>
      <c r="K688" s="143">
        <f>(INDEX(Production_Consumption!$AA$83:$AJ$99,MATCH('County Scaled Consumption '!$B688,Production_Consumption!$AA$83:$AA$99,0),MATCH('County Scaled Consumption '!K$2,Production_Consumption!$AA$83:$AJ$83,0)))*'CA Population'!$L688*10^6</f>
        <v>449948.71881536179</v>
      </c>
      <c r="L688" s="131">
        <f t="shared" si="10"/>
        <v>0</v>
      </c>
    </row>
    <row r="689" spans="1:12" x14ac:dyDescent="0.2">
      <c r="A689" s="132" t="s">
        <v>342</v>
      </c>
      <c r="B689" s="129">
        <v>2009</v>
      </c>
      <c r="C689" s="143">
        <f>(INDEX(Production_Consumption!$AA$83:$AJ$99,MATCH('County Scaled Consumption '!$B689,Production_Consumption!$AA$83:$AA$99,0),MATCH('County Scaled Consumption '!C$2,Production_Consumption!$AA$83:$AJ$83,0)))*'CA Population'!$L689*10^6</f>
        <v>8956.5719364180131</v>
      </c>
      <c r="D689" s="143">
        <f>(INDEX(Production_Consumption!$AA$83:$AJ$99,MATCH('County Scaled Consumption '!$B689,Production_Consumption!$AA$83:$AA$99,0),MATCH('County Scaled Consumption '!D$2,Production_Consumption!$AA$83:$AJ$83,0)))*'CA Population'!$L689*10^6</f>
        <v>36398.212153523178</v>
      </c>
      <c r="E689" s="143">
        <f>(INDEX(Production_Consumption!$AA$83:$AJ$99,MATCH('County Scaled Consumption '!$B689,Production_Consumption!$AA$83:$AA$99,0),MATCH('County Scaled Consumption '!E$2,Production_Consumption!$AA$83:$AJ$83,0)))*'CA Population'!$L689*10^6</f>
        <v>18226.092449520147</v>
      </c>
      <c r="F689" s="143">
        <f>(INDEX(Production_Consumption!$AA$83:$AJ$99,MATCH('County Scaled Consumption '!$B689,Production_Consumption!$AA$83:$AA$99,0),MATCH('County Scaled Consumption '!F$2,Production_Consumption!$AA$83:$AJ$83,0)))*'CA Population'!$L689*10^6</f>
        <v>8478.9745854261273</v>
      </c>
      <c r="G689" s="143">
        <f>(INDEX(Production_Consumption!$AA$83:$AJ$99,MATCH('County Scaled Consumption '!$B689,Production_Consumption!$AA$83:$AA$99,0),MATCH('County Scaled Consumption '!G$2,Production_Consumption!$AA$83:$AJ$83,0)))*'CA Population'!$L689*10^6</f>
        <v>24154.510696055138</v>
      </c>
      <c r="H689" s="143">
        <f>(INDEX(Production_Consumption!$AA$83:$AJ$99,MATCH('County Scaled Consumption '!$B689,Production_Consumption!$AA$83:$AA$99,0),MATCH('County Scaled Consumption '!H$2,Production_Consumption!$AA$83:$AJ$83,0)))*'CA Population'!$L689*10^6</f>
        <v>675.03083475192932</v>
      </c>
      <c r="I689" s="143">
        <f>(INDEX(Production_Consumption!$AA$83:$AJ$99,MATCH('County Scaled Consumption '!$B689,Production_Consumption!$AA$83:$AA$99,0),MATCH('County Scaled Consumption '!I$2,Production_Consumption!$AA$83:$AJ$83,0)))*'CA Population'!$L689*10^6</f>
        <v>11610.244722327125</v>
      </c>
      <c r="J689" s="143">
        <f>(INDEX(Production_Consumption!$AA$83:$AJ$99,MATCH('County Scaled Consumption '!$B689,Production_Consumption!$AA$83:$AA$99,0),MATCH('County Scaled Consumption '!J$2,Production_Consumption!$AA$83:$AJ$83,0)))*'CA Population'!$L689*10^6</f>
        <v>8998.8232836095012</v>
      </c>
      <c r="K689" s="143">
        <f>(INDEX(Production_Consumption!$AA$83:$AJ$99,MATCH('County Scaled Consumption '!$B689,Production_Consumption!$AA$83:$AA$99,0),MATCH('County Scaled Consumption '!K$2,Production_Consumption!$AA$83:$AJ$83,0)))*'CA Population'!$L689*10^6</f>
        <v>117498.46066163115</v>
      </c>
      <c r="L689" s="131">
        <f t="shared" si="10"/>
        <v>0</v>
      </c>
    </row>
    <row r="690" spans="1:12" x14ac:dyDescent="0.2">
      <c r="A690" s="132" t="s">
        <v>343</v>
      </c>
      <c r="B690" s="129">
        <v>2009</v>
      </c>
      <c r="C690" s="143">
        <f>(INDEX(Production_Consumption!$AA$83:$AJ$99,MATCH('County Scaled Consumption '!$B690,Production_Consumption!$AA$83:$AA$99,0),MATCH('County Scaled Consumption '!C$2,Production_Consumption!$AA$83:$AJ$83,0)))*'CA Population'!$L690*10^6</f>
        <v>7586.558547356517</v>
      </c>
      <c r="D690" s="143">
        <f>(INDEX(Production_Consumption!$AA$83:$AJ$99,MATCH('County Scaled Consumption '!$B690,Production_Consumption!$AA$83:$AA$99,0),MATCH('County Scaled Consumption '!D$2,Production_Consumption!$AA$83:$AJ$83,0)))*'CA Population'!$L690*10^6</f>
        <v>30830.676008866201</v>
      </c>
      <c r="E690" s="143">
        <f>(INDEX(Production_Consumption!$AA$83:$AJ$99,MATCH('County Scaled Consumption '!$B690,Production_Consumption!$AA$83:$AA$99,0),MATCH('County Scaled Consumption '!E$2,Production_Consumption!$AA$83:$AJ$83,0)))*'CA Population'!$L690*10^6</f>
        <v>15438.196492967212</v>
      </c>
      <c r="F690" s="143">
        <f>(INDEX(Production_Consumption!$AA$83:$AJ$99,MATCH('County Scaled Consumption '!$B690,Production_Consumption!$AA$83:$AA$99,0),MATCH('County Scaled Consumption '!F$2,Production_Consumption!$AA$83:$AJ$83,0)))*'CA Population'!$L690*10^6</f>
        <v>7182.0153481186862</v>
      </c>
      <c r="G690" s="143">
        <f>(INDEX(Production_Consumption!$AA$83:$AJ$99,MATCH('County Scaled Consumption '!$B690,Production_Consumption!$AA$83:$AA$99,0),MATCH('County Scaled Consumption '!G$2,Production_Consumption!$AA$83:$AJ$83,0)))*'CA Population'!$L690*10^6</f>
        <v>20459.793197581148</v>
      </c>
      <c r="H690" s="143">
        <f>(INDEX(Production_Consumption!$AA$83:$AJ$99,MATCH('County Scaled Consumption '!$B690,Production_Consumption!$AA$83:$AA$99,0),MATCH('County Scaled Consumption '!H$2,Production_Consumption!$AA$83:$AJ$83,0)))*'CA Population'!$L690*10^6</f>
        <v>571.77690141620758</v>
      </c>
      <c r="I690" s="143">
        <f>(INDEX(Production_Consumption!$AA$83:$AJ$99,MATCH('County Scaled Consumption '!$B690,Production_Consumption!$AA$83:$AA$99,0),MATCH('County Scaled Consumption '!I$2,Production_Consumption!$AA$83:$AJ$83,0)))*'CA Population'!$L690*10^6</f>
        <v>9834.3207602593247</v>
      </c>
      <c r="J690" s="143">
        <f>(INDEX(Production_Consumption!$AA$83:$AJ$99,MATCH('County Scaled Consumption '!$B690,Production_Consumption!$AA$83:$AA$99,0),MATCH('County Scaled Consumption '!J$2,Production_Consumption!$AA$83:$AJ$83,0)))*'CA Population'!$L690*10^6</f>
        <v>7622.3470523167198</v>
      </c>
      <c r="K690" s="143">
        <f>(INDEX(Production_Consumption!$AA$83:$AJ$99,MATCH('County Scaled Consumption '!$B690,Production_Consumption!$AA$83:$AA$99,0),MATCH('County Scaled Consumption '!K$2,Production_Consumption!$AA$83:$AJ$83,0)))*'CA Population'!$L690*10^6</f>
        <v>99525.684308882002</v>
      </c>
      <c r="L690" s="131">
        <f t="shared" si="10"/>
        <v>0</v>
      </c>
    </row>
    <row r="691" spans="1:12" x14ac:dyDescent="0.2">
      <c r="A691" s="132" t="s">
        <v>344</v>
      </c>
      <c r="B691" s="129">
        <v>2009</v>
      </c>
      <c r="C691" s="143">
        <f>(INDEX(Production_Consumption!$AA$83:$AJ$99,MATCH('County Scaled Consumption '!$B691,Production_Consumption!$AA$83:$AA$99,0),MATCH('County Scaled Consumption '!C$2,Production_Consumption!$AA$83:$AJ$83,0)))*'CA Population'!$L691*10^6</f>
        <v>2994.3734136345097</v>
      </c>
      <c r="D691" s="143">
        <f>(INDEX(Production_Consumption!$AA$83:$AJ$99,MATCH('County Scaled Consumption '!$B691,Production_Consumption!$AA$83:$AA$99,0),MATCH('County Scaled Consumption '!D$2,Production_Consumption!$AA$83:$AJ$83,0)))*'CA Population'!$L691*10^6</f>
        <v>12168.700206959586</v>
      </c>
      <c r="E691" s="143">
        <f>(INDEX(Production_Consumption!$AA$83:$AJ$99,MATCH('County Scaled Consumption '!$B691,Production_Consumption!$AA$83:$AA$99,0),MATCH('County Scaled Consumption '!E$2,Production_Consumption!$AA$83:$AJ$83,0)))*'CA Population'!$L691*10^6</f>
        <v>6093.3722246319812</v>
      </c>
      <c r="F691" s="143">
        <f>(INDEX(Production_Consumption!$AA$83:$AJ$99,MATCH('County Scaled Consumption '!$B691,Production_Consumption!$AA$83:$AA$99,0),MATCH('County Scaled Consumption '!F$2,Production_Consumption!$AA$83:$AJ$83,0)))*'CA Population'!$L691*10^6</f>
        <v>2834.7024122307839</v>
      </c>
      <c r="G691" s="143">
        <f>(INDEX(Production_Consumption!$AA$83:$AJ$99,MATCH('County Scaled Consumption '!$B691,Production_Consumption!$AA$83:$AA$99,0),MATCH('County Scaled Consumption '!G$2,Production_Consumption!$AA$83:$AJ$83,0)))*'CA Population'!$L691*10^6</f>
        <v>8075.3691435814844</v>
      </c>
      <c r="H691" s="143">
        <f>(INDEX(Production_Consumption!$AA$83:$AJ$99,MATCH('County Scaled Consumption '!$B691,Production_Consumption!$AA$83:$AA$99,0),MATCH('County Scaled Consumption '!H$2,Production_Consumption!$AA$83:$AJ$83,0)))*'CA Population'!$L691*10^6</f>
        <v>225.67723447248503</v>
      </c>
      <c r="I691" s="143">
        <f>(INDEX(Production_Consumption!$AA$83:$AJ$99,MATCH('County Scaled Consumption '!$B691,Production_Consumption!$AA$83:$AA$99,0),MATCH('County Scaled Consumption '!I$2,Production_Consumption!$AA$83:$AJ$83,0)))*'CA Population'!$L691*10^6</f>
        <v>3881.5529389060416</v>
      </c>
      <c r="J691" s="143">
        <f>(INDEX(Production_Consumption!$AA$83:$AJ$99,MATCH('County Scaled Consumption '!$B691,Production_Consumption!$AA$83:$AA$99,0),MATCH('County Scaled Consumption '!J$2,Production_Consumption!$AA$83:$AJ$83,0)))*'CA Population'!$L691*10^6</f>
        <v>3008.4989419748795</v>
      </c>
      <c r="K691" s="143">
        <f>(INDEX(Production_Consumption!$AA$83:$AJ$99,MATCH('County Scaled Consumption '!$B691,Production_Consumption!$AA$83:$AA$99,0),MATCH('County Scaled Consumption '!K$2,Production_Consumption!$AA$83:$AJ$83,0)))*'CA Population'!$L691*10^6</f>
        <v>39282.246516391751</v>
      </c>
      <c r="L691" s="131">
        <f t="shared" si="10"/>
        <v>0</v>
      </c>
    </row>
    <row r="692" spans="1:12" x14ac:dyDescent="0.2">
      <c r="A692" s="132" t="s">
        <v>345</v>
      </c>
      <c r="B692" s="129">
        <v>2009</v>
      </c>
      <c r="C692" s="143">
        <f>(INDEX(Production_Consumption!$AA$83:$AJ$99,MATCH('County Scaled Consumption '!$B692,Production_Consumption!$AA$83:$AA$99,0),MATCH('County Scaled Consumption '!C$2,Production_Consumption!$AA$83:$AJ$83,0)))*'CA Population'!$L692*10^6</f>
        <v>7989.3160249750808</v>
      </c>
      <c r="D692" s="143">
        <f>(INDEX(Production_Consumption!$AA$83:$AJ$99,MATCH('County Scaled Consumption '!$B692,Production_Consumption!$AA$83:$AA$99,0),MATCH('County Scaled Consumption '!D$2,Production_Consumption!$AA$83:$AJ$83,0)))*'CA Population'!$L692*10^6</f>
        <v>32467.42411080141</v>
      </c>
      <c r="E692" s="143">
        <f>(INDEX(Production_Consumption!$AA$83:$AJ$99,MATCH('County Scaled Consumption '!$B692,Production_Consumption!$AA$83:$AA$99,0),MATCH('County Scaled Consumption '!E$2,Production_Consumption!$AA$83:$AJ$83,0)))*'CA Population'!$L692*10^6</f>
        <v>16257.78406217589</v>
      </c>
      <c r="F692" s="143">
        <f>(INDEX(Production_Consumption!$AA$83:$AJ$99,MATCH('County Scaled Consumption '!$B692,Production_Consumption!$AA$83:$AA$99,0),MATCH('County Scaled Consumption '!F$2,Production_Consumption!$AA$83:$AJ$83,0)))*'CA Population'!$L692*10^6</f>
        <v>7563.2963160002309</v>
      </c>
      <c r="G692" s="143">
        <f>(INDEX(Production_Consumption!$AA$83:$AJ$99,MATCH('County Scaled Consumption '!$B692,Production_Consumption!$AA$83:$AA$99,0),MATCH('County Scaled Consumption '!G$2,Production_Consumption!$AA$83:$AJ$83,0)))*'CA Population'!$L692*10^6</f>
        <v>21545.968786870784</v>
      </c>
      <c r="H692" s="143">
        <f>(INDEX(Production_Consumption!$AA$83:$AJ$99,MATCH('County Scaled Consumption '!$B692,Production_Consumption!$AA$83:$AA$99,0),MATCH('County Scaled Consumption '!H$2,Production_Consumption!$AA$83:$AJ$83,0)))*'CA Population'!$L692*10^6</f>
        <v>602.13156369653666</v>
      </c>
      <c r="I692" s="143">
        <f>(INDEX(Production_Consumption!$AA$83:$AJ$99,MATCH('County Scaled Consumption '!$B692,Production_Consumption!$AA$83:$AA$99,0),MATCH('County Scaled Consumption '!I$2,Production_Consumption!$AA$83:$AJ$83,0)))*'CA Population'!$L692*10^6</f>
        <v>10356.408107080639</v>
      </c>
      <c r="J692" s="143">
        <f>(INDEX(Production_Consumption!$AA$83:$AJ$99,MATCH('County Scaled Consumption '!$B692,Production_Consumption!$AA$83:$AA$99,0),MATCH('County Scaled Consumption '!J$2,Production_Consumption!$AA$83:$AJ$83,0)))*'CA Population'!$L692*10^6</f>
        <v>8027.0044807358408</v>
      </c>
      <c r="K692" s="143">
        <f>(INDEX(Production_Consumption!$AA$83:$AJ$99,MATCH('County Scaled Consumption '!$B692,Production_Consumption!$AA$83:$AA$99,0),MATCH('County Scaled Consumption '!K$2,Production_Consumption!$AA$83:$AJ$83,0)))*'CA Population'!$L692*10^6</f>
        <v>104809.3334523364</v>
      </c>
      <c r="L692" s="131">
        <f t="shared" si="10"/>
        <v>0</v>
      </c>
    </row>
    <row r="693" spans="1:12" x14ac:dyDescent="0.2">
      <c r="A693" s="132" t="s">
        <v>346</v>
      </c>
      <c r="B693" s="129">
        <v>2009</v>
      </c>
      <c r="C693" s="143">
        <f>(INDEX(Production_Consumption!$AA$83:$AJ$99,MATCH('County Scaled Consumption '!$B693,Production_Consumption!$AA$83:$AA$99,0),MATCH('County Scaled Consumption '!C$2,Production_Consumption!$AA$83:$AJ$83,0)))*'CA Population'!$L693*10^6</f>
        <v>4714.1931721691381</v>
      </c>
      <c r="D693" s="143">
        <f>(INDEX(Production_Consumption!$AA$83:$AJ$99,MATCH('County Scaled Consumption '!$B693,Production_Consumption!$AA$83:$AA$99,0),MATCH('County Scaled Consumption '!D$2,Production_Consumption!$AA$83:$AJ$83,0)))*'CA Population'!$L693*10^6</f>
        <v>19157.798813138954</v>
      </c>
      <c r="E693" s="143">
        <f>(INDEX(Production_Consumption!$AA$83:$AJ$99,MATCH('County Scaled Consumption '!$B693,Production_Consumption!$AA$83:$AA$99,0),MATCH('County Scaled Consumption '!E$2,Production_Consumption!$AA$83:$AJ$83,0)))*'CA Population'!$L693*10^6</f>
        <v>9593.1033871887485</v>
      </c>
      <c r="F693" s="143">
        <f>(INDEX(Production_Consumption!$AA$83:$AJ$99,MATCH('County Scaled Consumption '!$B693,Production_Consumption!$AA$83:$AA$99,0),MATCH('County Scaled Consumption '!F$2,Production_Consumption!$AA$83:$AJ$83,0)))*'CA Population'!$L693*10^6</f>
        <v>4462.8150570738617</v>
      </c>
      <c r="G693" s="143">
        <f>(INDEX(Production_Consumption!$AA$83:$AJ$99,MATCH('County Scaled Consumption '!$B693,Production_Consumption!$AA$83:$AA$99,0),MATCH('County Scaled Consumption '!G$2,Production_Consumption!$AA$83:$AJ$83,0)))*'CA Population'!$L693*10^6</f>
        <v>12713.461155537703</v>
      </c>
      <c r="H693" s="143">
        <f>(INDEX(Production_Consumption!$AA$83:$AJ$99,MATCH('County Scaled Consumption '!$B693,Production_Consumption!$AA$83:$AA$99,0),MATCH('County Scaled Consumption '!H$2,Production_Consumption!$AA$83:$AJ$83,0)))*'CA Population'!$L693*10^6</f>
        <v>355.29505873246421</v>
      </c>
      <c r="I693" s="143">
        <f>(INDEX(Production_Consumption!$AA$83:$AJ$99,MATCH('County Scaled Consumption '!$B693,Production_Consumption!$AA$83:$AA$99,0),MATCH('County Scaled Consumption '!I$2,Production_Consumption!$AA$83:$AJ$83,0)))*'CA Population'!$L693*10^6</f>
        <v>6110.924669142616</v>
      </c>
      <c r="J693" s="143">
        <f>(INDEX(Production_Consumption!$AA$83:$AJ$99,MATCH('County Scaled Consumption '!$B693,Production_Consumption!$AA$83:$AA$99,0),MATCH('County Scaled Consumption '!J$2,Production_Consumption!$AA$83:$AJ$83,0)))*'CA Population'!$L693*10^6</f>
        <v>4736.4317042614421</v>
      </c>
      <c r="K693" s="143">
        <f>(INDEX(Production_Consumption!$AA$83:$AJ$99,MATCH('County Scaled Consumption '!$B693,Production_Consumption!$AA$83:$AA$99,0),MATCH('County Scaled Consumption '!K$2,Production_Consumption!$AA$83:$AJ$83,0)))*'CA Population'!$L693*10^6</f>
        <v>61844.023017244916</v>
      </c>
      <c r="L693" s="131">
        <f t="shared" si="10"/>
        <v>0</v>
      </c>
    </row>
    <row r="694" spans="1:12" x14ac:dyDescent="0.2">
      <c r="A694" s="132" t="s">
        <v>347</v>
      </c>
      <c r="B694" s="129">
        <v>2009</v>
      </c>
      <c r="C694" s="143">
        <f>(INDEX(Production_Consumption!$AA$83:$AJ$99,MATCH('County Scaled Consumption '!$B694,Production_Consumption!$AA$83:$AA$99,0),MATCH('County Scaled Consumption '!C$2,Production_Consumption!$AA$83:$AJ$83,0)))*'CA Population'!$L694*10^6</f>
        <v>19779.20315346498</v>
      </c>
      <c r="D694" s="143">
        <f>(INDEX(Production_Consumption!$AA$83:$AJ$99,MATCH('County Scaled Consumption '!$B694,Production_Consumption!$AA$83:$AA$99,0),MATCH('County Scaled Consumption '!D$2,Production_Consumption!$AA$83:$AJ$83,0)))*'CA Population'!$L694*10^6</f>
        <v>80379.819167217269</v>
      </c>
      <c r="E694" s="143">
        <f>(INDEX(Production_Consumption!$AA$83:$AJ$99,MATCH('County Scaled Consumption '!$B694,Production_Consumption!$AA$83:$AA$99,0),MATCH('County Scaled Consumption '!E$2,Production_Consumption!$AA$83:$AJ$83,0)))*'CA Population'!$L694*10^6</f>
        <v>40249.504811889703</v>
      </c>
      <c r="F694" s="143">
        <f>(INDEX(Production_Consumption!$AA$83:$AJ$99,MATCH('County Scaled Consumption '!$B694,Production_Consumption!$AA$83:$AA$99,0),MATCH('County Scaled Consumption '!F$2,Production_Consumption!$AA$83:$AJ$83,0)))*'CA Population'!$L694*10^6</f>
        <v>18724.503308715768</v>
      </c>
      <c r="G694" s="143">
        <f>(INDEX(Production_Consumption!$AA$83:$AJ$99,MATCH('County Scaled Consumption '!$B694,Production_Consumption!$AA$83:$AA$99,0),MATCH('County Scaled Consumption '!G$2,Production_Consumption!$AA$83:$AJ$83,0)))*'CA Population'!$L694*10^6</f>
        <v>53341.499127275012</v>
      </c>
      <c r="H694" s="143">
        <f>(INDEX(Production_Consumption!$AA$83:$AJ$99,MATCH('County Scaled Consumption '!$B694,Production_Consumption!$AA$83:$AA$99,0),MATCH('County Scaled Consumption '!H$2,Production_Consumption!$AA$83:$AJ$83,0)))*'CA Population'!$L694*10^6</f>
        <v>1490.7011421549669</v>
      </c>
      <c r="I694" s="143">
        <f>(INDEX(Production_Consumption!$AA$83:$AJ$99,MATCH('County Scaled Consumption '!$B694,Production_Consumption!$AA$83:$AA$99,0),MATCH('County Scaled Consumption '!I$2,Production_Consumption!$AA$83:$AJ$83,0)))*'CA Population'!$L694*10^6</f>
        <v>25639.428863471268</v>
      </c>
      <c r="J694" s="143">
        <f>(INDEX(Production_Consumption!$AA$83:$AJ$99,MATCH('County Scaled Consumption '!$B694,Production_Consumption!$AA$83:$AA$99,0),MATCH('County Scaled Consumption '!J$2,Production_Consumption!$AA$83:$AJ$83,0)))*'CA Population'!$L694*10^6</f>
        <v>19872.508715631018</v>
      </c>
      <c r="K694" s="143">
        <f>(INDEX(Production_Consumption!$AA$83:$AJ$99,MATCH('County Scaled Consumption '!$B694,Production_Consumption!$AA$83:$AA$99,0),MATCH('County Scaled Consumption '!K$2,Production_Consumption!$AA$83:$AJ$83,0)))*'CA Population'!$L694*10^6</f>
        <v>259477.16828981994</v>
      </c>
      <c r="L694" s="131">
        <f t="shared" si="10"/>
        <v>0</v>
      </c>
    </row>
    <row r="695" spans="1:12" x14ac:dyDescent="0.2">
      <c r="A695" s="132" t="s">
        <v>348</v>
      </c>
      <c r="B695" s="129">
        <v>2009</v>
      </c>
      <c r="C695" s="143">
        <f>(INDEX(Production_Consumption!$AA$83:$AJ$99,MATCH('County Scaled Consumption '!$B695,Production_Consumption!$AA$83:$AA$99,0),MATCH('County Scaled Consumption '!C$2,Production_Consumption!$AA$83:$AJ$83,0)))*'CA Population'!$L695*10^6</f>
        <v>2920.0001070129902</v>
      </c>
      <c r="D695" s="143">
        <f>(INDEX(Production_Consumption!$AA$83:$AJ$99,MATCH('County Scaled Consumption '!$B695,Production_Consumption!$AA$83:$AA$99,0),MATCH('County Scaled Consumption '!D$2,Production_Consumption!$AA$83:$AJ$83,0)))*'CA Population'!$L695*10^6</f>
        <v>11866.457852162879</v>
      </c>
      <c r="E695" s="143">
        <f>(INDEX(Production_Consumption!$AA$83:$AJ$99,MATCH('County Scaled Consumption '!$B695,Production_Consumption!$AA$83:$AA$99,0),MATCH('County Scaled Consumption '!E$2,Production_Consumption!$AA$83:$AJ$83,0)))*'CA Population'!$L695*10^6</f>
        <v>5942.0269586213735</v>
      </c>
      <c r="F695" s="143">
        <f>(INDEX(Production_Consumption!$AA$83:$AJ$99,MATCH('County Scaled Consumption '!$B695,Production_Consumption!$AA$83:$AA$99,0),MATCH('County Scaled Consumption '!F$2,Production_Consumption!$AA$83:$AJ$83,0)))*'CA Population'!$L695*10^6</f>
        <v>2764.2949638058053</v>
      </c>
      <c r="G695" s="143">
        <f>(INDEX(Production_Consumption!$AA$83:$AJ$99,MATCH('County Scaled Consumption '!$B695,Production_Consumption!$AA$83:$AA$99,0),MATCH('County Scaled Consumption '!G$2,Production_Consumption!$AA$83:$AJ$83,0)))*'CA Population'!$L695*10^6</f>
        <v>7874.7956604404653</v>
      </c>
      <c r="H695" s="143">
        <f>(INDEX(Production_Consumption!$AA$83:$AJ$99,MATCH('County Scaled Consumption '!$B695,Production_Consumption!$AA$83:$AA$99,0),MATCH('County Scaled Consumption '!H$2,Production_Consumption!$AA$83:$AJ$83,0)))*'CA Population'!$L695*10^6</f>
        <v>220.07193418478772</v>
      </c>
      <c r="I695" s="143">
        <f>(INDEX(Production_Consumption!$AA$83:$AJ$99,MATCH('County Scaled Consumption '!$B695,Production_Consumption!$AA$83:$AA$99,0),MATCH('County Scaled Consumption '!I$2,Production_Consumption!$AA$83:$AJ$83,0)))*'CA Population'!$L695*10^6</f>
        <v>3785.1441458081495</v>
      </c>
      <c r="J695" s="143">
        <f>(INDEX(Production_Consumption!$AA$83:$AJ$99,MATCH('County Scaled Consumption '!$B695,Production_Consumption!$AA$83:$AA$99,0),MATCH('County Scaled Consumption '!J$2,Production_Consumption!$AA$83:$AJ$83,0)))*'CA Population'!$L695*10^6</f>
        <v>2933.7747899158257</v>
      </c>
      <c r="K695" s="143">
        <f>(INDEX(Production_Consumption!$AA$83:$AJ$99,MATCH('County Scaled Consumption '!$B695,Production_Consumption!$AA$83:$AA$99,0),MATCH('County Scaled Consumption '!K$2,Production_Consumption!$AA$83:$AJ$83,0)))*'CA Population'!$L695*10^6</f>
        <v>38306.56641195227</v>
      </c>
      <c r="L695" s="131">
        <f t="shared" si="10"/>
        <v>0</v>
      </c>
    </row>
    <row r="696" spans="1:12" x14ac:dyDescent="0.2">
      <c r="A696" s="132" t="s">
        <v>349</v>
      </c>
      <c r="B696" s="129">
        <v>2009</v>
      </c>
      <c r="C696" s="143">
        <f>(INDEX(Production_Consumption!$AA$83:$AJ$99,MATCH('County Scaled Consumption '!$B696,Production_Consumption!$AA$83:$AA$99,0),MATCH('County Scaled Consumption '!C$2,Production_Consumption!$AA$83:$AJ$83,0)))*'CA Population'!$L696*10^6</f>
        <v>1978.3187637612043</v>
      </c>
      <c r="D696" s="143">
        <f>(INDEX(Production_Consumption!$AA$83:$AJ$99,MATCH('County Scaled Consumption '!$B696,Production_Consumption!$AA$83:$AA$99,0),MATCH('County Scaled Consumption '!D$2,Production_Consumption!$AA$83:$AJ$83,0)))*'CA Population'!$L696*10^6</f>
        <v>8039.6011534155969</v>
      </c>
      <c r="E696" s="143">
        <f>(INDEX(Production_Consumption!$AA$83:$AJ$99,MATCH('County Scaled Consumption '!$B696,Production_Consumption!$AA$83:$AA$99,0),MATCH('County Scaled Consumption '!E$2,Production_Consumption!$AA$83:$AJ$83,0)))*'CA Population'!$L696*10^6</f>
        <v>4025.761300070832</v>
      </c>
      <c r="F696" s="143">
        <f>(INDEX(Production_Consumption!$AA$83:$AJ$99,MATCH('County Scaled Consumption '!$B696,Production_Consumption!$AA$83:$AA$99,0),MATCH('County Scaled Consumption '!F$2,Production_Consumption!$AA$83:$AJ$83,0)))*'CA Population'!$L696*10^6</f>
        <v>1872.8275325516261</v>
      </c>
      <c r="G696" s="143">
        <f>(INDEX(Production_Consumption!$AA$83:$AJ$99,MATCH('County Scaled Consumption '!$B696,Production_Consumption!$AA$83:$AA$99,0),MATCH('County Scaled Consumption '!G$2,Production_Consumption!$AA$83:$AJ$83,0)))*'CA Population'!$L696*10^6</f>
        <v>5335.2244674302574</v>
      </c>
      <c r="H696" s="143">
        <f>(INDEX(Production_Consumption!$AA$83:$AJ$99,MATCH('County Scaled Consumption '!$B696,Production_Consumption!$AA$83:$AA$99,0),MATCH('County Scaled Consumption '!H$2,Production_Consumption!$AA$83:$AJ$83,0)))*'CA Population'!$L696*10^6</f>
        <v>149.10014411621032</v>
      </c>
      <c r="I696" s="143">
        <f>(INDEX(Production_Consumption!$AA$83:$AJ$99,MATCH('County Scaled Consumption '!$B696,Production_Consumption!$AA$83:$AA$99,0),MATCH('County Scaled Consumption '!I$2,Production_Consumption!$AA$83:$AJ$83,0)))*'CA Population'!$L696*10^6</f>
        <v>2564.4593879324216</v>
      </c>
      <c r="J696" s="143">
        <f>(INDEX(Production_Consumption!$AA$83:$AJ$99,MATCH('County Scaled Consumption '!$B696,Production_Consumption!$AA$83:$AA$99,0),MATCH('County Scaled Consumption '!J$2,Production_Consumption!$AA$83:$AJ$83,0)))*'CA Population'!$L696*10^6</f>
        <v>1987.6511996012205</v>
      </c>
      <c r="K696" s="143">
        <f>(INDEX(Production_Consumption!$AA$83:$AJ$99,MATCH('County Scaled Consumption '!$B696,Production_Consumption!$AA$83:$AA$99,0),MATCH('County Scaled Consumption '!K$2,Production_Consumption!$AA$83:$AJ$83,0)))*'CA Population'!$L696*10^6</f>
        <v>25952.943948879365</v>
      </c>
      <c r="L696" s="131">
        <f t="shared" si="10"/>
        <v>0</v>
      </c>
    </row>
    <row r="697" spans="1:12" x14ac:dyDescent="0.2">
      <c r="A697" s="132" t="s">
        <v>350</v>
      </c>
      <c r="B697" s="129">
        <v>2009</v>
      </c>
      <c r="C697" s="143">
        <f>(INDEX(Production_Consumption!$AA$83:$AJ$99,MATCH('County Scaled Consumption '!$B697,Production_Consumption!$AA$83:$AA$99,0),MATCH('County Scaled Consumption '!C$2,Production_Consumption!$AA$83:$AJ$83,0)))*'CA Population'!$L697*10^6</f>
        <v>36.531899595581315</v>
      </c>
      <c r="D697" s="143">
        <f>(INDEX(Production_Consumption!$AA$83:$AJ$99,MATCH('County Scaled Consumption '!$B697,Production_Consumption!$AA$83:$AA$99,0),MATCH('County Scaled Consumption '!D$2,Production_Consumption!$AA$83:$AJ$83,0)))*'CA Population'!$L697*10^6</f>
        <v>148.46035305589913</v>
      </c>
      <c r="E697" s="143">
        <f>(INDEX(Production_Consumption!$AA$83:$AJ$99,MATCH('County Scaled Consumption '!$B697,Production_Consumption!$AA$83:$AA$99,0),MATCH('County Scaled Consumption '!E$2,Production_Consumption!$AA$83:$AJ$83,0)))*'CA Population'!$L697*10^6</f>
        <v>74.340248044938761</v>
      </c>
      <c r="F697" s="143">
        <f>(INDEX(Production_Consumption!$AA$83:$AJ$99,MATCH('County Scaled Consumption '!$B697,Production_Consumption!$AA$83:$AA$99,0),MATCH('County Scaled Consumption '!F$2,Production_Consumption!$AA$83:$AJ$83,0)))*'CA Population'!$L697*10^6</f>
        <v>34.583884373082149</v>
      </c>
      <c r="G697" s="143">
        <f>(INDEX(Production_Consumption!$AA$83:$AJ$99,MATCH('County Scaled Consumption '!$B697,Production_Consumption!$AA$83:$AA$99,0),MATCH('County Scaled Consumption '!G$2,Production_Consumption!$AA$83:$AJ$83,0)))*'CA Population'!$L697*10^6</f>
        <v>98.520970499968101</v>
      </c>
      <c r="H697" s="143">
        <f>(INDEX(Production_Consumption!$AA$83:$AJ$99,MATCH('County Scaled Consumption '!$B697,Production_Consumption!$AA$83:$AA$99,0),MATCH('County Scaled Consumption '!H$2,Production_Consumption!$AA$83:$AJ$83,0)))*'CA Population'!$L697*10^6</f>
        <v>2.7533032564400104</v>
      </c>
      <c r="I697" s="143">
        <f>(INDEX(Production_Consumption!$AA$83:$AJ$99,MATCH('County Scaled Consumption '!$B697,Production_Consumption!$AA$83:$AA$99,0),MATCH('County Scaled Consumption '!I$2,Production_Consumption!$AA$83:$AJ$83,0)))*'CA Population'!$L697*10^6</f>
        <v>47.355650966368465</v>
      </c>
      <c r="J697" s="143">
        <f>(INDEX(Production_Consumption!$AA$83:$AJ$99,MATCH('County Scaled Consumption '!$B697,Production_Consumption!$AA$83:$AA$99,0),MATCH('County Scaled Consumption '!J$2,Production_Consumption!$AA$83:$AJ$83,0)))*'CA Population'!$L697*10^6</f>
        <v>36.704233607336576</v>
      </c>
      <c r="K697" s="143">
        <f>(INDEX(Production_Consumption!$AA$83:$AJ$99,MATCH('County Scaled Consumption '!$B697,Production_Consumption!$AA$83:$AA$99,0),MATCH('County Scaled Consumption '!K$2,Production_Consumption!$AA$83:$AJ$83,0)))*'CA Population'!$L697*10^6</f>
        <v>479.25054339961446</v>
      </c>
      <c r="L697" s="131">
        <f t="shared" si="10"/>
        <v>0</v>
      </c>
    </row>
    <row r="698" spans="1:12" x14ac:dyDescent="0.2">
      <c r="A698" s="132" t="s">
        <v>351</v>
      </c>
      <c r="B698" s="129">
        <v>2009</v>
      </c>
      <c r="C698" s="143">
        <f>(INDEX(Production_Consumption!$AA$83:$AJ$99,MATCH('County Scaled Consumption '!$B698,Production_Consumption!$AA$83:$AA$99,0),MATCH('County Scaled Consumption '!C$2,Production_Consumption!$AA$83:$AJ$83,0)))*'CA Population'!$L698*10^6</f>
        <v>503.61193449839982</v>
      </c>
      <c r="D698" s="143">
        <f>(INDEX(Production_Consumption!$AA$83:$AJ$99,MATCH('County Scaled Consumption '!$B698,Production_Consumption!$AA$83:$AA$99,0),MATCH('County Scaled Consumption '!D$2,Production_Consumption!$AA$83:$AJ$83,0)))*'CA Population'!$L698*10^6</f>
        <v>2046.6060190267272</v>
      </c>
      <c r="E698" s="143">
        <f>(INDEX(Production_Consumption!$AA$83:$AJ$99,MATCH('County Scaled Consumption '!$B698,Production_Consumption!$AA$83:$AA$99,0),MATCH('County Scaled Consumption '!E$2,Production_Consumption!$AA$83:$AJ$83,0)))*'CA Population'!$L698*10^6</f>
        <v>1024.8204047273482</v>
      </c>
      <c r="F698" s="143">
        <f>(INDEX(Production_Consumption!$AA$83:$AJ$99,MATCH('County Scaled Consumption '!$B698,Production_Consumption!$AA$83:$AA$99,0),MATCH('County Scaled Consumption '!F$2,Production_Consumption!$AA$83:$AJ$83,0)))*'CA Population'!$L698*10^6</f>
        <v>476.75749425588367</v>
      </c>
      <c r="G698" s="143">
        <f>(INDEX(Production_Consumption!$AA$83:$AJ$99,MATCH('County Scaled Consumption '!$B698,Production_Consumption!$AA$83:$AA$99,0),MATCH('County Scaled Consumption '!G$2,Production_Consumption!$AA$83:$AJ$83,0)))*'CA Population'!$L698*10^6</f>
        <v>1358.1647023947808</v>
      </c>
      <c r="H698" s="143">
        <f>(INDEX(Production_Consumption!$AA$83:$AJ$99,MATCH('County Scaled Consumption '!$B698,Production_Consumption!$AA$83:$AA$99,0),MATCH('County Scaled Consumption '!H$2,Production_Consumption!$AA$83:$AJ$83,0)))*'CA Population'!$L698*10^6</f>
        <v>37.95577001433049</v>
      </c>
      <c r="I698" s="143">
        <f>(INDEX(Production_Consumption!$AA$83:$AJ$99,MATCH('County Scaled Consumption '!$B698,Production_Consumption!$AA$83:$AA$99,0),MATCH('County Scaled Consumption '!I$2,Production_Consumption!$AA$83:$AJ$83,0)))*'CA Population'!$L698*10^6</f>
        <v>652.82318348122408</v>
      </c>
      <c r="J698" s="143">
        <f>(INDEX(Production_Consumption!$AA$83:$AJ$99,MATCH('County Scaled Consumption '!$B698,Production_Consumption!$AA$83:$AA$99,0),MATCH('County Scaled Consumption '!J$2,Production_Consumption!$AA$83:$AJ$83,0)))*'CA Population'!$L698*10^6</f>
        <v>505.98765177564849</v>
      </c>
      <c r="K698" s="143">
        <f>(INDEX(Production_Consumption!$AA$83:$AJ$99,MATCH('County Scaled Consumption '!$B698,Production_Consumption!$AA$83:$AA$99,0),MATCH('County Scaled Consumption '!K$2,Production_Consumption!$AA$83:$AJ$83,0)))*'CA Population'!$L698*10^6</f>
        <v>6606.7271601743423</v>
      </c>
      <c r="L698" s="131">
        <f t="shared" si="10"/>
        <v>0</v>
      </c>
    </row>
    <row r="699" spans="1:12" x14ac:dyDescent="0.2">
      <c r="A699" s="132" t="s">
        <v>352</v>
      </c>
      <c r="B699" s="129">
        <v>2009</v>
      </c>
      <c r="C699" s="143">
        <f>(INDEX(Production_Consumption!$AA$83:$AJ$99,MATCH('County Scaled Consumption '!$B699,Production_Consumption!$AA$83:$AA$99,0),MATCH('County Scaled Consumption '!C$2,Production_Consumption!$AA$83:$AJ$83,0)))*'CA Population'!$L699*10^6</f>
        <v>4620.5689870842598</v>
      </c>
      <c r="D699" s="143">
        <f>(INDEX(Production_Consumption!$AA$83:$AJ$99,MATCH('County Scaled Consumption '!$B699,Production_Consumption!$AA$83:$AA$99,0),MATCH('County Scaled Consumption '!D$2,Production_Consumption!$AA$83:$AJ$83,0)))*'CA Population'!$L699*10^6</f>
        <v>18777.323674256415</v>
      </c>
      <c r="E699" s="143">
        <f>(INDEX(Production_Consumption!$AA$83:$AJ$99,MATCH('County Scaled Consumption '!$B699,Production_Consumption!$AA$83:$AA$99,0),MATCH('County Scaled Consumption '!E$2,Production_Consumption!$AA$83:$AJ$83,0)))*'CA Population'!$L699*10^6</f>
        <v>9402.5837257623043</v>
      </c>
      <c r="F699" s="143">
        <f>(INDEX(Production_Consumption!$AA$83:$AJ$99,MATCH('County Scaled Consumption '!$B699,Production_Consumption!$AA$83:$AA$99,0),MATCH('County Scaled Consumption '!F$2,Production_Consumption!$AA$83:$AJ$83,0)))*'CA Population'!$L699*10^6</f>
        <v>4374.183257815027</v>
      </c>
      <c r="G699" s="143">
        <f>(INDEX(Production_Consumption!$AA$83:$AJ$99,MATCH('County Scaled Consumption '!$B699,Production_Consumption!$AA$83:$AA$99,0),MATCH('County Scaled Consumption '!G$2,Production_Consumption!$AA$83:$AJ$83,0)))*'CA Population'!$L699*10^6</f>
        <v>12460.970984510672</v>
      </c>
      <c r="H699" s="143">
        <f>(INDEX(Production_Consumption!$AA$83:$AJ$99,MATCH('County Scaled Consumption '!$B699,Production_Consumption!$AA$83:$AA$99,0),MATCH('County Scaled Consumption '!H$2,Production_Consumption!$AA$83:$AJ$83,0)))*'CA Population'!$L699*10^6</f>
        <v>348.2388756012997</v>
      </c>
      <c r="I699" s="143">
        <f>(INDEX(Production_Consumption!$AA$83:$AJ$99,MATCH('County Scaled Consumption '!$B699,Production_Consumption!$AA$83:$AA$99,0),MATCH('County Scaled Consumption '!I$2,Production_Consumption!$AA$83:$AJ$83,0)))*'CA Population'!$L699*10^6</f>
        <v>5989.5613050697993</v>
      </c>
      <c r="J699" s="143">
        <f>(INDEX(Production_Consumption!$AA$83:$AJ$99,MATCH('County Scaled Consumption '!$B699,Production_Consumption!$AA$83:$AA$99,0),MATCH('County Scaled Consumption '!J$2,Production_Consumption!$AA$83:$AJ$83,0)))*'CA Population'!$L699*10^6</f>
        <v>4642.3658604730308</v>
      </c>
      <c r="K699" s="143">
        <f>(INDEX(Production_Consumption!$AA$83:$AJ$99,MATCH('County Scaled Consumption '!$B699,Production_Consumption!$AA$83:$AA$99,0),MATCH('County Scaled Consumption '!K$2,Production_Consumption!$AA$83:$AJ$83,0)))*'CA Population'!$L699*10^6</f>
        <v>60615.796670572803</v>
      </c>
      <c r="L699" s="131">
        <f t="shared" si="10"/>
        <v>0</v>
      </c>
    </row>
    <row r="700" spans="1:12" x14ac:dyDescent="0.2">
      <c r="A700" s="132" t="s">
        <v>353</v>
      </c>
      <c r="B700" s="129">
        <v>2009</v>
      </c>
      <c r="C700" s="143">
        <f>(INDEX(Production_Consumption!$AA$83:$AJ$99,MATCH('County Scaled Consumption '!$B700,Production_Consumption!$AA$83:$AA$99,0),MATCH('County Scaled Consumption '!C$2,Production_Consumption!$AA$83:$AJ$83,0)))*'CA Population'!$L700*10^6</f>
        <v>5356.9150883076964</v>
      </c>
      <c r="D700" s="143">
        <f>(INDEX(Production_Consumption!$AA$83:$AJ$99,MATCH('County Scaled Consumption '!$B700,Production_Consumption!$AA$83:$AA$99,0),MATCH('County Scaled Consumption '!D$2,Production_Consumption!$AA$83:$AJ$83,0)))*'CA Population'!$L700*10^6</f>
        <v>21769.727665539387</v>
      </c>
      <c r="E700" s="143">
        <f>(INDEX(Production_Consumption!$AA$83:$AJ$99,MATCH('County Scaled Consumption '!$B700,Production_Consumption!$AA$83:$AA$99,0),MATCH('County Scaled Consumption '!E$2,Production_Consumption!$AA$83:$AJ$83,0)))*'CA Population'!$L700*10^6</f>
        <v>10901.004350418103</v>
      </c>
      <c r="F700" s="143">
        <f>(INDEX(Production_Consumption!$AA$83:$AJ$99,MATCH('County Scaled Consumption '!$B700,Production_Consumption!$AA$83:$AA$99,0),MATCH('County Scaled Consumption '!F$2,Production_Consumption!$AA$83:$AJ$83,0)))*'CA Population'!$L700*10^6</f>
        <v>5071.2646772099652</v>
      </c>
      <c r="G700" s="143">
        <f>(INDEX(Production_Consumption!$AA$83:$AJ$99,MATCH('County Scaled Consumption '!$B700,Production_Consumption!$AA$83:$AA$99,0),MATCH('County Scaled Consumption '!G$2,Production_Consumption!$AA$83:$AJ$83,0)))*'CA Population'!$L700*10^6</f>
        <v>14446.784296150654</v>
      </c>
      <c r="H700" s="143">
        <f>(INDEX(Production_Consumption!$AA$83:$AJ$99,MATCH('County Scaled Consumption '!$B700,Production_Consumption!$AA$83:$AA$99,0),MATCH('County Scaled Consumption '!H$2,Production_Consumption!$AA$83:$AJ$83,0)))*'CA Population'!$L700*10^6</f>
        <v>403.73514436391872</v>
      </c>
      <c r="I700" s="143">
        <f>(INDEX(Production_Consumption!$AA$83:$AJ$99,MATCH('County Scaled Consumption '!$B700,Production_Consumption!$AA$83:$AA$99,0),MATCH('County Scaled Consumption '!I$2,Production_Consumption!$AA$83:$AJ$83,0)))*'CA Population'!$L700*10^6</f>
        <v>6944.073644860664</v>
      </c>
      <c r="J700" s="143">
        <f>(INDEX(Production_Consumption!$AA$83:$AJ$99,MATCH('County Scaled Consumption '!$B700,Production_Consumption!$AA$83:$AA$99,0),MATCH('County Scaled Consumption '!J$2,Production_Consumption!$AA$83:$AJ$83,0)))*'CA Population'!$L700*10^6</f>
        <v>5382.1855691209093</v>
      </c>
      <c r="K700" s="143">
        <f>(INDEX(Production_Consumption!$AA$83:$AJ$99,MATCH('County Scaled Consumption '!$B700,Production_Consumption!$AA$83:$AA$99,0),MATCH('County Scaled Consumption '!K$2,Production_Consumption!$AA$83:$AJ$83,0)))*'CA Population'!$L700*10^6</f>
        <v>70275.690435971293</v>
      </c>
      <c r="L700" s="131">
        <f t="shared" si="10"/>
        <v>0</v>
      </c>
    </row>
    <row r="701" spans="1:12" x14ac:dyDescent="0.2">
      <c r="A701" s="132" t="s">
        <v>354</v>
      </c>
      <c r="B701" s="129">
        <v>2009</v>
      </c>
      <c r="C701" s="143">
        <f>(INDEX(Production_Consumption!$AA$83:$AJ$99,MATCH('County Scaled Consumption '!$B701,Production_Consumption!$AA$83:$AA$99,0),MATCH('County Scaled Consumption '!C$2,Production_Consumption!$AA$83:$AJ$83,0)))*'CA Population'!$L701*10^6</f>
        <v>5721.8311589003224</v>
      </c>
      <c r="D701" s="143">
        <f>(INDEX(Production_Consumption!$AA$83:$AJ$99,MATCH('County Scaled Consumption '!$B701,Production_Consumption!$AA$83:$AA$99,0),MATCH('County Scaled Consumption '!D$2,Production_Consumption!$AA$83:$AJ$83,0)))*'CA Population'!$L701*10^6</f>
        <v>23252.693765733791</v>
      </c>
      <c r="E701" s="143">
        <f>(INDEX(Production_Consumption!$AA$83:$AJ$99,MATCH('County Scaled Consumption '!$B701,Production_Consumption!$AA$83:$AA$99,0),MATCH('County Scaled Consumption '!E$2,Production_Consumption!$AA$83:$AJ$83,0)))*'CA Population'!$L701*10^6</f>
        <v>11643.58690166111</v>
      </c>
      <c r="F701" s="143">
        <f>(INDEX(Production_Consumption!$AA$83:$AJ$99,MATCH('County Scaled Consumption '!$B701,Production_Consumption!$AA$83:$AA$99,0),MATCH('County Scaled Consumption '!F$2,Production_Consumption!$AA$83:$AJ$83,0)))*'CA Population'!$L701*10^6</f>
        <v>5416.722081039612</v>
      </c>
      <c r="G701" s="143">
        <f>(INDEX(Production_Consumption!$AA$83:$AJ$99,MATCH('County Scaled Consumption '!$B701,Production_Consumption!$AA$83:$AA$99,0),MATCH('County Scaled Consumption '!G$2,Production_Consumption!$AA$83:$AJ$83,0)))*'CA Population'!$L701*10^6</f>
        <v>15430.907372799231</v>
      </c>
      <c r="H701" s="143">
        <f>(INDEX(Production_Consumption!$AA$83:$AJ$99,MATCH('County Scaled Consumption '!$B701,Production_Consumption!$AA$83:$AA$99,0),MATCH('County Scaled Consumption '!H$2,Production_Consumption!$AA$83:$AJ$83,0)))*'CA Population'!$L701*10^6</f>
        <v>431.23780961299042</v>
      </c>
      <c r="I701" s="143">
        <f>(INDEX(Production_Consumption!$AA$83:$AJ$99,MATCH('County Scaled Consumption '!$B701,Production_Consumption!$AA$83:$AA$99,0),MATCH('County Scaled Consumption '!I$2,Production_Consumption!$AA$83:$AJ$83,0)))*'CA Population'!$L701*10^6</f>
        <v>7417.1078495504544</v>
      </c>
      <c r="J701" s="143">
        <f>(INDEX(Production_Consumption!$AA$83:$AJ$99,MATCH('County Scaled Consumption '!$B701,Production_Consumption!$AA$83:$AA$99,0),MATCH('County Scaled Consumption '!J$2,Production_Consumption!$AA$83:$AJ$83,0)))*'CA Population'!$L701*10^6</f>
        <v>5748.8230790883117</v>
      </c>
      <c r="K701" s="143">
        <f>(INDEX(Production_Consumption!$AA$83:$AJ$99,MATCH('County Scaled Consumption '!$B701,Production_Consumption!$AA$83:$AA$99,0),MATCH('County Scaled Consumption '!K$2,Production_Consumption!$AA$83:$AJ$83,0)))*'CA Population'!$L701*10^6</f>
        <v>75062.91001838581</v>
      </c>
      <c r="L701" s="131">
        <f t="shared" si="10"/>
        <v>0</v>
      </c>
    </row>
    <row r="702" spans="1:12" x14ac:dyDescent="0.2">
      <c r="A702" s="132" t="s">
        <v>355</v>
      </c>
      <c r="B702" s="129">
        <v>2009</v>
      </c>
      <c r="C702" s="143">
        <f>(INDEX(Production_Consumption!$AA$83:$AJ$99,MATCH('County Scaled Consumption '!$B702,Production_Consumption!$AA$83:$AA$99,0),MATCH('County Scaled Consumption '!C$2,Production_Consumption!$AA$83:$AJ$83,0)))*'CA Population'!$L702*10^6</f>
        <v>1051.1651183265337</v>
      </c>
      <c r="D702" s="143">
        <f>(INDEX(Production_Consumption!$AA$83:$AJ$99,MATCH('County Scaled Consumption '!$B702,Production_Consumption!$AA$83:$AA$99,0),MATCH('County Scaled Consumption '!D$2,Production_Consumption!$AA$83:$AJ$83,0)))*'CA Population'!$L702*10^6</f>
        <v>4271.7829161470381</v>
      </c>
      <c r="E702" s="143">
        <f>(INDEX(Production_Consumption!$AA$83:$AJ$99,MATCH('County Scaled Consumption '!$B702,Production_Consumption!$AA$83:$AA$99,0),MATCH('County Scaled Consumption '!E$2,Production_Consumption!$AA$83:$AJ$83,0)))*'CA Population'!$L702*10^6</f>
        <v>2139.0586445724753</v>
      </c>
      <c r="F702" s="143">
        <f>(INDEX(Production_Consumption!$AA$83:$AJ$99,MATCH('County Scaled Consumption '!$B702,Production_Consumption!$AA$83:$AA$99,0),MATCH('County Scaled Consumption '!F$2,Production_Consumption!$AA$83:$AJ$83,0)))*'CA Population'!$L702*10^6</f>
        <v>995.11312884532151</v>
      </c>
      <c r="G702" s="143">
        <f>(INDEX(Production_Consumption!$AA$83:$AJ$99,MATCH('County Scaled Consumption '!$B702,Production_Consumption!$AA$83:$AA$99,0),MATCH('County Scaled Consumption '!G$2,Production_Consumption!$AA$83:$AJ$83,0)))*'CA Population'!$L702*10^6</f>
        <v>2834.8322633014714</v>
      </c>
      <c r="H702" s="143">
        <f>(INDEX(Production_Consumption!$AA$83:$AJ$99,MATCH('County Scaled Consumption '!$B702,Production_Consumption!$AA$83:$AA$99,0),MATCH('County Scaled Consumption '!H$2,Production_Consumption!$AA$83:$AJ$83,0)))*'CA Population'!$L702*10^6</f>
        <v>79.223264472528456</v>
      </c>
      <c r="I702" s="143">
        <f>(INDEX(Production_Consumption!$AA$83:$AJ$99,MATCH('County Scaled Consumption '!$B702,Production_Consumption!$AA$83:$AA$99,0),MATCH('County Scaled Consumption '!I$2,Production_Consumption!$AA$83:$AJ$83,0)))*'CA Population'!$L702*10^6</f>
        <v>1362.6066260598632</v>
      </c>
      <c r="J702" s="143">
        <f>(INDEX(Production_Consumption!$AA$83:$AJ$99,MATCH('County Scaled Consumption '!$B702,Production_Consumption!$AA$83:$AA$99,0),MATCH('County Scaled Consumption '!J$2,Production_Consumption!$AA$83:$AJ$83,0)))*'CA Population'!$L702*10^6</f>
        <v>1056.1238394405138</v>
      </c>
      <c r="K702" s="143">
        <f>(INDEX(Production_Consumption!$AA$83:$AJ$99,MATCH('County Scaled Consumption '!$B702,Production_Consumption!$AA$83:$AA$99,0),MATCH('County Scaled Consumption '!K$2,Production_Consumption!$AA$83:$AJ$83,0)))*'CA Population'!$L702*10^6</f>
        <v>13789.905801165745</v>
      </c>
      <c r="L702" s="131">
        <f t="shared" si="10"/>
        <v>0</v>
      </c>
    </row>
    <row r="703" spans="1:12" x14ac:dyDescent="0.2">
      <c r="A703" s="132" t="s">
        <v>356</v>
      </c>
      <c r="B703" s="129">
        <v>2009</v>
      </c>
      <c r="C703" s="143">
        <f>(INDEX(Production_Consumption!$AA$83:$AJ$99,MATCH('County Scaled Consumption '!$B703,Production_Consumption!$AA$83:$AA$99,0),MATCH('County Scaled Consumption '!C$2,Production_Consumption!$AA$83:$AJ$83,0)))*'CA Population'!$L703*10^6</f>
        <v>704.23518825170709</v>
      </c>
      <c r="D703" s="143">
        <f>(INDEX(Production_Consumption!$AA$83:$AJ$99,MATCH('County Scaled Consumption '!$B703,Production_Consumption!$AA$83:$AA$99,0),MATCH('County Scaled Consumption '!D$2,Production_Consumption!$AA$83:$AJ$83,0)))*'CA Population'!$L703*10^6</f>
        <v>2861.9098880607321</v>
      </c>
      <c r="E703" s="143">
        <f>(INDEX(Production_Consumption!$AA$83:$AJ$99,MATCH('County Scaled Consumption '!$B703,Production_Consumption!$AA$83:$AA$99,0),MATCH('County Scaled Consumption '!E$2,Production_Consumption!$AA$83:$AJ$83,0)))*'CA Population'!$L703*10^6</f>
        <v>1433.076822069728</v>
      </c>
      <c r="F703" s="143">
        <f>(INDEX(Production_Consumption!$AA$83:$AJ$99,MATCH('County Scaled Consumption '!$B703,Production_Consumption!$AA$83:$AA$99,0),MATCH('County Scaled Consumption '!F$2,Production_Consumption!$AA$83:$AJ$83,0)))*'CA Population'!$L703*10^6</f>
        <v>666.68277838195525</v>
      </c>
      <c r="G703" s="143">
        <f>(INDEX(Production_Consumption!$AA$83:$AJ$99,MATCH('County Scaled Consumption '!$B703,Production_Consumption!$AA$83:$AA$99,0),MATCH('County Scaled Consumption '!G$2,Production_Consumption!$AA$83:$AJ$83,0)))*'CA Population'!$L703*10^6</f>
        <v>1899.2150688812783</v>
      </c>
      <c r="H703" s="143">
        <f>(INDEX(Production_Consumption!$AA$83:$AJ$99,MATCH('County Scaled Consumption '!$B703,Production_Consumption!$AA$83:$AA$99,0),MATCH('County Scaled Consumption '!H$2,Production_Consumption!$AA$83:$AJ$83,0)))*'CA Population'!$L703*10^6</f>
        <v>53.076162438254258</v>
      </c>
      <c r="I703" s="143">
        <f>(INDEX(Production_Consumption!$AA$83:$AJ$99,MATCH('County Scaled Consumption '!$B703,Production_Consumption!$AA$83:$AA$99,0),MATCH('County Scaled Consumption '!I$2,Production_Consumption!$AA$83:$AJ$83,0)))*'CA Population'!$L703*10^6</f>
        <v>912.88753506583032</v>
      </c>
      <c r="J703" s="143">
        <f>(INDEX(Production_Consumption!$AA$83:$AJ$99,MATCH('County Scaled Consumption '!$B703,Production_Consumption!$AA$83:$AA$99,0),MATCH('County Scaled Consumption '!J$2,Production_Consumption!$AA$83:$AJ$83,0)))*'CA Population'!$L703*10^6</f>
        <v>707.55731703652725</v>
      </c>
      <c r="K703" s="143">
        <f>(INDEX(Production_Consumption!$AA$83:$AJ$99,MATCH('County Scaled Consumption '!$B703,Production_Consumption!$AA$83:$AA$99,0),MATCH('County Scaled Consumption '!K$2,Production_Consumption!$AA$83:$AJ$83,0)))*'CA Population'!$L703*10^6</f>
        <v>9238.6407601860119</v>
      </c>
      <c r="L703" s="131">
        <f t="shared" si="10"/>
        <v>0</v>
      </c>
    </row>
    <row r="704" spans="1:12" x14ac:dyDescent="0.2">
      <c r="A704" s="132" t="s">
        <v>357</v>
      </c>
      <c r="B704" s="129">
        <v>2009</v>
      </c>
      <c r="C704" s="143">
        <f>(INDEX(Production_Consumption!$AA$83:$AJ$99,MATCH('County Scaled Consumption '!$B704,Production_Consumption!$AA$83:$AA$99,0),MATCH('County Scaled Consumption '!C$2,Production_Consumption!$AA$83:$AJ$83,0)))*'CA Population'!$L704*10^6</f>
        <v>153.89510399486616</v>
      </c>
      <c r="D704" s="143">
        <f>(INDEX(Production_Consumption!$AA$83:$AJ$99,MATCH('County Scaled Consumption '!$B704,Production_Consumption!$AA$83:$AA$99,0),MATCH('County Scaled Consumption '!D$2,Production_Consumption!$AA$83:$AJ$83,0)))*'CA Population'!$L704*10^6</f>
        <v>625.40743091869274</v>
      </c>
      <c r="E704" s="143">
        <f>(INDEX(Production_Consumption!$AA$83:$AJ$99,MATCH('County Scaled Consumption '!$B704,Production_Consumption!$AA$83:$AA$99,0),MATCH('County Scaled Consumption '!E$2,Production_Consumption!$AA$83:$AJ$83,0)))*'CA Population'!$L704*10^6</f>
        <v>313.1674052138199</v>
      </c>
      <c r="F704" s="143">
        <f>(INDEX(Production_Consumption!$AA$83:$AJ$99,MATCH('County Scaled Consumption '!$B704,Production_Consumption!$AA$83:$AA$99,0),MATCH('County Scaled Consumption '!F$2,Production_Consumption!$AA$83:$AJ$83,0)))*'CA Population'!$L704*10^6</f>
        <v>145.68885114273269</v>
      </c>
      <c r="G704" s="143">
        <f>(INDEX(Production_Consumption!$AA$83:$AJ$99,MATCH('County Scaled Consumption '!$B704,Production_Consumption!$AA$83:$AA$99,0),MATCH('County Scaled Consumption '!G$2,Production_Consumption!$AA$83:$AJ$83,0)))*'CA Population'!$L704*10^6</f>
        <v>415.03166187946118</v>
      </c>
      <c r="H704" s="143">
        <f>(INDEX(Production_Consumption!$AA$83:$AJ$99,MATCH('County Scaled Consumption '!$B704,Production_Consumption!$AA$83:$AA$99,0),MATCH('County Scaled Consumption '!H$2,Production_Consumption!$AA$83:$AJ$83,0)))*'CA Population'!$L704*10^6</f>
        <v>11.598627382368305</v>
      </c>
      <c r="I704" s="143">
        <f>(INDEX(Production_Consumption!$AA$83:$AJ$99,MATCH('County Scaled Consumption '!$B704,Production_Consumption!$AA$83:$AA$99,0),MATCH('County Scaled Consumption '!I$2,Production_Consumption!$AA$83:$AJ$83,0)))*'CA Population'!$L704*10^6</f>
        <v>199.49148308442597</v>
      </c>
      <c r="J704" s="143">
        <f>(INDEX(Production_Consumption!$AA$83:$AJ$99,MATCH('County Scaled Consumption '!$B704,Production_Consumption!$AA$83:$AA$99,0),MATCH('County Scaled Consumption '!J$2,Production_Consumption!$AA$83:$AJ$83,0)))*'CA Population'!$L704*10^6</f>
        <v>154.62108213874939</v>
      </c>
      <c r="K704" s="143">
        <f>(INDEX(Production_Consumption!$AA$83:$AJ$99,MATCH('County Scaled Consumption '!$B704,Production_Consumption!$AA$83:$AA$99,0),MATCH('County Scaled Consumption '!K$2,Production_Consumption!$AA$83:$AJ$83,0)))*'CA Population'!$L704*10^6</f>
        <v>2018.9016457551161</v>
      </c>
      <c r="L704" s="131">
        <f t="shared" si="10"/>
        <v>0</v>
      </c>
    </row>
    <row r="705" spans="1:12" x14ac:dyDescent="0.2">
      <c r="A705" s="132" t="s">
        <v>358</v>
      </c>
      <c r="B705" s="129">
        <v>2009</v>
      </c>
      <c r="C705" s="143">
        <f>(INDEX(Production_Consumption!$AA$83:$AJ$99,MATCH('County Scaled Consumption '!$B705,Production_Consumption!$AA$83:$AA$99,0),MATCH('County Scaled Consumption '!C$2,Production_Consumption!$AA$83:$AJ$83,0)))*'CA Population'!$L705*10^6</f>
        <v>4867.9315829672087</v>
      </c>
      <c r="D705" s="143">
        <f>(INDEX(Production_Consumption!$AA$83:$AJ$99,MATCH('County Scaled Consumption '!$B705,Production_Consumption!$AA$83:$AA$99,0),MATCH('County Scaled Consumption '!D$2,Production_Consumption!$AA$83:$AJ$83,0)))*'CA Population'!$L705*10^6</f>
        <v>19782.569465582532</v>
      </c>
      <c r="E705" s="143">
        <f>(INDEX(Production_Consumption!$AA$83:$AJ$99,MATCH('County Scaled Consumption '!$B705,Production_Consumption!$AA$83:$AA$99,0),MATCH('County Scaled Consumption '!E$2,Production_Consumption!$AA$83:$AJ$83,0)))*'CA Population'!$L705*10^6</f>
        <v>9905.9519310445321</v>
      </c>
      <c r="F705" s="143">
        <f>(INDEX(Production_Consumption!$AA$83:$AJ$99,MATCH('County Scaled Consumption '!$B705,Production_Consumption!$AA$83:$AA$99,0),MATCH('County Scaled Consumption '!F$2,Production_Consumption!$AA$83:$AJ$83,0)))*'CA Population'!$L705*10^6</f>
        <v>4608.3555704772489</v>
      </c>
      <c r="G705" s="143">
        <f>(INDEX(Production_Consumption!$AA$83:$AJ$99,MATCH('County Scaled Consumption '!$B705,Production_Consumption!$AA$83:$AA$99,0),MATCH('County Scaled Consumption '!G$2,Production_Consumption!$AA$83:$AJ$83,0)))*'CA Population'!$L705*10^6</f>
        <v>13128.070239725068</v>
      </c>
      <c r="H705" s="143">
        <f>(INDEX(Production_Consumption!$AA$83:$AJ$99,MATCH('County Scaled Consumption '!$B705,Production_Consumption!$AA$83:$AA$99,0),MATCH('County Scaled Consumption '!H$2,Production_Consumption!$AA$83:$AJ$83,0)))*'CA Population'!$L705*10^6</f>
        <v>366.88187660331585</v>
      </c>
      <c r="I705" s="143">
        <f>(INDEX(Production_Consumption!$AA$83:$AJ$99,MATCH('County Scaled Consumption '!$B705,Production_Consumption!$AA$83:$AA$99,0),MATCH('County Scaled Consumption '!I$2,Production_Consumption!$AA$83:$AJ$83,0)))*'CA Population'!$L705*10^6</f>
        <v>6310.2130336260834</v>
      </c>
      <c r="J705" s="143">
        <f>(INDEX(Production_Consumption!$AA$83:$AJ$99,MATCH('County Scaled Consumption '!$B705,Production_Consumption!$AA$83:$AA$99,0),MATCH('County Scaled Consumption '!J$2,Production_Consumption!$AA$83:$AJ$83,0)))*'CA Population'!$L705*10^6</f>
        <v>4890.8953540256498</v>
      </c>
      <c r="K705" s="143">
        <f>(INDEX(Production_Consumption!$AA$83:$AJ$99,MATCH('County Scaled Consumption '!$B705,Production_Consumption!$AA$83:$AA$99,0),MATCH('County Scaled Consumption '!K$2,Production_Consumption!$AA$83:$AJ$83,0)))*'CA Population'!$L705*10^6</f>
        <v>63860.86905405164</v>
      </c>
      <c r="L705" s="131">
        <f t="shared" si="10"/>
        <v>0</v>
      </c>
    </row>
    <row r="706" spans="1:12" x14ac:dyDescent="0.2">
      <c r="A706" s="132" t="s">
        <v>359</v>
      </c>
      <c r="B706" s="129">
        <v>2009</v>
      </c>
      <c r="C706" s="143">
        <f>(INDEX(Production_Consumption!$AA$83:$AJ$99,MATCH('County Scaled Consumption '!$B706,Production_Consumption!$AA$83:$AA$99,0),MATCH('County Scaled Consumption '!C$2,Production_Consumption!$AA$83:$AJ$83,0)))*'CA Population'!$L706*10^6</f>
        <v>622.97857334241792</v>
      </c>
      <c r="D706" s="143">
        <f>(INDEX(Production_Consumption!$AA$83:$AJ$99,MATCH('County Scaled Consumption '!$B706,Production_Consumption!$AA$83:$AA$99,0),MATCH('County Scaled Consumption '!D$2,Production_Consumption!$AA$83:$AJ$83,0)))*'CA Population'!$L706*10^6</f>
        <v>2531.6947645356622</v>
      </c>
      <c r="E706" s="143">
        <f>(INDEX(Production_Consumption!$AA$83:$AJ$99,MATCH('County Scaled Consumption '!$B706,Production_Consumption!$AA$83:$AA$99,0),MATCH('County Scaled Consumption '!E$2,Production_Consumption!$AA$83:$AJ$83,0)))*'CA Population'!$L706*10^6</f>
        <v>1267.7244321168312</v>
      </c>
      <c r="F706" s="143">
        <f>(INDEX(Production_Consumption!$AA$83:$AJ$99,MATCH('County Scaled Consumption '!$B706,Production_Consumption!$AA$83:$AA$99,0),MATCH('County Scaled Consumption '!F$2,Production_Consumption!$AA$83:$AJ$83,0)))*'CA Population'!$L706*10^6</f>
        <v>589.75906497859239</v>
      </c>
      <c r="G706" s="143">
        <f>(INDEX(Production_Consumption!$AA$83:$AJ$99,MATCH('County Scaled Consumption '!$B706,Production_Consumption!$AA$83:$AA$99,0),MATCH('County Scaled Consumption '!G$2,Production_Consumption!$AA$83:$AJ$83,0)))*'CA Population'!$L706*10^6</f>
        <v>1680.078351408923</v>
      </c>
      <c r="H706" s="143">
        <f>(INDEX(Production_Consumption!$AA$83:$AJ$99,MATCH('County Scaled Consumption '!$B706,Production_Consumption!$AA$83:$AA$99,0),MATCH('County Scaled Consumption '!H$2,Production_Consumption!$AA$83:$AJ$83,0)))*'CA Population'!$L706*10^6</f>
        <v>46.95208718036379</v>
      </c>
      <c r="I706" s="143">
        <f>(INDEX(Production_Consumption!$AA$83:$AJ$99,MATCH('County Scaled Consumption '!$B706,Production_Consumption!$AA$83:$AA$99,0),MATCH('County Scaled Consumption '!I$2,Production_Consumption!$AA$83:$AJ$83,0)))*'CA Population'!$L706*10^6</f>
        <v>807.5560319972534</v>
      </c>
      <c r="J706" s="143">
        <f>(INDEX(Production_Consumption!$AA$83:$AJ$99,MATCH('County Scaled Consumption '!$B706,Production_Consumption!$AA$83:$AA$99,0),MATCH('County Scaled Consumption '!J$2,Production_Consumption!$AA$83:$AJ$83,0)))*'CA Population'!$L706*10^6</f>
        <v>625.91738566726758</v>
      </c>
      <c r="K706" s="143">
        <f>(INDEX(Production_Consumption!$AA$83:$AJ$99,MATCH('County Scaled Consumption '!$B706,Production_Consumption!$AA$83:$AA$99,0),MATCH('County Scaled Consumption '!K$2,Production_Consumption!$AA$83:$AJ$83,0)))*'CA Population'!$L706*10^6</f>
        <v>8172.6606912273119</v>
      </c>
      <c r="L706" s="131">
        <f t="shared" si="10"/>
        <v>0</v>
      </c>
    </row>
    <row r="707" spans="1:12" x14ac:dyDescent="0.2">
      <c r="A707" s="132" t="s">
        <v>360</v>
      </c>
      <c r="B707" s="129">
        <v>2009</v>
      </c>
      <c r="C707" s="143">
        <f>(INDEX(Production_Consumption!$AA$83:$AJ$99,MATCH('County Scaled Consumption '!$B707,Production_Consumption!$AA$83:$AA$99,0),MATCH('County Scaled Consumption '!C$2,Production_Consumption!$AA$83:$AJ$83,0)))*'CA Population'!$L707*10^6</f>
        <v>9124.9611611163946</v>
      </c>
      <c r="D707" s="143">
        <f>(INDEX(Production_Consumption!$AA$83:$AJ$99,MATCH('County Scaled Consumption '!$B707,Production_Consumption!$AA$83:$AA$99,0),MATCH('County Scaled Consumption '!D$2,Production_Consumption!$AA$83:$AJ$83,0)))*'CA Population'!$L707*10^6</f>
        <v>37082.521593390215</v>
      </c>
      <c r="E707" s="143">
        <f>(INDEX(Production_Consumption!$AA$83:$AJ$99,MATCH('County Scaled Consumption '!$B707,Production_Consumption!$AA$83:$AA$99,0),MATCH('County Scaled Consumption '!E$2,Production_Consumption!$AA$83:$AJ$83,0)))*'CA Population'!$L707*10^6</f>
        <v>18568.754530352286</v>
      </c>
      <c r="F707" s="143">
        <f>(INDEX(Production_Consumption!$AA$83:$AJ$99,MATCH('County Scaled Consumption '!$B707,Production_Consumption!$AA$83:$AA$99,0),MATCH('County Scaled Consumption '!F$2,Production_Consumption!$AA$83:$AJ$83,0)))*'CA Population'!$L707*10^6</f>
        <v>8638.3846774583035</v>
      </c>
      <c r="G707" s="143">
        <f>(INDEX(Production_Consumption!$AA$83:$AJ$99,MATCH('County Scaled Consumption '!$B707,Production_Consumption!$AA$83:$AA$99,0),MATCH('County Scaled Consumption '!G$2,Production_Consumption!$AA$83:$AJ$83,0)))*'CA Population'!$L707*10^6</f>
        <v>24608.630794453427</v>
      </c>
      <c r="H707" s="143">
        <f>(INDEX(Production_Consumption!$AA$83:$AJ$99,MATCH('County Scaled Consumption '!$B707,Production_Consumption!$AA$83:$AA$99,0),MATCH('County Scaled Consumption '!H$2,Production_Consumption!$AA$83:$AJ$83,0)))*'CA Population'!$L707*10^6</f>
        <v>687.72184194958254</v>
      </c>
      <c r="I707" s="143">
        <f>(INDEX(Production_Consumption!$AA$83:$AJ$99,MATCH('County Scaled Consumption '!$B707,Production_Consumption!$AA$83:$AA$99,0),MATCH('County Scaled Consumption '!I$2,Production_Consumption!$AA$83:$AJ$83,0)))*'CA Population'!$L707*10^6</f>
        <v>11828.524676000228</v>
      </c>
      <c r="J707" s="143">
        <f>(INDEX(Production_Consumption!$AA$83:$AJ$99,MATCH('County Scaled Consumption '!$B707,Production_Consumption!$AA$83:$AA$99,0),MATCH('County Scaled Consumption '!J$2,Production_Consumption!$AA$83:$AJ$83,0)))*'CA Population'!$L707*10^6</f>
        <v>9168.0068603933196</v>
      </c>
      <c r="K707" s="143">
        <f>(INDEX(Production_Consumption!$AA$83:$AJ$99,MATCH('County Scaled Consumption '!$B707,Production_Consumption!$AA$83:$AA$99,0),MATCH('County Scaled Consumption '!K$2,Production_Consumption!$AA$83:$AJ$83,0)))*'CA Population'!$L707*10^6</f>
        <v>119707.50613511374</v>
      </c>
      <c r="L707" s="131">
        <f t="shared" si="10"/>
        <v>0</v>
      </c>
    </row>
    <row r="708" spans="1:12" x14ac:dyDescent="0.2">
      <c r="A708" s="132" t="s">
        <v>361</v>
      </c>
      <c r="B708" s="129">
        <v>2009</v>
      </c>
      <c r="C708" s="143">
        <f>(INDEX(Production_Consumption!$AA$83:$AJ$99,MATCH('County Scaled Consumption '!$B708,Production_Consumption!$AA$83:$AA$99,0),MATCH('County Scaled Consumption '!C$2,Production_Consumption!$AA$83:$AJ$83,0)))*'CA Population'!$L708*10^6</f>
        <v>2223.2749998362328</v>
      </c>
      <c r="D708" s="143">
        <f>(INDEX(Production_Consumption!$AA$83:$AJ$99,MATCH('County Scaled Consumption '!$B708,Production_Consumption!$AA$83:$AA$99,0),MATCH('County Scaled Consumption '!D$2,Production_Consumption!$AA$83:$AJ$83,0)))*'CA Population'!$L708*10^6</f>
        <v>9035.067846730979</v>
      </c>
      <c r="E708" s="143">
        <f>(INDEX(Production_Consumption!$AA$83:$AJ$99,MATCH('County Scaled Consumption '!$B708,Production_Consumption!$AA$83:$AA$99,0),MATCH('County Scaled Consumption '!E$2,Production_Consumption!$AA$83:$AJ$83,0)))*'CA Population'!$L708*10^6</f>
        <v>4524.2327059260806</v>
      </c>
      <c r="F708" s="143">
        <f>(INDEX(Production_Consumption!$AA$83:$AJ$99,MATCH('County Scaled Consumption '!$B708,Production_Consumption!$AA$83:$AA$99,0),MATCH('County Scaled Consumption '!F$2,Production_Consumption!$AA$83:$AJ$83,0)))*'CA Population'!$L708*10^6</f>
        <v>2104.7218013596153</v>
      </c>
      <c r="G708" s="143">
        <f>(INDEX(Production_Consumption!$AA$83:$AJ$99,MATCH('County Scaled Consumption '!$B708,Production_Consumption!$AA$83:$AA$99,0),MATCH('County Scaled Consumption '!G$2,Production_Consumption!$AA$83:$AJ$83,0)))*'CA Population'!$L708*10^6</f>
        <v>5995.8341366589038</v>
      </c>
      <c r="H708" s="143">
        <f>(INDEX(Production_Consumption!$AA$83:$AJ$99,MATCH('County Scaled Consumption '!$B708,Production_Consumption!$AA$83:$AA$99,0),MATCH('County Scaled Consumption '!H$2,Production_Consumption!$AA$83:$AJ$83,0)))*'CA Population'!$L708*10^6</f>
        <v>167.56178476279308</v>
      </c>
      <c r="I708" s="143">
        <f>(INDEX(Production_Consumption!$AA$83:$AJ$99,MATCH('County Scaled Consumption '!$B708,Production_Consumption!$AA$83:$AA$99,0),MATCH('County Scaled Consumption '!I$2,Production_Consumption!$AA$83:$AJ$83,0)))*'CA Population'!$L708*10^6</f>
        <v>2881.9917951168395</v>
      </c>
      <c r="J708" s="143">
        <f>(INDEX(Production_Consumption!$AA$83:$AJ$99,MATCH('County Scaled Consumption '!$B708,Production_Consumption!$AA$83:$AA$99,0),MATCH('County Scaled Consumption '!J$2,Production_Consumption!$AA$83:$AJ$83,0)))*'CA Population'!$L708*10^6</f>
        <v>2233.7629816876693</v>
      </c>
      <c r="K708" s="143">
        <f>(INDEX(Production_Consumption!$AA$83:$AJ$99,MATCH('County Scaled Consumption '!$B708,Production_Consumption!$AA$83:$AA$99,0),MATCH('County Scaled Consumption '!K$2,Production_Consumption!$AA$83:$AJ$83,0)))*'CA Population'!$L708*10^6</f>
        <v>29166.448052079111</v>
      </c>
      <c r="L708" s="131">
        <f t="shared" ref="L708:L771" si="11">K708-SUM(C708:J708)</f>
        <v>0</v>
      </c>
    </row>
    <row r="709" spans="1:12" x14ac:dyDescent="0.2">
      <c r="A709" s="132" t="s">
        <v>362</v>
      </c>
      <c r="B709" s="129">
        <v>2009</v>
      </c>
      <c r="C709" s="143">
        <f>(INDEX(Production_Consumption!$AA$83:$AJ$99,MATCH('County Scaled Consumption '!$B709,Production_Consumption!$AA$83:$AA$99,0),MATCH('County Scaled Consumption '!C$2,Production_Consumption!$AA$83:$AJ$83,0)))*'CA Population'!$L709*10^6</f>
        <v>801.47450923406325</v>
      </c>
      <c r="D709" s="143">
        <f>(INDEX(Production_Consumption!$AA$83:$AJ$99,MATCH('County Scaled Consumption '!$B709,Production_Consumption!$AA$83:$AA$99,0),MATCH('County Scaled Consumption '!D$2,Production_Consumption!$AA$83:$AJ$83,0)))*'CA Population'!$L709*10^6</f>
        <v>3257.0764160477579</v>
      </c>
      <c r="E709" s="143">
        <f>(INDEX(Production_Consumption!$AA$83:$AJ$99,MATCH('County Scaled Consumption '!$B709,Production_Consumption!$AA$83:$AA$99,0),MATCH('County Scaled Consumption '!E$2,Production_Consumption!$AA$83:$AJ$83,0)))*'CA Population'!$L709*10^6</f>
        <v>1630.9530705422856</v>
      </c>
      <c r="F709" s="143">
        <f>(INDEX(Production_Consumption!$AA$83:$AJ$99,MATCH('County Scaled Consumption '!$B709,Production_Consumption!$AA$83:$AA$99,0),MATCH('County Scaled Consumption '!F$2,Production_Consumption!$AA$83:$AJ$83,0)))*'CA Population'!$L709*10^6</f>
        <v>758.73694119854156</v>
      </c>
      <c r="G709" s="143">
        <f>(INDEX(Production_Consumption!$AA$83:$AJ$99,MATCH('County Scaled Consumption '!$B709,Production_Consumption!$AA$83:$AA$99,0),MATCH('County Scaled Consumption '!G$2,Production_Consumption!$AA$83:$AJ$83,0)))*'CA Population'!$L709*10^6</f>
        <v>2161.4547109473701</v>
      </c>
      <c r="H709" s="143">
        <f>(INDEX(Production_Consumption!$AA$83:$AJ$99,MATCH('County Scaled Consumption '!$B709,Production_Consumption!$AA$83:$AA$99,0),MATCH('County Scaled Consumption '!H$2,Production_Consumption!$AA$83:$AJ$83,0)))*'CA Population'!$L709*10^6</f>
        <v>60.404807870837232</v>
      </c>
      <c r="I709" s="143">
        <f>(INDEX(Production_Consumption!$AA$83:$AJ$99,MATCH('County Scaled Consumption '!$B709,Production_Consumption!$AA$83:$AA$99,0),MATCH('County Scaled Consumption '!I$2,Production_Consumption!$AA$83:$AJ$83,0)))*'CA Population'!$L709*10^6</f>
        <v>1038.9371354321934</v>
      </c>
      <c r="J709" s="143">
        <f>(INDEX(Production_Consumption!$AA$83:$AJ$99,MATCH('County Scaled Consumption '!$B709,Production_Consumption!$AA$83:$AA$99,0),MATCH('County Scaled Consumption '!J$2,Production_Consumption!$AA$83:$AJ$83,0)))*'CA Population'!$L709*10^6</f>
        <v>805.25535060899676</v>
      </c>
      <c r="K709" s="143">
        <f>(INDEX(Production_Consumption!$AA$83:$AJ$99,MATCH('County Scaled Consumption '!$B709,Production_Consumption!$AA$83:$AA$99,0),MATCH('County Scaled Consumption '!K$2,Production_Consumption!$AA$83:$AJ$83,0)))*'CA Population'!$L709*10^6</f>
        <v>10514.292941882044</v>
      </c>
      <c r="L709" s="131">
        <f t="shared" si="11"/>
        <v>0</v>
      </c>
    </row>
    <row r="710" spans="1:12" x14ac:dyDescent="0.2">
      <c r="A710" s="132" t="s">
        <v>363</v>
      </c>
      <c r="B710" s="129">
        <v>2009</v>
      </c>
      <c r="C710" s="143">
        <f>(INDEX(Production_Consumption!$AA$83:$AJ$99,MATCH('County Scaled Consumption '!$B710,Production_Consumption!$AA$83:$AA$99,0),MATCH('County Scaled Consumption '!C$2,Production_Consumption!$AA$83:$AJ$83,0)))*'CA Population'!$L710*10^6</f>
        <v>413745.17392606329</v>
      </c>
      <c r="D710" s="143">
        <f>(INDEX(Production_Consumption!$AA$83:$AJ$99,MATCH('County Scaled Consumption '!$B710,Production_Consumption!$AA$83:$AA$99,0),MATCH('County Scaled Consumption '!D$2,Production_Consumption!$AA$83:$AJ$83,0)))*'CA Population'!$L710*10^6</f>
        <v>1681400.5095882646</v>
      </c>
      <c r="E710" s="143">
        <f>(INDEX(Production_Consumption!$AA$83:$AJ$99,MATCH('County Scaled Consumption '!$B710,Production_Consumption!$AA$83:$AA$99,0),MATCH('County Scaled Consumption '!E$2,Production_Consumption!$AA$83:$AJ$83,0)))*'CA Population'!$L710*10^6</f>
        <v>841946.87923592608</v>
      </c>
      <c r="F710" s="143">
        <f>(INDEX(Production_Consumption!$AA$83:$AJ$99,MATCH('County Scaled Consumption '!$B710,Production_Consumption!$AA$83:$AA$99,0),MATCH('County Scaled Consumption '!F$2,Production_Consumption!$AA$83:$AJ$83,0)))*'CA Population'!$L710*10^6</f>
        <v>391682.75981768157</v>
      </c>
      <c r="G710" s="143">
        <f>(INDEX(Production_Consumption!$AA$83:$AJ$99,MATCH('County Scaled Consumption '!$B710,Production_Consumption!$AA$83:$AA$99,0),MATCH('County Scaled Consumption '!G$2,Production_Consumption!$AA$83:$AJ$83,0)))*'CA Population'!$L710*10^6</f>
        <v>1115807.7331353512</v>
      </c>
      <c r="H710" s="143">
        <f>(INDEX(Production_Consumption!$AA$83:$AJ$99,MATCH('County Scaled Consumption '!$B710,Production_Consumption!$AA$83:$AA$99,0),MATCH('County Scaled Consumption '!H$2,Production_Consumption!$AA$83:$AJ$83,0)))*'CA Population'!$L710*10^6</f>
        <v>31182.773064578203</v>
      </c>
      <c r="I710" s="143">
        <f>(INDEX(Production_Consumption!$AA$83:$AJ$99,MATCH('County Scaled Consumption '!$B710,Production_Consumption!$AA$83:$AA$99,0),MATCH('County Scaled Consumption '!I$2,Production_Consumption!$AA$83:$AJ$83,0)))*'CA Population'!$L710*10^6</f>
        <v>536330.50190009666</v>
      </c>
      <c r="J710" s="143">
        <f>(INDEX(Production_Consumption!$AA$83:$AJ$99,MATCH('County Scaled Consumption '!$B710,Production_Consumption!$AA$83:$AA$99,0),MATCH('County Scaled Consumption '!J$2,Production_Consumption!$AA$83:$AJ$83,0)))*'CA Population'!$L710*10^6</f>
        <v>415696.95761255088</v>
      </c>
      <c r="K710" s="143">
        <f>(INDEX(Production_Consumption!$AA$83:$AJ$99,MATCH('County Scaled Consumption '!$B710,Production_Consumption!$AA$83:$AA$99,0),MATCH('County Scaled Consumption '!K$2,Production_Consumption!$AA$83:$AJ$83,0)))*'CA Population'!$L710*10^6</f>
        <v>5427793.2882805122</v>
      </c>
      <c r="L710" s="131">
        <f t="shared" si="11"/>
        <v>0</v>
      </c>
    </row>
    <row r="711" spans="1:12" x14ac:dyDescent="0.2">
      <c r="A711" s="132" t="s">
        <v>305</v>
      </c>
      <c r="B711" s="129">
        <v>2008</v>
      </c>
      <c r="C711" s="143">
        <f>(INDEX(Production_Consumption!$AA$83:$AJ$99,MATCH('County Scaled Consumption '!$B711,Production_Consumption!$AA$83:$AA$99,0),MATCH('County Scaled Consumption '!C$2,Production_Consumption!$AA$83:$AJ$83,0)))*'CA Population'!$L711*10^6</f>
        <v>17688.016576006336</v>
      </c>
      <c r="D711" s="143">
        <f>(INDEX(Production_Consumption!$AA$83:$AJ$99,MATCH('County Scaled Consumption '!$B711,Production_Consumption!$AA$83:$AA$99,0),MATCH('County Scaled Consumption '!D$2,Production_Consumption!$AA$83:$AJ$83,0)))*'CA Population'!$L711*10^6</f>
        <v>70021.824127428787</v>
      </c>
      <c r="E711" s="143">
        <f>(INDEX(Production_Consumption!$AA$83:$AJ$99,MATCH('County Scaled Consumption '!$B711,Production_Consumption!$AA$83:$AA$99,0),MATCH('County Scaled Consumption '!E$2,Production_Consumption!$AA$83:$AJ$83,0)))*'CA Population'!$L711*10^6</f>
        <v>36403.320221429196</v>
      </c>
      <c r="F711" s="143">
        <f>(INDEX(Production_Consumption!$AA$83:$AJ$99,MATCH('County Scaled Consumption '!$B711,Production_Consumption!$AA$83:$AA$99,0),MATCH('County Scaled Consumption '!F$2,Production_Consumption!$AA$83:$AJ$83,0)))*'CA Population'!$L711*10^6</f>
        <v>17315.552299234478</v>
      </c>
      <c r="G711" s="143">
        <f>(INDEX(Production_Consumption!$AA$83:$AJ$99,MATCH('County Scaled Consumption '!$B711,Production_Consumption!$AA$83:$AA$99,0),MATCH('County Scaled Consumption '!G$2,Production_Consumption!$AA$83:$AJ$83,0)))*'CA Population'!$L711*10^6</f>
        <v>46198.130914847716</v>
      </c>
      <c r="H711" s="143">
        <f>(INDEX(Production_Consumption!$AA$83:$AJ$99,MATCH('County Scaled Consumption '!$B711,Production_Consumption!$AA$83:$AA$99,0),MATCH('County Scaled Consumption '!H$2,Production_Consumption!$AA$83:$AJ$83,0)))*'CA Population'!$L711*10^6</f>
        <v>1278.7762056498823</v>
      </c>
      <c r="I711" s="143">
        <f>(INDEX(Production_Consumption!$AA$83:$AJ$99,MATCH('County Scaled Consumption '!$B711,Production_Consumption!$AA$83:$AA$99,0),MATCH('County Scaled Consumption '!I$2,Production_Consumption!$AA$83:$AJ$83,0)))*'CA Population'!$L711*10^6</f>
        <v>20856.200160664266</v>
      </c>
      <c r="J711" s="143">
        <f>(INDEX(Production_Consumption!$AA$83:$AJ$99,MATCH('County Scaled Consumption '!$B711,Production_Consumption!$AA$83:$AA$99,0),MATCH('County Scaled Consumption '!J$2,Production_Consumption!$AA$83:$AJ$83,0)))*'CA Population'!$L711*10^6</f>
        <v>23037.534632514195</v>
      </c>
      <c r="K711" s="143">
        <f>(INDEX(Production_Consumption!$AA$83:$AJ$99,MATCH('County Scaled Consumption '!$B711,Production_Consumption!$AA$83:$AA$99,0),MATCH('County Scaled Consumption '!K$2,Production_Consumption!$AA$83:$AJ$83,0)))*'CA Population'!$L711*10^6</f>
        <v>232799.35513777487</v>
      </c>
      <c r="L711" s="131">
        <f t="shared" si="11"/>
        <v>0</v>
      </c>
    </row>
    <row r="712" spans="1:12" x14ac:dyDescent="0.2">
      <c r="A712" s="132" t="s">
        <v>306</v>
      </c>
      <c r="B712" s="129">
        <v>2008</v>
      </c>
      <c r="C712" s="143">
        <f>(INDEX(Production_Consumption!$AA$83:$AJ$99,MATCH('County Scaled Consumption '!$B712,Production_Consumption!$AA$83:$AA$99,0),MATCH('County Scaled Consumption '!C$2,Production_Consumption!$AA$83:$AJ$83,0)))*'CA Population'!$L712*10^6</f>
        <v>14.635876216885002</v>
      </c>
      <c r="D712" s="143">
        <f>(INDEX(Production_Consumption!$AA$83:$AJ$99,MATCH('County Scaled Consumption '!$B712,Production_Consumption!$AA$83:$AA$99,0),MATCH('County Scaled Consumption '!D$2,Production_Consumption!$AA$83:$AJ$83,0)))*'CA Population'!$L712*10^6</f>
        <v>57.939268996373222</v>
      </c>
      <c r="E712" s="143">
        <f>(INDEX(Production_Consumption!$AA$83:$AJ$99,MATCH('County Scaled Consumption '!$B712,Production_Consumption!$AA$83:$AA$99,0),MATCH('County Scaled Consumption '!E$2,Production_Consumption!$AA$83:$AJ$83,0)))*'CA Population'!$L712*10^6</f>
        <v>30.121776873908878</v>
      </c>
      <c r="F712" s="143">
        <f>(INDEX(Production_Consumption!$AA$83:$AJ$99,MATCH('County Scaled Consumption '!$B712,Production_Consumption!$AA$83:$AA$99,0),MATCH('County Scaled Consumption '!F$2,Production_Consumption!$AA$83:$AJ$83,0)))*'CA Population'!$L712*10^6</f>
        <v>14.3276821903462</v>
      </c>
      <c r="G712" s="143">
        <f>(INDEX(Production_Consumption!$AA$83:$AJ$99,MATCH('County Scaled Consumption '!$B712,Production_Consumption!$AA$83:$AA$99,0),MATCH('County Scaled Consumption '!G$2,Production_Consumption!$AA$83:$AJ$83,0)))*'CA Population'!$L712*10^6</f>
        <v>38.226452503349201</v>
      </c>
      <c r="H712" s="143">
        <f>(INDEX(Production_Consumption!$AA$83:$AJ$99,MATCH('County Scaled Consumption '!$B712,Production_Consumption!$AA$83:$AA$99,0),MATCH('County Scaled Consumption '!H$2,Production_Consumption!$AA$83:$AJ$83,0)))*'CA Population'!$L712*10^6</f>
        <v>1.0581180865907649</v>
      </c>
      <c r="I712" s="143">
        <f>(INDEX(Production_Consumption!$AA$83:$AJ$99,MATCH('County Scaled Consumption '!$B712,Production_Consumption!$AA$83:$AA$99,0),MATCH('County Scaled Consumption '!I$2,Production_Consumption!$AA$83:$AJ$83,0)))*'CA Population'!$L712*10^6</f>
        <v>17.25737663091785</v>
      </c>
      <c r="J712" s="143">
        <f>(INDEX(Production_Consumption!$AA$83:$AJ$99,MATCH('County Scaled Consumption '!$B712,Production_Consumption!$AA$83:$AA$99,0),MATCH('County Scaled Consumption '!J$2,Production_Consumption!$AA$83:$AJ$83,0)))*'CA Population'!$L712*10^6</f>
        <v>19.062312824890377</v>
      </c>
      <c r="K712" s="143">
        <f>(INDEX(Production_Consumption!$AA$83:$AJ$99,MATCH('County Scaled Consumption '!$B712,Production_Consumption!$AA$83:$AA$99,0),MATCH('County Scaled Consumption '!K$2,Production_Consumption!$AA$83:$AJ$83,0)))*'CA Population'!$L712*10^6</f>
        <v>192.62886432326147</v>
      </c>
      <c r="L712" s="131">
        <f t="shared" si="11"/>
        <v>0</v>
      </c>
    </row>
    <row r="713" spans="1:12" x14ac:dyDescent="0.2">
      <c r="A713" s="132" t="s">
        <v>307</v>
      </c>
      <c r="B713" s="129">
        <v>2008</v>
      </c>
      <c r="C713" s="143">
        <f>(INDEX(Production_Consumption!$AA$83:$AJ$99,MATCH('County Scaled Consumption '!$B713,Production_Consumption!$AA$83:$AA$99,0),MATCH('County Scaled Consumption '!C$2,Production_Consumption!$AA$83:$AJ$83,0)))*'CA Population'!$L713*10^6</f>
        <v>452.60374538779149</v>
      </c>
      <c r="D713" s="143">
        <f>(INDEX(Production_Consumption!$AA$83:$AJ$99,MATCH('County Scaled Consumption '!$B713,Production_Consumption!$AA$83:$AA$99,0),MATCH('County Scaled Consumption '!D$2,Production_Consumption!$AA$83:$AJ$83,0)))*'CA Population'!$L713*10^6</f>
        <v>1791.7294300792123</v>
      </c>
      <c r="E713" s="143">
        <f>(INDEX(Production_Consumption!$AA$83:$AJ$99,MATCH('County Scaled Consumption '!$B713,Production_Consumption!$AA$83:$AA$99,0),MATCH('County Scaled Consumption '!E$2,Production_Consumption!$AA$83:$AJ$83,0)))*'CA Population'!$L713*10^6</f>
        <v>931.49387360479602</v>
      </c>
      <c r="F713" s="143">
        <f>(INDEX(Production_Consumption!$AA$83:$AJ$99,MATCH('County Scaled Consumption '!$B713,Production_Consumption!$AA$83:$AA$99,0),MATCH('County Scaled Consumption '!F$2,Production_Consumption!$AA$83:$AJ$83,0)))*'CA Population'!$L713*10^6</f>
        <v>443.07307099217996</v>
      </c>
      <c r="G713" s="143">
        <f>(INDEX(Production_Consumption!$AA$83:$AJ$99,MATCH('County Scaled Consumption '!$B713,Production_Consumption!$AA$83:$AA$99,0),MATCH('County Scaled Consumption '!G$2,Production_Consumption!$AA$83:$AJ$83,0)))*'CA Population'!$L713*10^6</f>
        <v>1182.1250275363891</v>
      </c>
      <c r="H713" s="143">
        <f>(INDEX(Production_Consumption!$AA$83:$AJ$99,MATCH('County Scaled Consumption '!$B713,Production_Consumption!$AA$83:$AA$99,0),MATCH('County Scaled Consumption '!H$2,Production_Consumption!$AA$83:$AJ$83,0)))*'CA Population'!$L713*10^6</f>
        <v>32.721526334107736</v>
      </c>
      <c r="I713" s="143">
        <f>(INDEX(Production_Consumption!$AA$83:$AJ$99,MATCH('County Scaled Consumption '!$B713,Production_Consumption!$AA$83:$AA$99,0),MATCH('County Scaled Consumption '!I$2,Production_Consumption!$AA$83:$AJ$83,0)))*'CA Population'!$L713*10^6</f>
        <v>533.67172439666558</v>
      </c>
      <c r="J713" s="143">
        <f>(INDEX(Production_Consumption!$AA$83:$AJ$99,MATCH('County Scaled Consumption '!$B713,Production_Consumption!$AA$83:$AA$99,0),MATCH('County Scaled Consumption '!J$2,Production_Consumption!$AA$83:$AJ$83,0)))*'CA Population'!$L713*10^6</f>
        <v>589.48805335929319</v>
      </c>
      <c r="K713" s="143">
        <f>(INDEX(Production_Consumption!$AA$83:$AJ$99,MATCH('County Scaled Consumption '!$B713,Production_Consumption!$AA$83:$AA$99,0),MATCH('County Scaled Consumption '!K$2,Production_Consumption!$AA$83:$AJ$83,0)))*'CA Population'!$L713*10^6</f>
        <v>5956.9064516904355</v>
      </c>
      <c r="L713" s="131">
        <f t="shared" si="11"/>
        <v>0</v>
      </c>
    </row>
    <row r="714" spans="1:12" x14ac:dyDescent="0.2">
      <c r="A714" s="132" t="s">
        <v>308</v>
      </c>
      <c r="B714" s="129">
        <v>2008</v>
      </c>
      <c r="C714" s="143">
        <f>(INDEX(Production_Consumption!$AA$83:$AJ$99,MATCH('County Scaled Consumption '!$B714,Production_Consumption!$AA$83:$AA$99,0),MATCH('County Scaled Consumption '!C$2,Production_Consumption!$AA$83:$AJ$83,0)))*'CA Population'!$L714*10^6</f>
        <v>2595.85380774737</v>
      </c>
      <c r="D714" s="143">
        <f>(INDEX(Production_Consumption!$AA$83:$AJ$99,MATCH('County Scaled Consumption '!$B714,Production_Consumption!$AA$83:$AA$99,0),MATCH('County Scaled Consumption '!D$2,Production_Consumption!$AA$83:$AJ$83,0)))*'CA Population'!$L714*10^6</f>
        <v>10276.246520096973</v>
      </c>
      <c r="E714" s="143">
        <f>(INDEX(Production_Consumption!$AA$83:$AJ$99,MATCH('County Scaled Consumption '!$B714,Production_Consumption!$AA$83:$AA$99,0),MATCH('County Scaled Consumption '!E$2,Production_Consumption!$AA$83:$AJ$83,0)))*'CA Population'!$L714*10^6</f>
        <v>5342.4699714285243</v>
      </c>
      <c r="F714" s="143">
        <f>(INDEX(Production_Consumption!$AA$83:$AJ$99,MATCH('County Scaled Consumption '!$B714,Production_Consumption!$AA$83:$AA$99,0),MATCH('County Scaled Consumption '!F$2,Production_Consumption!$AA$83:$AJ$83,0)))*'CA Population'!$L714*10^6</f>
        <v>2541.1917823612321</v>
      </c>
      <c r="G714" s="143">
        <f>(INDEX(Production_Consumption!$AA$83:$AJ$99,MATCH('County Scaled Consumption '!$B714,Production_Consumption!$AA$83:$AA$99,0),MATCH('County Scaled Consumption '!G$2,Production_Consumption!$AA$83:$AJ$83,0)))*'CA Population'!$L714*10^6</f>
        <v>6779.9345127703245</v>
      </c>
      <c r="H714" s="143">
        <f>(INDEX(Production_Consumption!$AA$83:$AJ$99,MATCH('County Scaled Consumption '!$B714,Production_Consumption!$AA$83:$AA$99,0),MATCH('County Scaled Consumption '!H$2,Production_Consumption!$AA$83:$AJ$83,0)))*'CA Population'!$L714*10^6</f>
        <v>187.67033988400257</v>
      </c>
      <c r="I714" s="143">
        <f>(INDEX(Production_Consumption!$AA$83:$AJ$99,MATCH('County Scaled Consumption '!$B714,Production_Consumption!$AA$83:$AA$99,0),MATCH('County Scaled Consumption '!I$2,Production_Consumption!$AA$83:$AJ$83,0)))*'CA Population'!$L714*10^6</f>
        <v>3060.8093547154222</v>
      </c>
      <c r="J714" s="143">
        <f>(INDEX(Production_Consumption!$AA$83:$AJ$99,MATCH('County Scaled Consumption '!$B714,Production_Consumption!$AA$83:$AA$99,0),MATCH('County Scaled Consumption '!J$2,Production_Consumption!$AA$83:$AJ$83,0)))*'CA Population'!$L714*10^6</f>
        <v>3380.9371299462123</v>
      </c>
      <c r="K714" s="143">
        <f>(INDEX(Production_Consumption!$AA$83:$AJ$99,MATCH('County Scaled Consumption '!$B714,Production_Consumption!$AA$83:$AA$99,0),MATCH('County Scaled Consumption '!K$2,Production_Consumption!$AA$83:$AJ$83,0)))*'CA Population'!$L714*10^6</f>
        <v>34165.113418950059</v>
      </c>
      <c r="L714" s="131">
        <f t="shared" si="11"/>
        <v>0</v>
      </c>
    </row>
    <row r="715" spans="1:12" x14ac:dyDescent="0.2">
      <c r="A715" s="132" t="s">
        <v>309</v>
      </c>
      <c r="B715" s="129">
        <v>2008</v>
      </c>
      <c r="C715" s="143">
        <f>(INDEX(Production_Consumption!$AA$83:$AJ$99,MATCH('County Scaled Consumption '!$B715,Production_Consumption!$AA$83:$AA$99,0),MATCH('County Scaled Consumption '!C$2,Production_Consumption!$AA$83:$AJ$83,0)))*'CA Population'!$L715*10^6</f>
        <v>544.31634106281604</v>
      </c>
      <c r="D715" s="143">
        <f>(INDEX(Production_Consumption!$AA$83:$AJ$99,MATCH('County Scaled Consumption '!$B715,Production_Consumption!$AA$83:$AA$99,0),MATCH('County Scaled Consumption '!D$2,Production_Consumption!$AA$83:$AJ$83,0)))*'CA Population'!$L715*10^6</f>
        <v>2154.7934976094175</v>
      </c>
      <c r="E715" s="143">
        <f>(INDEX(Production_Consumption!$AA$83:$AJ$99,MATCH('County Scaled Consumption '!$B715,Production_Consumption!$AA$83:$AA$99,0),MATCH('County Scaled Consumption '!E$2,Production_Consumption!$AA$83:$AJ$83,0)))*'CA Population'!$L715*10^6</f>
        <v>1120.2455617519695</v>
      </c>
      <c r="F715" s="143">
        <f>(INDEX(Production_Consumption!$AA$83:$AJ$99,MATCH('County Scaled Consumption '!$B715,Production_Consumption!$AA$83:$AA$99,0),MATCH('County Scaled Consumption '!F$2,Production_Consumption!$AA$83:$AJ$83,0)))*'CA Population'!$L715*10^6</f>
        <v>532.85443455465065</v>
      </c>
      <c r="G715" s="143">
        <f>(INDEX(Production_Consumption!$AA$83:$AJ$99,MATCH('County Scaled Consumption '!$B715,Production_Consumption!$AA$83:$AA$99,0),MATCH('County Scaled Consumption '!G$2,Production_Consumption!$AA$83:$AJ$83,0)))*'CA Population'!$L715*10^6</f>
        <v>1421.6629363419854</v>
      </c>
      <c r="H715" s="143">
        <f>(INDEX(Production_Consumption!$AA$83:$AJ$99,MATCH('County Scaled Consumption '!$B715,Production_Consumption!$AA$83:$AA$99,0),MATCH('County Scaled Consumption '!H$2,Production_Consumption!$AA$83:$AJ$83,0)))*'CA Population'!$L715*10^6</f>
        <v>39.351997568892699</v>
      </c>
      <c r="I715" s="143">
        <f>(INDEX(Production_Consumption!$AA$83:$AJ$99,MATCH('County Scaled Consumption '!$B715,Production_Consumption!$AA$83:$AA$99,0),MATCH('County Scaled Consumption '!I$2,Production_Consumption!$AA$83:$AJ$83,0)))*'CA Population'!$L715*10^6</f>
        <v>641.81139310587798</v>
      </c>
      <c r="J715" s="143">
        <f>(INDEX(Production_Consumption!$AA$83:$AJ$99,MATCH('County Scaled Consumption '!$B715,Production_Consumption!$AA$83:$AA$99,0),MATCH('County Scaled Consumption '!J$2,Production_Consumption!$AA$83:$AJ$83,0)))*'CA Population'!$L715*10^6</f>
        <v>708.93796963578461</v>
      </c>
      <c r="K715" s="143">
        <f>(INDEX(Production_Consumption!$AA$83:$AJ$99,MATCH('County Scaled Consumption '!$B715,Production_Consumption!$AA$83:$AA$99,0),MATCH('County Scaled Consumption '!K$2,Production_Consumption!$AA$83:$AJ$83,0)))*'CA Population'!$L715*10^6</f>
        <v>7163.9741316313948</v>
      </c>
      <c r="L715" s="131">
        <f t="shared" si="11"/>
        <v>0</v>
      </c>
    </row>
    <row r="716" spans="1:12" x14ac:dyDescent="0.2">
      <c r="A716" s="132" t="s">
        <v>310</v>
      </c>
      <c r="B716" s="129">
        <v>2008</v>
      </c>
      <c r="C716" s="143">
        <f>(INDEX(Production_Consumption!$AA$83:$AJ$99,MATCH('County Scaled Consumption '!$B716,Production_Consumption!$AA$83:$AA$99,0),MATCH('County Scaled Consumption '!C$2,Production_Consumption!$AA$83:$AJ$83,0)))*'CA Population'!$L716*10^6</f>
        <v>252.01596303422915</v>
      </c>
      <c r="D716" s="143">
        <f>(INDEX(Production_Consumption!$AA$83:$AJ$99,MATCH('County Scaled Consumption '!$B716,Production_Consumption!$AA$83:$AA$99,0),MATCH('County Scaled Consumption '!D$2,Production_Consumption!$AA$83:$AJ$83,0)))*'CA Population'!$L716*10^6</f>
        <v>997.65948121198016</v>
      </c>
      <c r="E716" s="143">
        <f>(INDEX(Production_Consumption!$AA$83:$AJ$99,MATCH('County Scaled Consumption '!$B716,Production_Consumption!$AA$83:$AA$99,0),MATCH('County Scaled Consumption '!E$2,Production_Consumption!$AA$83:$AJ$83,0)))*'CA Population'!$L716*10^6</f>
        <v>518.66854397296686</v>
      </c>
      <c r="F716" s="143">
        <f>(INDEX(Production_Consumption!$AA$83:$AJ$99,MATCH('County Scaled Consumption '!$B716,Production_Consumption!$AA$83:$AA$99,0),MATCH('County Scaled Consumption '!F$2,Production_Consumption!$AA$83:$AJ$83,0)))*'CA Population'!$L716*10^6</f>
        <v>246.70915302513879</v>
      </c>
      <c r="G716" s="143">
        <f>(INDEX(Production_Consumption!$AA$83:$AJ$99,MATCH('County Scaled Consumption '!$B716,Production_Consumption!$AA$83:$AA$99,0),MATCH('County Scaled Consumption '!G$2,Production_Consumption!$AA$83:$AJ$83,0)))*'CA Population'!$L716*10^6</f>
        <v>658.22340242941266</v>
      </c>
      <c r="H716" s="143">
        <f>(INDEX(Production_Consumption!$AA$83:$AJ$99,MATCH('County Scaled Consumption '!$B716,Production_Consumption!$AA$83:$AA$99,0),MATCH('County Scaled Consumption '!H$2,Production_Consumption!$AA$83:$AJ$83,0)))*'CA Population'!$L716*10^6</f>
        <v>18.219793925864593</v>
      </c>
      <c r="I716" s="143">
        <f>(INDEX(Production_Consumption!$AA$83:$AJ$99,MATCH('County Scaled Consumption '!$B716,Production_Consumption!$AA$83:$AA$99,0),MATCH('County Scaled Consumption '!I$2,Production_Consumption!$AA$83:$AJ$83,0)))*'CA Population'!$L716*10^6</f>
        <v>297.15572382797876</v>
      </c>
      <c r="J716" s="143">
        <f>(INDEX(Production_Consumption!$AA$83:$AJ$99,MATCH('County Scaled Consumption '!$B716,Production_Consumption!$AA$83:$AA$99,0),MATCH('County Scaled Consumption '!J$2,Production_Consumption!$AA$83:$AJ$83,0)))*'CA Population'!$L716*10^6</f>
        <v>328.23502009959856</v>
      </c>
      <c r="K716" s="143">
        <f>(INDEX(Production_Consumption!$AA$83:$AJ$99,MATCH('County Scaled Consumption '!$B716,Production_Consumption!$AA$83:$AA$99,0),MATCH('County Scaled Consumption '!K$2,Production_Consumption!$AA$83:$AJ$83,0)))*'CA Population'!$L716*10^6</f>
        <v>3316.8870815271698</v>
      </c>
      <c r="L716" s="131">
        <f t="shared" si="11"/>
        <v>0</v>
      </c>
    </row>
    <row r="717" spans="1:12" x14ac:dyDescent="0.2">
      <c r="A717" s="132" t="s">
        <v>311</v>
      </c>
      <c r="B717" s="129">
        <v>2008</v>
      </c>
      <c r="C717" s="143">
        <f>(INDEX(Production_Consumption!$AA$83:$AJ$99,MATCH('County Scaled Consumption '!$B717,Production_Consumption!$AA$83:$AA$99,0),MATCH('County Scaled Consumption '!C$2,Production_Consumption!$AA$83:$AJ$83,0)))*'CA Population'!$L717*10^6</f>
        <v>12243.411030995241</v>
      </c>
      <c r="D717" s="143">
        <f>(INDEX(Production_Consumption!$AA$83:$AJ$99,MATCH('County Scaled Consumption '!$B717,Production_Consumption!$AA$83:$AA$99,0),MATCH('County Scaled Consumption '!D$2,Production_Consumption!$AA$83:$AJ$83,0)))*'CA Population'!$L717*10^6</f>
        <v>48468.180151702232</v>
      </c>
      <c r="E717" s="143">
        <f>(INDEX(Production_Consumption!$AA$83:$AJ$99,MATCH('County Scaled Consumption '!$B717,Production_Consumption!$AA$83:$AA$99,0),MATCH('County Scaled Consumption '!E$2,Production_Consumption!$AA$83:$AJ$83,0)))*'CA Population'!$L717*10^6</f>
        <v>25197.896578663789</v>
      </c>
      <c r="F717" s="143">
        <f>(INDEX(Production_Consumption!$AA$83:$AJ$99,MATCH('County Scaled Consumption '!$B717,Production_Consumption!$AA$83:$AA$99,0),MATCH('County Scaled Consumption '!F$2,Production_Consumption!$AA$83:$AJ$83,0)))*'CA Population'!$L717*10^6</f>
        <v>11985.596186957493</v>
      </c>
      <c r="G717" s="143">
        <f>(INDEX(Production_Consumption!$AA$83:$AJ$99,MATCH('County Scaled Consumption '!$B717,Production_Consumption!$AA$83:$AA$99,0),MATCH('County Scaled Consumption '!G$2,Production_Consumption!$AA$83:$AJ$83,0)))*'CA Population'!$L717*10^6</f>
        <v>31977.734938436904</v>
      </c>
      <c r="H717" s="143">
        <f>(INDEX(Production_Consumption!$AA$83:$AJ$99,MATCH('County Scaled Consumption '!$B717,Production_Consumption!$AA$83:$AA$99,0),MATCH('County Scaled Consumption '!H$2,Production_Consumption!$AA$83:$AJ$83,0)))*'CA Population'!$L717*10^6</f>
        <v>885.15196913971954</v>
      </c>
      <c r="I717" s="143">
        <f>(INDEX(Production_Consumption!$AA$83:$AJ$99,MATCH('County Scaled Consumption '!$B717,Production_Consumption!$AA$83:$AA$99,0),MATCH('County Scaled Consumption '!I$2,Production_Consumption!$AA$83:$AJ$83,0)))*'CA Population'!$L717*10^6</f>
        <v>14436.385787771331</v>
      </c>
      <c r="J717" s="143">
        <f>(INDEX(Production_Consumption!$AA$83:$AJ$99,MATCH('County Scaled Consumption '!$B717,Production_Consumption!$AA$83:$AA$99,0),MATCH('County Scaled Consumption '!J$2,Production_Consumption!$AA$83:$AJ$83,0)))*'CA Population'!$L717*10^6</f>
        <v>15946.276646374748</v>
      </c>
      <c r="K717" s="143">
        <f>(INDEX(Production_Consumption!$AA$83:$AJ$99,MATCH('County Scaled Consumption '!$B717,Production_Consumption!$AA$83:$AA$99,0),MATCH('County Scaled Consumption '!K$2,Production_Consumption!$AA$83:$AJ$83,0)))*'CA Population'!$L717*10^6</f>
        <v>161140.63329004147</v>
      </c>
      <c r="L717" s="131">
        <f t="shared" si="11"/>
        <v>0</v>
      </c>
    </row>
    <row r="718" spans="1:12" x14ac:dyDescent="0.2">
      <c r="A718" s="132" t="s">
        <v>312</v>
      </c>
      <c r="B718" s="129">
        <v>2008</v>
      </c>
      <c r="C718" s="143">
        <f>(INDEX(Production_Consumption!$AA$83:$AJ$99,MATCH('County Scaled Consumption '!$B718,Production_Consumption!$AA$83:$AA$99,0),MATCH('County Scaled Consumption '!C$2,Production_Consumption!$AA$83:$AJ$83,0)))*'CA Population'!$L718*10^6</f>
        <v>339.98616039320967</v>
      </c>
      <c r="D718" s="143">
        <f>(INDEX(Production_Consumption!$AA$83:$AJ$99,MATCH('County Scaled Consumption '!$B718,Production_Consumption!$AA$83:$AA$99,0),MATCH('County Scaled Consumption '!D$2,Production_Consumption!$AA$83:$AJ$83,0)))*'CA Population'!$L718*10^6</f>
        <v>1345.9084587870866</v>
      </c>
      <c r="E718" s="143">
        <f>(INDEX(Production_Consumption!$AA$83:$AJ$99,MATCH('County Scaled Consumption '!$B718,Production_Consumption!$AA$83:$AA$99,0),MATCH('County Scaled Consumption '!E$2,Production_Consumption!$AA$83:$AJ$83,0)))*'CA Population'!$L718*10^6</f>
        <v>699.7180839618278</v>
      </c>
      <c r="F718" s="143">
        <f>(INDEX(Production_Consumption!$AA$83:$AJ$99,MATCH('County Scaled Consumption '!$B718,Production_Consumption!$AA$83:$AA$99,0),MATCH('County Scaled Consumption '!F$2,Production_Consumption!$AA$83:$AJ$83,0)))*'CA Population'!$L718*10^6</f>
        <v>332.82692358454051</v>
      </c>
      <c r="G718" s="143">
        <f>(INDEX(Production_Consumption!$AA$83:$AJ$99,MATCH('County Scaled Consumption '!$B718,Production_Consumption!$AA$83:$AA$99,0),MATCH('County Scaled Consumption '!G$2,Production_Consumption!$AA$83:$AJ$83,0)))*'CA Population'!$L718*10^6</f>
        <v>887.98679487828929</v>
      </c>
      <c r="H718" s="143">
        <f>(INDEX(Production_Consumption!$AA$83:$AJ$99,MATCH('County Scaled Consumption '!$B718,Production_Consumption!$AA$83:$AA$99,0),MATCH('County Scaled Consumption '!H$2,Production_Consumption!$AA$83:$AJ$83,0)))*'CA Population'!$L718*10^6</f>
        <v>24.579704021244428</v>
      </c>
      <c r="I718" s="143">
        <f>(INDEX(Production_Consumption!$AA$83:$AJ$99,MATCH('County Scaled Consumption '!$B718,Production_Consumption!$AA$83:$AA$99,0),MATCH('County Scaled Consumption '!I$2,Production_Consumption!$AA$83:$AJ$83,0)))*'CA Population'!$L718*10^6</f>
        <v>400.88267571137015</v>
      </c>
      <c r="J718" s="143">
        <f>(INDEX(Production_Consumption!$AA$83:$AJ$99,MATCH('County Scaled Consumption '!$B718,Production_Consumption!$AA$83:$AA$99,0),MATCH('County Scaled Consumption '!J$2,Production_Consumption!$AA$83:$AJ$83,0)))*'CA Population'!$L718*10^6</f>
        <v>442.810696777543</v>
      </c>
      <c r="K718" s="143">
        <f>(INDEX(Production_Consumption!$AA$83:$AJ$99,MATCH('County Scaled Consumption '!$B718,Production_Consumption!$AA$83:$AA$99,0),MATCH('County Scaled Consumption '!K$2,Production_Consumption!$AA$83:$AJ$83,0)))*'CA Population'!$L718*10^6</f>
        <v>4474.6994981151111</v>
      </c>
      <c r="L718" s="131">
        <f t="shared" si="11"/>
        <v>0</v>
      </c>
    </row>
    <row r="719" spans="1:12" x14ac:dyDescent="0.2">
      <c r="A719" s="132" t="s">
        <v>313</v>
      </c>
      <c r="B719" s="129">
        <v>2008</v>
      </c>
      <c r="C719" s="143">
        <f>(INDEX(Production_Consumption!$AA$83:$AJ$99,MATCH('County Scaled Consumption '!$B719,Production_Consumption!$AA$83:$AA$99,0),MATCH('County Scaled Consumption '!C$2,Production_Consumption!$AA$83:$AJ$83,0)))*'CA Population'!$L719*10^6</f>
        <v>2120.2593414944554</v>
      </c>
      <c r="D719" s="143">
        <f>(INDEX(Production_Consumption!$AA$83:$AJ$99,MATCH('County Scaled Consumption '!$B719,Production_Consumption!$AA$83:$AA$99,0),MATCH('County Scaled Consumption '!D$2,Production_Consumption!$AA$83:$AJ$83,0)))*'CA Population'!$L719*10^6</f>
        <v>8393.503368605705</v>
      </c>
      <c r="E719" s="143">
        <f>(INDEX(Production_Consumption!$AA$83:$AJ$99,MATCH('County Scaled Consumption '!$B719,Production_Consumption!$AA$83:$AA$99,0),MATCH('County Scaled Consumption '!E$2,Production_Consumption!$AA$83:$AJ$83,0)))*'CA Population'!$L719*10^6</f>
        <v>4363.6593978320589</v>
      </c>
      <c r="F719" s="143">
        <f>(INDEX(Production_Consumption!$AA$83:$AJ$99,MATCH('County Scaled Consumption '!$B719,Production_Consumption!$AA$83:$AA$99,0),MATCH('County Scaled Consumption '!F$2,Production_Consumption!$AA$83:$AJ$83,0)))*'CA Population'!$L719*10^6</f>
        <v>2075.6121161368224</v>
      </c>
      <c r="G719" s="143">
        <f>(INDEX(Production_Consumption!$AA$83:$AJ$99,MATCH('County Scaled Consumption '!$B719,Production_Consumption!$AA$83:$AA$99,0),MATCH('County Scaled Consumption '!G$2,Production_Consumption!$AA$83:$AJ$83,0)))*'CA Population'!$L719*10^6</f>
        <v>5537.7615806093754</v>
      </c>
      <c r="H719" s="143">
        <f>(INDEX(Production_Consumption!$AA$83:$AJ$99,MATCH('County Scaled Consumption '!$B719,Production_Consumption!$AA$83:$AA$99,0),MATCH('County Scaled Consumption '!H$2,Production_Consumption!$AA$83:$AJ$83,0)))*'CA Population'!$L719*10^6</f>
        <v>153.28667202788054</v>
      </c>
      <c r="I719" s="143">
        <f>(INDEX(Production_Consumption!$AA$83:$AJ$99,MATCH('County Scaled Consumption '!$B719,Production_Consumption!$AA$83:$AA$99,0),MATCH('County Scaled Consumption '!I$2,Production_Consumption!$AA$83:$AJ$83,0)))*'CA Population'!$L719*10^6</f>
        <v>2500.0289336403848</v>
      </c>
      <c r="J719" s="143">
        <f>(INDEX(Production_Consumption!$AA$83:$AJ$99,MATCH('County Scaled Consumption '!$B719,Production_Consumption!$AA$83:$AA$99,0),MATCH('County Scaled Consumption '!J$2,Production_Consumption!$AA$83:$AJ$83,0)))*'CA Population'!$L719*10^6</f>
        <v>2761.5051014735532</v>
      </c>
      <c r="K719" s="143">
        <f>(INDEX(Production_Consumption!$AA$83:$AJ$99,MATCH('County Scaled Consumption '!$B719,Production_Consumption!$AA$83:$AA$99,0),MATCH('County Scaled Consumption '!K$2,Production_Consumption!$AA$83:$AJ$83,0)))*'CA Population'!$L719*10^6</f>
        <v>27905.616511820237</v>
      </c>
      <c r="L719" s="131">
        <f t="shared" si="11"/>
        <v>0</v>
      </c>
    </row>
    <row r="720" spans="1:12" x14ac:dyDescent="0.2">
      <c r="A720" s="132" t="s">
        <v>314</v>
      </c>
      <c r="B720" s="129">
        <v>2008</v>
      </c>
      <c r="C720" s="143">
        <f>(INDEX(Production_Consumption!$AA$83:$AJ$99,MATCH('County Scaled Consumption '!$B720,Production_Consumption!$AA$83:$AA$99,0),MATCH('County Scaled Consumption '!C$2,Production_Consumption!$AA$83:$AJ$83,0)))*'CA Population'!$L720*10^6</f>
        <v>10804.339693816619</v>
      </c>
      <c r="D720" s="143">
        <f>(INDEX(Production_Consumption!$AA$83:$AJ$99,MATCH('County Scaled Consumption '!$B720,Production_Consumption!$AA$83:$AA$99,0),MATCH('County Scaled Consumption '!D$2,Production_Consumption!$AA$83:$AJ$83,0)))*'CA Population'!$L720*10^6</f>
        <v>42771.306245815344</v>
      </c>
      <c r="E720" s="143">
        <f>(INDEX(Production_Consumption!$AA$83:$AJ$99,MATCH('County Scaled Consumption '!$B720,Production_Consumption!$AA$83:$AA$99,0),MATCH('County Scaled Consumption '!E$2,Production_Consumption!$AA$83:$AJ$83,0)))*'CA Population'!$L720*10^6</f>
        <v>22236.175320450122</v>
      </c>
      <c r="F720" s="143">
        <f>(INDEX(Production_Consumption!$AA$83:$AJ$99,MATCH('County Scaled Consumption '!$B720,Production_Consumption!$AA$83:$AA$99,0),MATCH('County Scaled Consumption '!F$2,Production_Consumption!$AA$83:$AJ$83,0)))*'CA Population'!$L720*10^6</f>
        <v>10576.828002341064</v>
      </c>
      <c r="G720" s="143">
        <f>(INDEX(Production_Consumption!$AA$83:$AJ$99,MATCH('County Scaled Consumption '!$B720,Production_Consumption!$AA$83:$AA$99,0),MATCH('County Scaled Consumption '!G$2,Production_Consumption!$AA$83:$AJ$83,0)))*'CA Population'!$L720*10^6</f>
        <v>28219.122108948384</v>
      </c>
      <c r="H720" s="143">
        <f>(INDEX(Production_Consumption!$AA$83:$AJ$99,MATCH('County Scaled Consumption '!$B720,Production_Consumption!$AA$83:$AA$99,0),MATCH('County Scaled Consumption '!H$2,Production_Consumption!$AA$83:$AJ$83,0)))*'CA Population'!$L720*10^6</f>
        <v>781.11259444165046</v>
      </c>
      <c r="I720" s="143">
        <f>(INDEX(Production_Consumption!$AA$83:$AJ$99,MATCH('County Scaled Consumption '!$B720,Production_Consumption!$AA$83:$AA$99,0),MATCH('County Scaled Consumption '!I$2,Production_Consumption!$AA$83:$AJ$83,0)))*'CA Population'!$L720*10^6</f>
        <v>12739.555635860161</v>
      </c>
      <c r="J720" s="143">
        <f>(INDEX(Production_Consumption!$AA$83:$AJ$99,MATCH('County Scaled Consumption '!$B720,Production_Consumption!$AA$83:$AA$99,0),MATCH('County Scaled Consumption '!J$2,Production_Consumption!$AA$83:$AJ$83,0)))*'CA Population'!$L720*10^6</f>
        <v>14071.976290173003</v>
      </c>
      <c r="K720" s="143">
        <f>(INDEX(Production_Consumption!$AA$83:$AJ$99,MATCH('County Scaled Consumption '!$B720,Production_Consumption!$AA$83:$AA$99,0),MATCH('County Scaled Consumption '!K$2,Production_Consumption!$AA$83:$AJ$83,0)))*'CA Population'!$L720*10^6</f>
        <v>142200.41589184635</v>
      </c>
      <c r="L720" s="131">
        <f t="shared" si="11"/>
        <v>0</v>
      </c>
    </row>
    <row r="721" spans="1:12" x14ac:dyDescent="0.2">
      <c r="A721" s="132" t="s">
        <v>315</v>
      </c>
      <c r="B721" s="129">
        <v>2008</v>
      </c>
      <c r="C721" s="143">
        <f>(INDEX(Production_Consumption!$AA$83:$AJ$99,MATCH('County Scaled Consumption '!$B721,Production_Consumption!$AA$83:$AA$99,0),MATCH('County Scaled Consumption '!C$2,Production_Consumption!$AA$83:$AJ$83,0)))*'CA Population'!$L721*10^6</f>
        <v>334.50366604486521</v>
      </c>
      <c r="D721" s="143">
        <f>(INDEX(Production_Consumption!$AA$83:$AJ$99,MATCH('County Scaled Consumption '!$B721,Production_Consumption!$AA$83:$AA$99,0),MATCH('County Scaled Consumption '!D$2,Production_Consumption!$AA$83:$AJ$83,0)))*'CA Population'!$L721*10^6</f>
        <v>1324.2048238210184</v>
      </c>
      <c r="E721" s="143">
        <f>(INDEX(Production_Consumption!$AA$83:$AJ$99,MATCH('County Scaled Consumption '!$B721,Production_Consumption!$AA$83:$AA$99,0),MATCH('County Scaled Consumption '!E$2,Production_Consumption!$AA$83:$AJ$83,0)))*'CA Population'!$L721*10^6</f>
        <v>688.43468220124316</v>
      </c>
      <c r="F721" s="143">
        <f>(INDEX(Production_Consumption!$AA$83:$AJ$99,MATCH('County Scaled Consumption '!$B721,Production_Consumption!$AA$83:$AA$99,0),MATCH('County Scaled Consumption '!F$2,Production_Consumption!$AA$83:$AJ$83,0)))*'CA Population'!$L721*10^6</f>
        <v>327.4598765099808</v>
      </c>
      <c r="G721" s="143">
        <f>(INDEX(Production_Consumption!$AA$83:$AJ$99,MATCH('County Scaled Consumption '!$B721,Production_Consumption!$AA$83:$AA$99,0),MATCH('County Scaled Consumption '!G$2,Production_Consumption!$AA$83:$AJ$83,0)))*'CA Population'!$L721*10^6</f>
        <v>873.66743970602488</v>
      </c>
      <c r="H721" s="143">
        <f>(INDEX(Production_Consumption!$AA$83:$AJ$99,MATCH('County Scaled Consumption '!$B721,Production_Consumption!$AA$83:$AA$99,0),MATCH('County Scaled Consumption '!H$2,Production_Consumption!$AA$83:$AJ$83,0)))*'CA Population'!$L721*10^6</f>
        <v>24.183340568612707</v>
      </c>
      <c r="I721" s="143">
        <f>(INDEX(Production_Consumption!$AA$83:$AJ$99,MATCH('County Scaled Consumption '!$B721,Production_Consumption!$AA$83:$AA$99,0),MATCH('County Scaled Consumption '!I$2,Production_Consumption!$AA$83:$AJ$83,0)))*'CA Population'!$L721*10^6</f>
        <v>394.41818609392533</v>
      </c>
      <c r="J721" s="143">
        <f>(INDEX(Production_Consumption!$AA$83:$AJ$99,MATCH('County Scaled Consumption '!$B721,Production_Consumption!$AA$83:$AA$99,0),MATCH('County Scaled Consumption '!J$2,Production_Consumption!$AA$83:$AJ$83,0)))*'CA Population'!$L721*10^6</f>
        <v>435.67009099623226</v>
      </c>
      <c r="K721" s="143">
        <f>(INDEX(Production_Consumption!$AA$83:$AJ$99,MATCH('County Scaled Consumption '!$B721,Production_Consumption!$AA$83:$AA$99,0),MATCH('County Scaled Consumption '!K$2,Production_Consumption!$AA$83:$AJ$83,0)))*'CA Population'!$L721*10^6</f>
        <v>4402.5421059419023</v>
      </c>
      <c r="L721" s="131">
        <f t="shared" si="11"/>
        <v>0</v>
      </c>
    </row>
    <row r="722" spans="1:12" x14ac:dyDescent="0.2">
      <c r="A722" s="132" t="s">
        <v>316</v>
      </c>
      <c r="B722" s="129">
        <v>2008</v>
      </c>
      <c r="C722" s="143">
        <f>(INDEX(Production_Consumption!$AA$83:$AJ$99,MATCH('County Scaled Consumption '!$B722,Production_Consumption!$AA$83:$AA$99,0),MATCH('County Scaled Consumption '!C$2,Production_Consumption!$AA$83:$AJ$83,0)))*'CA Population'!$L722*10^6</f>
        <v>1584.3336004778014</v>
      </c>
      <c r="D722" s="143">
        <f>(INDEX(Production_Consumption!$AA$83:$AJ$99,MATCH('County Scaled Consumption '!$B722,Production_Consumption!$AA$83:$AA$99,0),MATCH('County Scaled Consumption '!D$2,Production_Consumption!$AA$83:$AJ$83,0)))*'CA Population'!$L722*10^6</f>
        <v>6271.9258688574</v>
      </c>
      <c r="E722" s="143">
        <f>(INDEX(Production_Consumption!$AA$83:$AJ$99,MATCH('County Scaled Consumption '!$B722,Production_Consumption!$AA$83:$AA$99,0),MATCH('County Scaled Consumption '!E$2,Production_Consumption!$AA$83:$AJ$83,0)))*'CA Population'!$L722*10^6</f>
        <v>3260.6823466006358</v>
      </c>
      <c r="F722" s="143">
        <f>(INDEX(Production_Consumption!$AA$83:$AJ$99,MATCH('County Scaled Consumption '!$B722,Production_Consumption!$AA$83:$AA$99,0),MATCH('County Scaled Consumption '!F$2,Production_Consumption!$AA$83:$AJ$83,0)))*'CA Population'!$L722*10^6</f>
        <v>1550.9715971049761</v>
      </c>
      <c r="G722" s="143">
        <f>(INDEX(Production_Consumption!$AA$83:$AJ$99,MATCH('County Scaled Consumption '!$B722,Production_Consumption!$AA$83:$AA$99,0),MATCH('County Scaled Consumption '!G$2,Production_Consumption!$AA$83:$AJ$83,0)))*'CA Population'!$L722*10^6</f>
        <v>4138.0134834875507</v>
      </c>
      <c r="H722" s="143">
        <f>(INDEX(Production_Consumption!$AA$83:$AJ$99,MATCH('County Scaled Consumption '!$B722,Production_Consumption!$AA$83:$AA$99,0),MATCH('County Scaled Consumption '!H$2,Production_Consumption!$AA$83:$AJ$83,0)))*'CA Population'!$L722*10^6</f>
        <v>114.54128287345029</v>
      </c>
      <c r="I722" s="143">
        <f>(INDEX(Production_Consumption!$AA$83:$AJ$99,MATCH('County Scaled Consumption '!$B722,Production_Consumption!$AA$83:$AA$99,0),MATCH('County Scaled Consumption '!I$2,Production_Consumption!$AA$83:$AJ$83,0)))*'CA Population'!$L722*10^6</f>
        <v>1868.1110202968571</v>
      </c>
      <c r="J722" s="143">
        <f>(INDEX(Production_Consumption!$AA$83:$AJ$99,MATCH('County Scaled Consumption '!$B722,Production_Consumption!$AA$83:$AA$99,0),MATCH('County Scaled Consumption '!J$2,Production_Consumption!$AA$83:$AJ$83,0)))*'CA Population'!$L722*10^6</f>
        <v>2063.495363294383</v>
      </c>
      <c r="K722" s="143">
        <f>(INDEX(Production_Consumption!$AA$83:$AJ$99,MATCH('County Scaled Consumption '!$B722,Production_Consumption!$AA$83:$AA$99,0),MATCH('County Scaled Consumption '!K$2,Production_Consumption!$AA$83:$AJ$83,0)))*'CA Population'!$L722*10^6</f>
        <v>20852.074562993057</v>
      </c>
      <c r="L722" s="131">
        <f t="shared" si="11"/>
        <v>0</v>
      </c>
    </row>
    <row r="723" spans="1:12" x14ac:dyDescent="0.2">
      <c r="A723" s="132" t="s">
        <v>317</v>
      </c>
      <c r="B723" s="129">
        <v>2008</v>
      </c>
      <c r="C723" s="143">
        <f>(INDEX(Production_Consumption!$AA$83:$AJ$99,MATCH('County Scaled Consumption '!$B723,Production_Consumption!$AA$83:$AA$99,0),MATCH('County Scaled Consumption '!C$2,Production_Consumption!$AA$83:$AJ$83,0)))*'CA Population'!$L723*10^6</f>
        <v>2008.2019244006831</v>
      </c>
      <c r="D723" s="143">
        <f>(INDEX(Production_Consumption!$AA$83:$AJ$99,MATCH('County Scaled Consumption '!$B723,Production_Consumption!$AA$83:$AA$99,0),MATCH('County Scaled Consumption '!D$2,Production_Consumption!$AA$83:$AJ$83,0)))*'CA Population'!$L723*10^6</f>
        <v>7949.8999426253304</v>
      </c>
      <c r="E723" s="143">
        <f>(INDEX(Production_Consumption!$AA$83:$AJ$99,MATCH('County Scaled Consumption '!$B723,Production_Consumption!$AA$83:$AA$99,0),MATCH('County Scaled Consumption '!E$2,Production_Consumption!$AA$83:$AJ$83,0)))*'CA Population'!$L723*10^6</f>
        <v>4133.0364774994114</v>
      </c>
      <c r="F723" s="143">
        <f>(INDEX(Production_Consumption!$AA$83:$AJ$99,MATCH('County Scaled Consumption '!$B723,Production_Consumption!$AA$83:$AA$99,0),MATCH('County Scaled Consumption '!F$2,Production_Consumption!$AA$83:$AJ$83,0)))*'CA Population'!$L723*10^6</f>
        <v>1965.9143409302792</v>
      </c>
      <c r="G723" s="143">
        <f>(INDEX(Production_Consumption!$AA$83:$AJ$99,MATCH('County Scaled Consumption '!$B723,Production_Consumption!$AA$83:$AA$99,0),MATCH('County Scaled Consumption '!G$2,Production_Consumption!$AA$83:$AJ$83,0)))*'CA Population'!$L723*10^6</f>
        <v>5245.086412501485</v>
      </c>
      <c r="H723" s="143">
        <f>(INDEX(Production_Consumption!$AA$83:$AJ$99,MATCH('County Scaled Consumption '!$B723,Production_Consumption!$AA$83:$AA$99,0),MATCH('County Scaled Consumption '!H$2,Production_Consumption!$AA$83:$AJ$83,0)))*'CA Population'!$L723*10^6</f>
        <v>145.18534771996005</v>
      </c>
      <c r="I723" s="143">
        <f>(INDEX(Production_Consumption!$AA$83:$AJ$99,MATCH('County Scaled Consumption '!$B723,Production_Consumption!$AA$83:$AA$99,0),MATCH('County Scaled Consumption '!I$2,Production_Consumption!$AA$83:$AJ$83,0)))*'CA Population'!$L723*10^6</f>
        <v>2367.9003871551326</v>
      </c>
      <c r="J723" s="143">
        <f>(INDEX(Production_Consumption!$AA$83:$AJ$99,MATCH('County Scaled Consumption '!$B723,Production_Consumption!$AA$83:$AA$99,0),MATCH('County Scaled Consumption '!J$2,Production_Consumption!$AA$83:$AJ$83,0)))*'CA Population'!$L723*10^6</f>
        <v>2615.5573285259802</v>
      </c>
      <c r="K723" s="143">
        <f>(INDEX(Production_Consumption!$AA$83:$AJ$99,MATCH('County Scaled Consumption '!$B723,Production_Consumption!$AA$83:$AA$99,0),MATCH('County Scaled Consumption '!K$2,Production_Consumption!$AA$83:$AJ$83,0)))*'CA Population'!$L723*10^6</f>
        <v>26430.782161358264</v>
      </c>
      <c r="L723" s="131">
        <f t="shared" si="11"/>
        <v>0</v>
      </c>
    </row>
    <row r="724" spans="1:12" x14ac:dyDescent="0.2">
      <c r="A724" s="132" t="s">
        <v>318</v>
      </c>
      <c r="B724" s="129">
        <v>2008</v>
      </c>
      <c r="C724" s="143">
        <f>(INDEX(Production_Consumption!$AA$83:$AJ$99,MATCH('County Scaled Consumption '!$B724,Production_Consumption!$AA$83:$AA$99,0),MATCH('County Scaled Consumption '!C$2,Production_Consumption!$AA$83:$AJ$83,0)))*'CA Population'!$L724*10^6</f>
        <v>219.49046938937639</v>
      </c>
      <c r="D724" s="143">
        <f>(INDEX(Production_Consumption!$AA$83:$AJ$99,MATCH('County Scaled Consumption '!$B724,Production_Consumption!$AA$83:$AA$99,0),MATCH('County Scaled Consumption '!D$2,Production_Consumption!$AA$83:$AJ$83,0)))*'CA Population'!$L724*10^6</f>
        <v>868.90030768502379</v>
      </c>
      <c r="E724" s="143">
        <f>(INDEX(Production_Consumption!$AA$83:$AJ$99,MATCH('County Scaled Consumption '!$B724,Production_Consumption!$AA$83:$AA$99,0),MATCH('County Scaled Consumption '!E$2,Production_Consumption!$AA$83:$AJ$83,0)))*'CA Population'!$L724*10^6</f>
        <v>451.72853657158464</v>
      </c>
      <c r="F724" s="143">
        <f>(INDEX(Production_Consumption!$AA$83:$AJ$99,MATCH('County Scaled Consumption '!$B724,Production_Consumption!$AA$83:$AA$99,0),MATCH('County Scaled Consumption '!F$2,Production_Consumption!$AA$83:$AJ$83,0)))*'CA Population'!$L724*10^6</f>
        <v>214.86856288063163</v>
      </c>
      <c r="G724" s="143">
        <f>(INDEX(Production_Consumption!$AA$83:$AJ$99,MATCH('County Scaled Consumption '!$B724,Production_Consumption!$AA$83:$AA$99,0),MATCH('County Scaled Consumption '!G$2,Production_Consumption!$AA$83:$AJ$83,0)))*'CA Population'!$L724*10^6</f>
        <v>573.27227141830531</v>
      </c>
      <c r="H724" s="143">
        <f>(INDEX(Production_Consumption!$AA$83:$AJ$99,MATCH('County Scaled Consumption '!$B724,Production_Consumption!$AA$83:$AA$99,0),MATCH('County Scaled Consumption '!H$2,Production_Consumption!$AA$83:$AJ$83,0)))*'CA Population'!$L724*10^6</f>
        <v>15.868324660142937</v>
      </c>
      <c r="I724" s="143">
        <f>(INDEX(Production_Consumption!$AA$83:$AJ$99,MATCH('County Scaled Consumption '!$B724,Production_Consumption!$AA$83:$AA$99,0),MATCH('County Scaled Consumption '!I$2,Production_Consumption!$AA$83:$AJ$83,0)))*'CA Population'!$L724*10^6</f>
        <v>258.80443651057254</v>
      </c>
      <c r="J724" s="143">
        <f>(INDEX(Production_Consumption!$AA$83:$AJ$99,MATCH('County Scaled Consumption '!$B724,Production_Consumption!$AA$83:$AA$99,0),MATCH('County Scaled Consumption '!J$2,Production_Consumption!$AA$83:$AJ$83,0)))*'CA Population'!$L724*10^6</f>
        <v>285.87260014917035</v>
      </c>
      <c r="K724" s="143">
        <f>(INDEX(Production_Consumption!$AA$83:$AJ$99,MATCH('County Scaled Consumption '!$B724,Production_Consumption!$AA$83:$AA$99,0),MATCH('County Scaled Consumption '!K$2,Production_Consumption!$AA$83:$AJ$83,0)))*'CA Population'!$L724*10^6</f>
        <v>2888.8055092648078</v>
      </c>
      <c r="L724" s="131">
        <f t="shared" si="11"/>
        <v>0</v>
      </c>
    </row>
    <row r="725" spans="1:12" x14ac:dyDescent="0.2">
      <c r="A725" s="132" t="s">
        <v>319</v>
      </c>
      <c r="B725" s="129">
        <v>2008</v>
      </c>
      <c r="C725" s="143">
        <f>(INDEX(Production_Consumption!$AA$83:$AJ$99,MATCH('County Scaled Consumption '!$B725,Production_Consumption!$AA$83:$AA$99,0),MATCH('County Scaled Consumption '!C$2,Production_Consumption!$AA$83:$AJ$83,0)))*'CA Population'!$L725*10^6</f>
        <v>9687.6866981845578</v>
      </c>
      <c r="D725" s="143">
        <f>(INDEX(Production_Consumption!$AA$83:$AJ$99,MATCH('County Scaled Consumption '!$B725,Production_Consumption!$AA$83:$AA$99,0),MATCH('County Scaled Consumption '!D$2,Production_Consumption!$AA$83:$AJ$83,0)))*'CA Population'!$L725*10^6</f>
        <v>38350.794803193843</v>
      </c>
      <c r="E725" s="143">
        <f>(INDEX(Production_Consumption!$AA$83:$AJ$99,MATCH('County Scaled Consumption '!$B725,Production_Consumption!$AA$83:$AA$99,0),MATCH('County Scaled Consumption '!E$2,Production_Consumption!$AA$83:$AJ$83,0)))*'CA Population'!$L725*10^6</f>
        <v>19938.01620229589</v>
      </c>
      <c r="F725" s="143">
        <f>(INDEX(Production_Consumption!$AA$83:$AJ$99,MATCH('County Scaled Consumption '!$B725,Production_Consumption!$AA$83:$AA$99,0),MATCH('County Scaled Consumption '!F$2,Production_Consumption!$AA$83:$AJ$83,0)))*'CA Population'!$L725*10^6</f>
        <v>9483.6888556833073</v>
      </c>
      <c r="G725" s="143">
        <f>(INDEX(Production_Consumption!$AA$83:$AJ$99,MATCH('County Scaled Consumption '!$B725,Production_Consumption!$AA$83:$AA$99,0),MATCH('County Scaled Consumption '!G$2,Production_Consumption!$AA$83:$AJ$83,0)))*'CA Population'!$L725*10^6</f>
        <v>25302.611879720956</v>
      </c>
      <c r="H725" s="143">
        <f>(INDEX(Production_Consumption!$AA$83:$AJ$99,MATCH('County Scaled Consumption '!$B725,Production_Consumption!$AA$83:$AA$99,0),MATCH('County Scaled Consumption '!H$2,Production_Consumption!$AA$83:$AJ$83,0)))*'CA Population'!$L725*10^6</f>
        <v>700.38283739704525</v>
      </c>
      <c r="I725" s="143">
        <f>(INDEX(Production_Consumption!$AA$83:$AJ$99,MATCH('County Scaled Consumption '!$B725,Production_Consumption!$AA$83:$AA$99,0),MATCH('County Scaled Consumption '!I$2,Production_Consumption!$AA$83:$AJ$83,0)))*'CA Population'!$L725*10^6</f>
        <v>11422.893686407944</v>
      </c>
      <c r="J725" s="143">
        <f>(INDEX(Production_Consumption!$AA$83:$AJ$99,MATCH('County Scaled Consumption '!$B725,Production_Consumption!$AA$83:$AA$99,0),MATCH('County Scaled Consumption '!J$2,Production_Consumption!$AA$83:$AJ$83,0)))*'CA Population'!$L725*10^6</f>
        <v>12617.605646136519</v>
      </c>
      <c r="K725" s="143">
        <f>(INDEX(Production_Consumption!$AA$83:$AJ$99,MATCH('County Scaled Consumption '!$B725,Production_Consumption!$AA$83:$AA$99,0),MATCH('County Scaled Consumption '!K$2,Production_Consumption!$AA$83:$AJ$83,0)))*'CA Population'!$L725*10^6</f>
        <v>127503.68060902007</v>
      </c>
      <c r="L725" s="131">
        <f t="shared" si="11"/>
        <v>0</v>
      </c>
    </row>
    <row r="726" spans="1:12" x14ac:dyDescent="0.2">
      <c r="A726" s="132" t="s">
        <v>320</v>
      </c>
      <c r="B726" s="129">
        <v>2008</v>
      </c>
      <c r="C726" s="143">
        <f>(INDEX(Production_Consumption!$AA$83:$AJ$99,MATCH('County Scaled Consumption '!$B726,Production_Consumption!$AA$83:$AA$99,0),MATCH('County Scaled Consumption '!C$2,Production_Consumption!$AA$83:$AJ$83,0)))*'CA Population'!$L726*10^6</f>
        <v>1800.9517195672843</v>
      </c>
      <c r="D726" s="143">
        <f>(INDEX(Production_Consumption!$AA$83:$AJ$99,MATCH('County Scaled Consumption '!$B726,Production_Consumption!$AA$83:$AA$99,0),MATCH('County Scaled Consumption '!D$2,Production_Consumption!$AA$83:$AJ$83,0)))*'CA Population'!$L726*10^6</f>
        <v>7129.4553590928108</v>
      </c>
      <c r="E726" s="143">
        <f>(INDEX(Production_Consumption!$AA$83:$AJ$99,MATCH('County Scaled Consumption '!$B726,Production_Consumption!$AA$83:$AA$99,0),MATCH('County Scaled Consumption '!E$2,Production_Consumption!$AA$83:$AJ$83,0)))*'CA Population'!$L726*10^6</f>
        <v>3706.4993618150447</v>
      </c>
      <c r="F726" s="143">
        <f>(INDEX(Production_Consumption!$AA$83:$AJ$99,MATCH('County Scaled Consumption '!$B726,Production_Consumption!$AA$83:$AA$99,0),MATCH('County Scaled Consumption '!F$2,Production_Consumption!$AA$83:$AJ$83,0)))*'CA Population'!$L726*10^6</f>
        <v>1763.0282940182842</v>
      </c>
      <c r="G726" s="143">
        <f>(INDEX(Production_Consumption!$AA$83:$AJ$99,MATCH('County Scaled Consumption '!$B726,Production_Consumption!$AA$83:$AA$99,0),MATCH('County Scaled Consumption '!G$2,Production_Consumption!$AA$83:$AJ$83,0)))*'CA Population'!$L726*10^6</f>
        <v>4703.7836579569093</v>
      </c>
      <c r="H726" s="143">
        <f>(INDEX(Production_Consumption!$AA$83:$AJ$99,MATCH('County Scaled Consumption '!$B726,Production_Consumption!$AA$83:$AA$99,0),MATCH('County Scaled Consumption '!H$2,Production_Consumption!$AA$83:$AJ$83,0)))*'CA Population'!$L726*10^6</f>
        <v>130.20194755080141</v>
      </c>
      <c r="I726" s="143">
        <f>(INDEX(Production_Consumption!$AA$83:$AJ$99,MATCH('County Scaled Consumption '!$B726,Production_Consumption!$AA$83:$AA$99,0),MATCH('County Scaled Consumption '!I$2,Production_Consumption!$AA$83:$AJ$83,0)))*'CA Population'!$L726*10^6</f>
        <v>2123.5286263774206</v>
      </c>
      <c r="J726" s="143">
        <f>(INDEX(Production_Consumption!$AA$83:$AJ$99,MATCH('County Scaled Consumption '!$B726,Production_Consumption!$AA$83:$AA$99,0),MATCH('County Scaled Consumption '!J$2,Production_Consumption!$AA$83:$AJ$83,0)))*'CA Population'!$L726*10^6</f>
        <v>2345.6269069363889</v>
      </c>
      <c r="K726" s="143">
        <f>(INDEX(Production_Consumption!$AA$83:$AJ$99,MATCH('County Scaled Consumption '!$B726,Production_Consumption!$AA$83:$AA$99,0),MATCH('County Scaled Consumption '!K$2,Production_Consumption!$AA$83:$AJ$83,0)))*'CA Population'!$L726*10^6</f>
        <v>23703.075873314945</v>
      </c>
      <c r="L726" s="131">
        <f t="shared" si="11"/>
        <v>0</v>
      </c>
    </row>
    <row r="727" spans="1:12" x14ac:dyDescent="0.2">
      <c r="A727" s="132" t="s">
        <v>321</v>
      </c>
      <c r="B727" s="129">
        <v>2008</v>
      </c>
      <c r="C727" s="143">
        <f>(INDEX(Production_Consumption!$AA$83:$AJ$99,MATCH('County Scaled Consumption '!$B727,Production_Consumption!$AA$83:$AA$99,0),MATCH('County Scaled Consumption '!C$2,Production_Consumption!$AA$83:$AJ$83,0)))*'CA Population'!$L727*10^6</f>
        <v>764.90330932186134</v>
      </c>
      <c r="D727" s="143">
        <f>(INDEX(Production_Consumption!$AA$83:$AJ$99,MATCH('County Scaled Consumption '!$B727,Production_Consumption!$AA$83:$AA$99,0),MATCH('County Scaled Consumption '!D$2,Production_Consumption!$AA$83:$AJ$83,0)))*'CA Population'!$L727*10^6</f>
        <v>3028.0345322876551</v>
      </c>
      <c r="E727" s="143">
        <f>(INDEX(Production_Consumption!$AA$83:$AJ$99,MATCH('County Scaled Consumption '!$B727,Production_Consumption!$AA$83:$AA$99,0),MATCH('County Scaled Consumption '!E$2,Production_Consumption!$AA$83:$AJ$83,0)))*'CA Population'!$L727*10^6</f>
        <v>1574.230778675671</v>
      </c>
      <c r="F727" s="143">
        <f>(INDEX(Production_Consumption!$AA$83:$AJ$99,MATCH('County Scaled Consumption '!$B727,Production_Consumption!$AA$83:$AA$99,0),MATCH('County Scaled Consumption '!F$2,Production_Consumption!$AA$83:$AJ$83,0)))*'CA Population'!$L727*10^6</f>
        <v>748.79640685019422</v>
      </c>
      <c r="G727" s="143">
        <f>(INDEX(Production_Consumption!$AA$83:$AJ$99,MATCH('County Scaled Consumption '!$B727,Production_Consumption!$AA$83:$AA$99,0),MATCH('County Scaled Consumption '!G$2,Production_Consumption!$AA$83:$AJ$83,0)))*'CA Population'!$L727*10^6</f>
        <v>1997.7990787947435</v>
      </c>
      <c r="H727" s="143">
        <f>(INDEX(Production_Consumption!$AA$83:$AJ$99,MATCH('County Scaled Consumption '!$B727,Production_Consumption!$AA$83:$AA$99,0),MATCH('County Scaled Consumption '!H$2,Production_Consumption!$AA$83:$AJ$83,0)))*'CA Population'!$L727*10^6</f>
        <v>55.299594919561983</v>
      </c>
      <c r="I727" s="143">
        <f>(INDEX(Production_Consumption!$AA$83:$AJ$99,MATCH('County Scaled Consumption '!$B727,Production_Consumption!$AA$83:$AA$99,0),MATCH('County Scaled Consumption '!I$2,Production_Consumption!$AA$83:$AJ$83,0)))*'CA Population'!$L727*10^6</f>
        <v>901.90872753993949</v>
      </c>
      <c r="J727" s="143">
        <f>(INDEX(Production_Consumption!$AA$83:$AJ$99,MATCH('County Scaled Consumption '!$B727,Production_Consumption!$AA$83:$AA$99,0),MATCH('County Scaled Consumption '!J$2,Production_Consumption!$AA$83:$AJ$83,0)))*'CA Population'!$L727*10^6</f>
        <v>996.23869094121721</v>
      </c>
      <c r="K727" s="143">
        <f>(INDEX(Production_Consumption!$AA$83:$AJ$99,MATCH('County Scaled Consumption '!$B727,Production_Consumption!$AA$83:$AA$99,0),MATCH('County Scaled Consumption '!K$2,Production_Consumption!$AA$83:$AJ$83,0)))*'CA Population'!$L727*10^6</f>
        <v>10067.211119330845</v>
      </c>
      <c r="L727" s="131">
        <f t="shared" si="11"/>
        <v>0</v>
      </c>
    </row>
    <row r="728" spans="1:12" x14ac:dyDescent="0.2">
      <c r="A728" s="132" t="s">
        <v>322</v>
      </c>
      <c r="B728" s="129">
        <v>2008</v>
      </c>
      <c r="C728" s="143">
        <f>(INDEX(Production_Consumption!$AA$83:$AJ$99,MATCH('County Scaled Consumption '!$B728,Production_Consumption!$AA$83:$AA$99,0),MATCH('County Scaled Consumption '!C$2,Production_Consumption!$AA$83:$AJ$83,0)))*'CA Population'!$L728*10^6</f>
        <v>422.3546787440992</v>
      </c>
      <c r="D728" s="143">
        <f>(INDEX(Production_Consumption!$AA$83:$AJ$99,MATCH('County Scaled Consumption '!$B728,Production_Consumption!$AA$83:$AA$99,0),MATCH('County Scaled Consumption '!D$2,Production_Consumption!$AA$83:$AJ$83,0)))*'CA Population'!$L728*10^6</f>
        <v>1671.981983244689</v>
      </c>
      <c r="E728" s="143">
        <f>(INDEX(Production_Consumption!$AA$83:$AJ$99,MATCH('County Scaled Consumption '!$B728,Production_Consumption!$AA$83:$AA$99,0),MATCH('County Scaled Consumption '!E$2,Production_Consumption!$AA$83:$AJ$83,0)))*'CA Population'!$L728*10^6</f>
        <v>869.23893084748295</v>
      </c>
      <c r="F728" s="143">
        <f>(INDEX(Production_Consumption!$AA$83:$AJ$99,MATCH('County Scaled Consumption '!$B728,Production_Consumption!$AA$83:$AA$99,0),MATCH('County Scaled Consumption '!F$2,Production_Consumption!$AA$83:$AJ$83,0)))*'CA Population'!$L728*10^6</f>
        <v>413.46097213297907</v>
      </c>
      <c r="G728" s="143">
        <f>(INDEX(Production_Consumption!$AA$83:$AJ$99,MATCH('County Scaled Consumption '!$B728,Production_Consumption!$AA$83:$AA$99,0),MATCH('County Scaled Consumption '!G$2,Production_Consumption!$AA$83:$AJ$83,0)))*'CA Population'!$L728*10^6</f>
        <v>1103.11954182507</v>
      </c>
      <c r="H728" s="143">
        <f>(INDEX(Production_Consumption!$AA$83:$AJ$99,MATCH('County Scaled Consumption '!$B728,Production_Consumption!$AA$83:$AA$99,0),MATCH('County Scaled Consumption '!H$2,Production_Consumption!$AA$83:$AJ$83,0)))*'CA Population'!$L728*10^6</f>
        <v>30.534634067196205</v>
      </c>
      <c r="I728" s="143">
        <f>(INDEX(Production_Consumption!$AA$83:$AJ$99,MATCH('County Scaled Consumption '!$B728,Production_Consumption!$AA$83:$AA$99,0),MATCH('County Scaled Consumption '!I$2,Production_Consumption!$AA$83:$AJ$83,0)))*'CA Population'!$L728*10^6</f>
        <v>498.00460559432884</v>
      </c>
      <c r="J728" s="143">
        <f>(INDEX(Production_Consumption!$AA$83:$AJ$99,MATCH('County Scaled Consumption '!$B728,Production_Consumption!$AA$83:$AA$99,0),MATCH('County Scaled Consumption '!J$2,Production_Consumption!$AA$83:$AJ$83,0)))*'CA Population'!$L728*10^6</f>
        <v>550.09053711371359</v>
      </c>
      <c r="K728" s="143">
        <f>(INDEX(Production_Consumption!$AA$83:$AJ$99,MATCH('County Scaled Consumption '!$B728,Production_Consumption!$AA$83:$AA$99,0),MATCH('County Scaled Consumption '!K$2,Production_Consumption!$AA$83:$AJ$83,0)))*'CA Population'!$L728*10^6</f>
        <v>5558.7858835695588</v>
      </c>
      <c r="L728" s="131">
        <f t="shared" si="11"/>
        <v>0</v>
      </c>
    </row>
    <row r="729" spans="1:12" x14ac:dyDescent="0.2">
      <c r="A729" s="132" t="s">
        <v>323</v>
      </c>
      <c r="B729" s="129">
        <v>2008</v>
      </c>
      <c r="C729" s="143">
        <f>(INDEX(Production_Consumption!$AA$83:$AJ$99,MATCH('County Scaled Consumption '!$B729,Production_Consumption!$AA$83:$AA$99,0),MATCH('County Scaled Consumption '!C$2,Production_Consumption!$AA$83:$AJ$83,0)))*'CA Population'!$L729*10^6</f>
        <v>116627.83891494019</v>
      </c>
      <c r="D729" s="143">
        <f>(INDEX(Production_Consumption!$AA$83:$AJ$99,MATCH('County Scaled Consumption '!$B729,Production_Consumption!$AA$83:$AA$99,0),MATCH('County Scaled Consumption '!D$2,Production_Consumption!$AA$83:$AJ$83,0)))*'CA Population'!$L729*10^6</f>
        <v>461696.4253607624</v>
      </c>
      <c r="E729" s="143">
        <f>(INDEX(Production_Consumption!$AA$83:$AJ$99,MATCH('County Scaled Consumption '!$B729,Production_Consumption!$AA$83:$AA$99,0),MATCH('County Scaled Consumption '!E$2,Production_Consumption!$AA$83:$AJ$83,0)))*'CA Population'!$L729*10^6</f>
        <v>240029.20556468779</v>
      </c>
      <c r="F729" s="143">
        <f>(INDEX(Production_Consumption!$AA$83:$AJ$99,MATCH('County Scaled Consumption '!$B729,Production_Consumption!$AA$83:$AA$99,0),MATCH('County Scaled Consumption '!F$2,Production_Consumption!$AA$83:$AJ$83,0)))*'CA Population'!$L729*10^6</f>
        <v>114171.95566278161</v>
      </c>
      <c r="G729" s="143">
        <f>(INDEX(Production_Consumption!$AA$83:$AJ$99,MATCH('County Scaled Consumption '!$B729,Production_Consumption!$AA$83:$AA$99,0),MATCH('County Scaled Consumption '!G$2,Production_Consumption!$AA$83:$AJ$83,0)))*'CA Population'!$L729*10^6</f>
        <v>304612.34290208347</v>
      </c>
      <c r="H729" s="143">
        <f>(INDEX(Production_Consumption!$AA$83:$AJ$99,MATCH('County Scaled Consumption '!$B729,Production_Consumption!$AA$83:$AA$99,0),MATCH('County Scaled Consumption '!H$2,Production_Consumption!$AA$83:$AJ$83,0)))*'CA Population'!$L729*10^6</f>
        <v>8431.7483919085334</v>
      </c>
      <c r="I729" s="143">
        <f>(INDEX(Production_Consumption!$AA$83:$AJ$99,MATCH('County Scaled Consumption '!$B729,Production_Consumption!$AA$83:$AA$99,0),MATCH('County Scaled Consumption '!I$2,Production_Consumption!$AA$83:$AJ$83,0)))*'CA Population'!$L729*10^6</f>
        <v>137517.59798864348</v>
      </c>
      <c r="J729" s="143">
        <f>(INDEX(Production_Consumption!$AA$83:$AJ$99,MATCH('County Scaled Consumption '!$B729,Production_Consumption!$AA$83:$AA$99,0),MATCH('County Scaled Consumption '!J$2,Production_Consumption!$AA$83:$AJ$83,0)))*'CA Population'!$L729*10^6</f>
        <v>151900.46134188221</v>
      </c>
      <c r="K729" s="143">
        <f>(INDEX(Production_Consumption!$AA$83:$AJ$99,MATCH('County Scaled Consumption '!$B729,Production_Consumption!$AA$83:$AA$99,0),MATCH('County Scaled Consumption '!K$2,Production_Consumption!$AA$83:$AJ$83,0)))*'CA Population'!$L729*10^6</f>
        <v>1534987.5761276896</v>
      </c>
      <c r="L729" s="131">
        <f t="shared" si="11"/>
        <v>0</v>
      </c>
    </row>
    <row r="730" spans="1:12" x14ac:dyDescent="0.2">
      <c r="A730" s="132" t="s">
        <v>324</v>
      </c>
      <c r="B730" s="129">
        <v>2008</v>
      </c>
      <c r="C730" s="143">
        <f>(INDEX(Production_Consumption!$AA$83:$AJ$99,MATCH('County Scaled Consumption '!$B730,Production_Consumption!$AA$83:$AA$99,0),MATCH('County Scaled Consumption '!C$2,Production_Consumption!$AA$83:$AJ$83,0)))*'CA Population'!$L730*10^6</f>
        <v>1763.4323886790482</v>
      </c>
      <c r="D730" s="143">
        <f>(INDEX(Production_Consumption!$AA$83:$AJ$99,MATCH('County Scaled Consumption '!$B730,Production_Consumption!$AA$83:$AA$99,0),MATCH('County Scaled Consumption '!D$2,Production_Consumption!$AA$83:$AJ$83,0)))*'CA Population'!$L730*10^6</f>
        <v>6980.9270050206751</v>
      </c>
      <c r="E730" s="143">
        <f>(INDEX(Production_Consumption!$AA$83:$AJ$99,MATCH('County Scaled Consumption '!$B730,Production_Consumption!$AA$83:$AA$99,0),MATCH('County Scaled Consumption '!E$2,Production_Consumption!$AA$83:$AJ$83,0)))*'CA Population'!$L730*10^6</f>
        <v>3629.2816471578258</v>
      </c>
      <c r="F730" s="143">
        <f>(INDEX(Production_Consumption!$AA$83:$AJ$99,MATCH('County Scaled Consumption '!$B730,Production_Consumption!$AA$83:$AA$99,0),MATCH('County Scaled Consumption '!F$2,Production_Consumption!$AA$83:$AJ$83,0)))*'CA Population'!$L730*10^6</f>
        <v>1726.2990240384718</v>
      </c>
      <c r="G730" s="143">
        <f>(INDEX(Production_Consumption!$AA$83:$AJ$99,MATCH('County Scaled Consumption '!$B730,Production_Consumption!$AA$83:$AA$99,0),MATCH('County Scaled Consumption '!G$2,Production_Consumption!$AA$83:$AJ$83,0)))*'CA Population'!$L730*10^6</f>
        <v>4605.7894621258483</v>
      </c>
      <c r="H730" s="143">
        <f>(INDEX(Production_Consumption!$AA$83:$AJ$99,MATCH('County Scaled Consumption '!$B730,Production_Consumption!$AA$83:$AA$99,0),MATCH('County Scaled Consumption '!H$2,Production_Consumption!$AA$83:$AJ$83,0)))*'CA Population'!$L730*10^6</f>
        <v>127.48944287931303</v>
      </c>
      <c r="I730" s="143">
        <f>(INDEX(Production_Consumption!$AA$83:$AJ$99,MATCH('County Scaled Consumption '!$B730,Production_Consumption!$AA$83:$AA$99,0),MATCH('County Scaled Consumption '!I$2,Production_Consumption!$AA$83:$AJ$83,0)))*'CA Population'!$L730*10^6</f>
        <v>2079.2890322128205</v>
      </c>
      <c r="J730" s="143">
        <f>(INDEX(Production_Consumption!$AA$83:$AJ$99,MATCH('County Scaled Consumption '!$B730,Production_Consumption!$AA$83:$AA$99,0),MATCH('County Scaled Consumption '!J$2,Production_Consumption!$AA$83:$AJ$83,0)))*'CA Population'!$L730*10^6</f>
        <v>2296.7603265025491</v>
      </c>
      <c r="K730" s="143">
        <f>(INDEX(Production_Consumption!$AA$83:$AJ$99,MATCH('County Scaled Consumption '!$B730,Production_Consumption!$AA$83:$AA$99,0),MATCH('County Scaled Consumption '!K$2,Production_Consumption!$AA$83:$AJ$83,0)))*'CA Population'!$L730*10^6</f>
        <v>23209.268328616552</v>
      </c>
      <c r="L730" s="131">
        <f t="shared" si="11"/>
        <v>0</v>
      </c>
    </row>
    <row r="731" spans="1:12" x14ac:dyDescent="0.2">
      <c r="A731" s="132" t="s">
        <v>325</v>
      </c>
      <c r="B731" s="129">
        <v>2008</v>
      </c>
      <c r="C731" s="143">
        <f>(INDEX(Production_Consumption!$AA$83:$AJ$99,MATCH('County Scaled Consumption '!$B731,Production_Consumption!$AA$83:$AA$99,0),MATCH('County Scaled Consumption '!C$2,Production_Consumption!$AA$83:$AJ$83,0)))*'CA Population'!$L731*10^6</f>
        <v>2974.2055101130172</v>
      </c>
      <c r="D731" s="143">
        <f>(INDEX(Production_Consumption!$AA$83:$AJ$99,MATCH('County Scaled Consumption '!$B731,Production_Consumption!$AA$83:$AA$99,0),MATCH('County Scaled Consumption '!D$2,Production_Consumption!$AA$83:$AJ$83,0)))*'CA Population'!$L731*10^6</f>
        <v>11774.033241831396</v>
      </c>
      <c r="E731" s="143">
        <f>(INDEX(Production_Consumption!$AA$83:$AJ$99,MATCH('County Scaled Consumption '!$B731,Production_Consumption!$AA$83:$AA$99,0),MATCH('County Scaled Consumption '!E$2,Production_Consumption!$AA$83:$AJ$83,0)))*'CA Population'!$L731*10^6</f>
        <v>6121.1473385801837</v>
      </c>
      <c r="F731" s="143">
        <f>(INDEX(Production_Consumption!$AA$83:$AJ$99,MATCH('County Scaled Consumption '!$B731,Production_Consumption!$AA$83:$AA$99,0),MATCH('County Scaled Consumption '!F$2,Production_Consumption!$AA$83:$AJ$83,0)))*'CA Population'!$L731*10^6</f>
        <v>2911.5763679740498</v>
      </c>
      <c r="G731" s="143">
        <f>(INDEX(Production_Consumption!$AA$83:$AJ$99,MATCH('County Scaled Consumption '!$B731,Production_Consumption!$AA$83:$AA$99,0),MATCH('County Scaled Consumption '!G$2,Production_Consumption!$AA$83:$AJ$83,0)))*'CA Population'!$L731*10^6</f>
        <v>7768.1256648214821</v>
      </c>
      <c r="H731" s="143">
        <f>(INDEX(Production_Consumption!$AA$83:$AJ$99,MATCH('County Scaled Consumption '!$B731,Production_Consumption!$AA$83:$AA$99,0),MATCH('County Scaled Consumption '!H$2,Production_Consumption!$AA$83:$AJ$83,0)))*'CA Population'!$L731*10^6</f>
        <v>215.02372641398946</v>
      </c>
      <c r="I731" s="143">
        <f>(INDEX(Production_Consumption!$AA$83:$AJ$99,MATCH('County Scaled Consumption '!$B731,Production_Consumption!$AA$83:$AA$99,0),MATCH('County Scaled Consumption '!I$2,Production_Consumption!$AA$83:$AJ$83,0)))*'CA Population'!$L731*10^6</f>
        <v>3506.9294045106076</v>
      </c>
      <c r="J731" s="143">
        <f>(INDEX(Production_Consumption!$AA$83:$AJ$99,MATCH('County Scaled Consumption '!$B731,Production_Consumption!$AA$83:$AA$99,0),MATCH('County Scaled Consumption '!J$2,Production_Consumption!$AA$83:$AJ$83,0)))*'CA Population'!$L731*10^6</f>
        <v>3873.7165441368847</v>
      </c>
      <c r="K731" s="143">
        <f>(INDEX(Production_Consumption!$AA$83:$AJ$99,MATCH('County Scaled Consumption '!$B731,Production_Consumption!$AA$83:$AA$99,0),MATCH('County Scaled Consumption '!K$2,Production_Consumption!$AA$83:$AJ$83,0)))*'CA Population'!$L731*10^6</f>
        <v>39144.757798381615</v>
      </c>
      <c r="L731" s="131">
        <f t="shared" si="11"/>
        <v>0</v>
      </c>
    </row>
    <row r="732" spans="1:12" x14ac:dyDescent="0.2">
      <c r="A732" s="132" t="s">
        <v>326</v>
      </c>
      <c r="B732" s="129">
        <v>2008</v>
      </c>
      <c r="C732" s="143">
        <f>(INDEX(Production_Consumption!$AA$83:$AJ$99,MATCH('County Scaled Consumption '!$B732,Production_Consumption!$AA$83:$AA$99,0),MATCH('County Scaled Consumption '!C$2,Production_Consumption!$AA$83:$AJ$83,0)))*'CA Population'!$L732*10^6</f>
        <v>219.07332308026321</v>
      </c>
      <c r="D732" s="143">
        <f>(INDEX(Production_Consumption!$AA$83:$AJ$99,MATCH('County Scaled Consumption '!$B732,Production_Consumption!$AA$83:$AA$99,0),MATCH('County Scaled Consumption '!D$2,Production_Consumption!$AA$83:$AJ$83,0)))*'CA Population'!$L732*10^6</f>
        <v>867.24894415499682</v>
      </c>
      <c r="E732" s="143">
        <f>(INDEX(Production_Consumption!$AA$83:$AJ$99,MATCH('County Scaled Consumption '!$B732,Production_Consumption!$AA$83:$AA$99,0),MATCH('County Scaled Consumption '!E$2,Production_Consumption!$AA$83:$AJ$83,0)))*'CA Population'!$L732*10^6</f>
        <v>450.87001687240968</v>
      </c>
      <c r="F732" s="143">
        <f>(INDEX(Production_Consumption!$AA$83:$AJ$99,MATCH('County Scaled Consumption '!$B732,Production_Consumption!$AA$83:$AA$99,0),MATCH('County Scaled Consumption '!F$2,Production_Consumption!$AA$83:$AJ$83,0)))*'CA Population'!$L732*10^6</f>
        <v>214.46020060321948</v>
      </c>
      <c r="G732" s="143">
        <f>(INDEX(Production_Consumption!$AA$83:$AJ$99,MATCH('County Scaled Consumption '!$B732,Production_Consumption!$AA$83:$AA$99,0),MATCH('County Scaled Consumption '!G$2,Production_Consumption!$AA$83:$AJ$83,0)))*'CA Population'!$L732*10^6</f>
        <v>572.18275526389391</v>
      </c>
      <c r="H732" s="143">
        <f>(INDEX(Production_Consumption!$AA$83:$AJ$99,MATCH('County Scaled Consumption '!$B732,Production_Consumption!$AA$83:$AA$99,0),MATCH('County Scaled Consumption '!H$2,Production_Consumption!$AA$83:$AJ$83,0)))*'CA Population'!$L732*10^6</f>
        <v>15.838166571355741</v>
      </c>
      <c r="I732" s="143">
        <f>(INDEX(Production_Consumption!$AA$83:$AJ$99,MATCH('County Scaled Consumption '!$B732,Production_Consumption!$AA$83:$AA$99,0),MATCH('County Scaled Consumption '!I$2,Production_Consumption!$AA$83:$AJ$83,0)))*'CA Population'!$L732*10^6</f>
        <v>258.31257317011477</v>
      </c>
      <c r="J732" s="143">
        <f>(INDEX(Production_Consumption!$AA$83:$AJ$99,MATCH('County Scaled Consumption '!$B732,Production_Consumption!$AA$83:$AA$99,0),MATCH('County Scaled Consumption '!J$2,Production_Consumption!$AA$83:$AJ$83,0)))*'CA Population'!$L732*10^6</f>
        <v>285.32929318754884</v>
      </c>
      <c r="K732" s="143">
        <f>(INDEX(Production_Consumption!$AA$83:$AJ$99,MATCH('County Scaled Consumption '!$B732,Production_Consumption!$AA$83:$AA$99,0),MATCH('County Scaled Consumption '!K$2,Production_Consumption!$AA$83:$AJ$83,0)))*'CA Population'!$L732*10^6</f>
        <v>2883.3152729038025</v>
      </c>
      <c r="L732" s="131">
        <f t="shared" si="11"/>
        <v>0</v>
      </c>
    </row>
    <row r="733" spans="1:12" x14ac:dyDescent="0.2">
      <c r="A733" s="132" t="s">
        <v>327</v>
      </c>
      <c r="B733" s="129">
        <v>2008</v>
      </c>
      <c r="C733" s="143">
        <f>(INDEX(Production_Consumption!$AA$83:$AJ$99,MATCH('County Scaled Consumption '!$B733,Production_Consumption!$AA$83:$AA$99,0),MATCH('County Scaled Consumption '!C$2,Production_Consumption!$AA$83:$AJ$83,0)))*'CA Population'!$L733*10^6</f>
        <v>1045.428242967482</v>
      </c>
      <c r="D733" s="143">
        <f>(INDEX(Production_Consumption!$AA$83:$AJ$99,MATCH('County Scaled Consumption '!$B733,Production_Consumption!$AA$83:$AA$99,0),MATCH('County Scaled Consumption '!D$2,Production_Consumption!$AA$83:$AJ$83,0)))*'CA Population'!$L733*10^6</f>
        <v>4138.5529153231901</v>
      </c>
      <c r="E733" s="143">
        <f>(INDEX(Production_Consumption!$AA$83:$AJ$99,MATCH('County Scaled Consumption '!$B733,Production_Consumption!$AA$83:$AA$99,0),MATCH('County Scaled Consumption '!E$2,Production_Consumption!$AA$83:$AJ$83,0)))*'CA Population'!$L733*10^6</f>
        <v>2151.5730118036786</v>
      </c>
      <c r="F733" s="143">
        <f>(INDEX(Production_Consumption!$AA$83:$AJ$99,MATCH('County Scaled Consumption '!$B733,Production_Consumption!$AA$83:$AA$99,0),MATCH('County Scaled Consumption '!F$2,Production_Consumption!$AA$83:$AJ$83,0)))*'CA Population'!$L733*10^6</f>
        <v>1023.4142046630433</v>
      </c>
      <c r="G733" s="143">
        <f>(INDEX(Production_Consumption!$AA$83:$AJ$99,MATCH('County Scaled Consumption '!$B733,Production_Consumption!$AA$83:$AA$99,0),MATCH('County Scaled Consumption '!G$2,Production_Consumption!$AA$83:$AJ$83,0)))*'CA Population'!$L733*10^6</f>
        <v>2730.4831281199308</v>
      </c>
      <c r="H733" s="143">
        <f>(INDEX(Production_Consumption!$AA$83:$AJ$99,MATCH('County Scaled Consumption '!$B733,Production_Consumption!$AA$83:$AA$99,0),MATCH('County Scaled Consumption '!H$2,Production_Consumption!$AA$83:$AJ$83,0)))*'CA Population'!$L733*10^6</f>
        <v>75.580478799111532</v>
      </c>
      <c r="I733" s="143">
        <f>(INDEX(Production_Consumption!$AA$83:$AJ$99,MATCH('County Scaled Consumption '!$B733,Production_Consumption!$AA$83:$AA$99,0),MATCH('County Scaled Consumption '!I$2,Production_Consumption!$AA$83:$AJ$83,0)))*'CA Population'!$L733*10^6</f>
        <v>1232.6797973786313</v>
      </c>
      <c r="J733" s="143">
        <f>(INDEX(Production_Consumption!$AA$83:$AJ$99,MATCH('County Scaled Consumption '!$B733,Production_Consumption!$AA$83:$AA$99,0),MATCH('County Scaled Consumption '!J$2,Production_Consumption!$AA$83:$AJ$83,0)))*'CA Population'!$L733*10^6</f>
        <v>1361.6048611036315</v>
      </c>
      <c r="K733" s="143">
        <f>(INDEX(Production_Consumption!$AA$83:$AJ$99,MATCH('County Scaled Consumption '!$B733,Production_Consumption!$AA$83:$AA$99,0),MATCH('County Scaled Consumption '!K$2,Production_Consumption!$AA$83:$AJ$83,0)))*'CA Population'!$L733*10^6</f>
        <v>13759.316640158699</v>
      </c>
      <c r="L733" s="131">
        <f t="shared" si="11"/>
        <v>0</v>
      </c>
    </row>
    <row r="734" spans="1:12" x14ac:dyDescent="0.2">
      <c r="A734" s="132" t="s">
        <v>328</v>
      </c>
      <c r="B734" s="129">
        <v>2008</v>
      </c>
      <c r="C734" s="143">
        <f>(INDEX(Production_Consumption!$AA$83:$AJ$99,MATCH('County Scaled Consumption '!$B734,Production_Consumption!$AA$83:$AA$99,0),MATCH('County Scaled Consumption '!C$2,Production_Consumption!$AA$83:$AJ$83,0)))*'CA Population'!$L734*10^6</f>
        <v>2988.3646476909157</v>
      </c>
      <c r="D734" s="143">
        <f>(INDEX(Production_Consumption!$AA$83:$AJ$99,MATCH('County Scaled Consumption '!$B734,Production_Consumption!$AA$83:$AA$99,0),MATCH('County Scaled Consumption '!D$2,Production_Consumption!$AA$83:$AJ$83,0)))*'CA Population'!$L734*10^6</f>
        <v>11830.085238222022</v>
      </c>
      <c r="E734" s="143">
        <f>(INDEX(Production_Consumption!$AA$83:$AJ$99,MATCH('County Scaled Consumption '!$B734,Production_Consumption!$AA$83:$AA$99,0),MATCH('County Scaled Consumption '!E$2,Production_Consumption!$AA$83:$AJ$83,0)))*'CA Population'!$L734*10^6</f>
        <v>6150.2879500836061</v>
      </c>
      <c r="F734" s="143">
        <f>(INDEX(Production_Consumption!$AA$83:$AJ$99,MATCH('County Scaled Consumption '!$B734,Production_Consumption!$AA$83:$AA$99,0),MATCH('County Scaled Consumption '!F$2,Production_Consumption!$AA$83:$AJ$83,0)))*'CA Population'!$L734*10^6</f>
        <v>2925.437350418782</v>
      </c>
      <c r="G734" s="143">
        <f>(INDEX(Production_Consumption!$AA$83:$AJ$99,MATCH('County Scaled Consumption '!$B734,Production_Consumption!$AA$83:$AA$99,0),MATCH('County Scaled Consumption '!G$2,Production_Consumption!$AA$83:$AJ$83,0)))*'CA Population'!$L734*10^6</f>
        <v>7805.1069560055039</v>
      </c>
      <c r="H734" s="143">
        <f>(INDEX(Production_Consumption!$AA$83:$AJ$99,MATCH('County Scaled Consumption '!$B734,Production_Consumption!$AA$83:$AA$99,0),MATCH('County Scaled Consumption '!H$2,Production_Consumption!$AA$83:$AJ$83,0)))*'CA Population'!$L734*10^6</f>
        <v>216.04737811339484</v>
      </c>
      <c r="I734" s="143">
        <f>(INDEX(Production_Consumption!$AA$83:$AJ$99,MATCH('County Scaled Consumption '!$B734,Production_Consumption!$AA$83:$AA$99,0),MATCH('County Scaled Consumption '!I$2,Production_Consumption!$AA$83:$AJ$83,0)))*'CA Population'!$L734*10^6</f>
        <v>3523.624651609573</v>
      </c>
      <c r="J734" s="143">
        <f>(INDEX(Production_Consumption!$AA$83:$AJ$99,MATCH('County Scaled Consumption '!$B734,Production_Consumption!$AA$83:$AA$99,0),MATCH('County Scaled Consumption '!J$2,Production_Consumption!$AA$83:$AJ$83,0)))*'CA Population'!$L734*10^6</f>
        <v>3892.1579347199213</v>
      </c>
      <c r="K734" s="143">
        <f>(INDEX(Production_Consumption!$AA$83:$AJ$99,MATCH('County Scaled Consumption '!$B734,Production_Consumption!$AA$83:$AA$99,0),MATCH('County Scaled Consumption '!K$2,Production_Consumption!$AA$83:$AJ$83,0)))*'CA Population'!$L734*10^6</f>
        <v>39331.112106863722</v>
      </c>
      <c r="L734" s="131">
        <f t="shared" si="11"/>
        <v>0</v>
      </c>
    </row>
    <row r="735" spans="1:12" x14ac:dyDescent="0.2">
      <c r="A735" s="132" t="s">
        <v>329</v>
      </c>
      <c r="B735" s="129">
        <v>2008</v>
      </c>
      <c r="C735" s="143">
        <f>(INDEX(Production_Consumption!$AA$83:$AJ$99,MATCH('County Scaled Consumption '!$B735,Production_Consumption!$AA$83:$AA$99,0),MATCH('County Scaled Consumption '!C$2,Production_Consumption!$AA$83:$AJ$83,0)))*'CA Population'!$L735*10^6</f>
        <v>114.50070261857836</v>
      </c>
      <c r="D735" s="143">
        <f>(INDEX(Production_Consumption!$AA$83:$AJ$99,MATCH('County Scaled Consumption '!$B735,Production_Consumption!$AA$83:$AA$99,0),MATCH('County Scaled Consumption '!D$2,Production_Consumption!$AA$83:$AJ$83,0)))*'CA Population'!$L735*10^6</f>
        <v>453.27569808481883</v>
      </c>
      <c r="E735" s="143">
        <f>(INDEX(Production_Consumption!$AA$83:$AJ$99,MATCH('County Scaled Consumption '!$B735,Production_Consumption!$AA$83:$AA$99,0),MATCH('County Scaled Consumption '!E$2,Production_Consumption!$AA$83:$AJ$83,0)))*'CA Population'!$L735*10^6</f>
        <v>235.65139285638648</v>
      </c>
      <c r="F735" s="143">
        <f>(INDEX(Production_Consumption!$AA$83:$AJ$99,MATCH('County Scaled Consumption '!$B735,Production_Consumption!$AA$83:$AA$99,0),MATCH('County Scaled Consumption '!F$2,Production_Consumption!$AA$83:$AJ$83,0)))*'CA Population'!$L735*10^6</f>
        <v>112.0896114028143</v>
      </c>
      <c r="G735" s="143">
        <f>(INDEX(Production_Consumption!$AA$83:$AJ$99,MATCH('County Scaled Consumption '!$B735,Production_Consumption!$AA$83:$AA$99,0),MATCH('County Scaled Consumption '!G$2,Production_Consumption!$AA$83:$AJ$83,0)))*'CA Population'!$L735*10^6</f>
        <v>299.05661986944278</v>
      </c>
      <c r="H735" s="143">
        <f>(INDEX(Production_Consumption!$AA$83:$AJ$99,MATCH('County Scaled Consumption '!$B735,Production_Consumption!$AA$83:$AA$99,0),MATCH('County Scaled Consumption '!H$2,Production_Consumption!$AA$83:$AJ$83,0)))*'CA Population'!$L735*10^6</f>
        <v>8.2779645422455044</v>
      </c>
      <c r="I735" s="143">
        <f>(INDEX(Production_Consumption!$AA$83:$AJ$99,MATCH('County Scaled Consumption '!$B735,Production_Consumption!$AA$83:$AA$99,0),MATCH('County Scaled Consumption '!I$2,Production_Consumption!$AA$83:$AJ$83,0)))*'CA Population'!$L735*10^6</f>
        <v>135.0094603365047</v>
      </c>
      <c r="J735" s="143">
        <f>(INDEX(Production_Consumption!$AA$83:$AJ$99,MATCH('County Scaled Consumption '!$B735,Production_Consumption!$AA$83:$AA$99,0),MATCH('County Scaled Consumption '!J$2,Production_Consumption!$AA$83:$AJ$83,0)))*'CA Population'!$L735*10^6</f>
        <v>149.1299994370699</v>
      </c>
      <c r="K735" s="143">
        <f>(INDEX(Production_Consumption!$AA$83:$AJ$99,MATCH('County Scaled Consumption '!$B735,Production_Consumption!$AA$83:$AA$99,0),MATCH('County Scaled Consumption '!K$2,Production_Consumption!$AA$83:$AJ$83,0)))*'CA Population'!$L735*10^6</f>
        <v>1506.991449147861</v>
      </c>
      <c r="L735" s="131">
        <f t="shared" si="11"/>
        <v>0</v>
      </c>
    </row>
    <row r="736" spans="1:12" x14ac:dyDescent="0.2">
      <c r="A736" s="132" t="s">
        <v>330</v>
      </c>
      <c r="B736" s="129">
        <v>2008</v>
      </c>
      <c r="C736" s="143">
        <f>(INDEX(Production_Consumption!$AA$83:$AJ$99,MATCH('County Scaled Consumption '!$B736,Production_Consumption!$AA$83:$AA$99,0),MATCH('County Scaled Consumption '!C$2,Production_Consumption!$AA$83:$AJ$83,0)))*'CA Population'!$L736*10^6</f>
        <v>168.56286427964545</v>
      </c>
      <c r="D736" s="143">
        <f>(INDEX(Production_Consumption!$AA$83:$AJ$99,MATCH('County Scaled Consumption '!$B736,Production_Consumption!$AA$83:$AA$99,0),MATCH('County Scaled Consumption '!D$2,Production_Consumption!$AA$83:$AJ$83,0)))*'CA Population'!$L736*10^6</f>
        <v>667.29241157630815</v>
      </c>
      <c r="E736" s="143">
        <f>(INDEX(Production_Consumption!$AA$83:$AJ$99,MATCH('County Scaled Consumption '!$B736,Production_Consumption!$AA$83:$AA$99,0),MATCH('County Scaled Consumption '!E$2,Production_Consumption!$AA$83:$AJ$83,0)))*'CA Population'!$L736*10^6</f>
        <v>346.91554586945705</v>
      </c>
      <c r="F736" s="143">
        <f>(INDEX(Production_Consumption!$AA$83:$AJ$99,MATCH('County Scaled Consumption '!$B736,Production_Consumption!$AA$83:$AA$99,0),MATCH('County Scaled Consumption '!F$2,Production_Consumption!$AA$83:$AJ$83,0)))*'CA Population'!$L736*10^6</f>
        <v>165.01336255542861</v>
      </c>
      <c r="G736" s="143">
        <f>(INDEX(Production_Consumption!$AA$83:$AJ$99,MATCH('County Scaled Consumption '!$B736,Production_Consumption!$AA$83:$AA$99,0),MATCH('County Scaled Consumption '!G$2,Production_Consumption!$AA$83:$AJ$83,0)))*'CA Population'!$L736*10^6</f>
        <v>440.25791348116269</v>
      </c>
      <c r="H736" s="143">
        <f>(INDEX(Production_Consumption!$AA$83:$AJ$99,MATCH('County Scaled Consumption '!$B736,Production_Consumption!$AA$83:$AA$99,0),MATCH('County Scaled Consumption '!H$2,Production_Consumption!$AA$83:$AJ$83,0)))*'CA Population'!$L736*10^6</f>
        <v>12.186452849066114</v>
      </c>
      <c r="I736" s="143">
        <f>(INDEX(Production_Consumption!$AA$83:$AJ$99,MATCH('County Scaled Consumption '!$B736,Production_Consumption!$AA$83:$AA$99,0),MATCH('County Scaled Consumption '!I$2,Production_Consumption!$AA$83:$AJ$83,0)))*'CA Population'!$L736*10^6</f>
        <v>198.75494925982994</v>
      </c>
      <c r="J736" s="143">
        <f>(INDEX(Production_Consumption!$AA$83:$AJ$99,MATCH('County Scaled Consumption '!$B736,Production_Consumption!$AA$83:$AA$99,0),MATCH('County Scaled Consumption '!J$2,Production_Consumption!$AA$83:$AJ$83,0)))*'CA Population'!$L736*10^6</f>
        <v>219.54258166321222</v>
      </c>
      <c r="K736" s="143">
        <f>(INDEX(Production_Consumption!$AA$83:$AJ$99,MATCH('County Scaled Consumption '!$B736,Production_Consumption!$AA$83:$AA$99,0),MATCH('County Scaled Consumption '!K$2,Production_Consumption!$AA$83:$AJ$83,0)))*'CA Population'!$L736*10^6</f>
        <v>2218.5260815341103</v>
      </c>
      <c r="L736" s="131">
        <f t="shared" si="11"/>
        <v>0</v>
      </c>
    </row>
    <row r="737" spans="1:12" x14ac:dyDescent="0.2">
      <c r="A737" s="132" t="s">
        <v>331</v>
      </c>
      <c r="B737" s="129">
        <v>2008</v>
      </c>
      <c r="C737" s="143">
        <f>(INDEX(Production_Consumption!$AA$83:$AJ$99,MATCH('County Scaled Consumption '!$B737,Production_Consumption!$AA$83:$AA$99,0),MATCH('County Scaled Consumption '!C$2,Production_Consumption!$AA$83:$AJ$83,0)))*'CA Population'!$L737*10^6</f>
        <v>4879.265029968974</v>
      </c>
      <c r="D737" s="143">
        <f>(INDEX(Production_Consumption!$AA$83:$AJ$99,MATCH('County Scaled Consumption '!$B737,Production_Consumption!$AA$83:$AA$99,0),MATCH('County Scaled Consumption '!D$2,Production_Consumption!$AA$83:$AJ$83,0)))*'CA Population'!$L737*10^6</f>
        <v>19315.621756203778</v>
      </c>
      <c r="E737" s="143">
        <f>(INDEX(Production_Consumption!$AA$83:$AJ$99,MATCH('County Scaled Consumption '!$B737,Production_Consumption!$AA$83:$AA$99,0),MATCH('County Scaled Consumption '!E$2,Production_Consumption!$AA$83:$AJ$83,0)))*'CA Population'!$L737*10^6</f>
        <v>10041.908688175028</v>
      </c>
      <c r="F737" s="143">
        <f>(INDEX(Production_Consumption!$AA$83:$AJ$99,MATCH('County Scaled Consumption '!$B737,Production_Consumption!$AA$83:$AA$99,0),MATCH('County Scaled Consumption '!F$2,Production_Consumption!$AA$83:$AJ$83,0)))*'CA Population'!$L737*10^6</f>
        <v>4776.5202189407655</v>
      </c>
      <c r="G737" s="143">
        <f>(INDEX(Production_Consumption!$AA$83:$AJ$99,MATCH('County Scaled Consumption '!$B737,Production_Consumption!$AA$83:$AA$99,0),MATCH('County Scaled Consumption '!G$2,Production_Consumption!$AA$83:$AJ$83,0)))*'CA Population'!$L737*10^6</f>
        <v>12743.821425886497</v>
      </c>
      <c r="H737" s="143">
        <f>(INDEX(Production_Consumption!$AA$83:$AJ$99,MATCH('County Scaled Consumption '!$B737,Production_Consumption!$AA$83:$AA$99,0),MATCH('County Scaled Consumption '!H$2,Production_Consumption!$AA$83:$AJ$83,0)))*'CA Population'!$L737*10^6</f>
        <v>352.75227126639533</v>
      </c>
      <c r="I737" s="143">
        <f>(INDEX(Production_Consumption!$AA$83:$AJ$99,MATCH('County Scaled Consumption '!$B737,Production_Consumption!$AA$83:$AA$99,0),MATCH('County Scaled Consumption '!I$2,Production_Consumption!$AA$83:$AJ$83,0)))*'CA Population'!$L737*10^6</f>
        <v>5753.2130674279842</v>
      </c>
      <c r="J737" s="143">
        <f>(INDEX(Production_Consumption!$AA$83:$AJ$99,MATCH('County Scaled Consumption '!$B737,Production_Consumption!$AA$83:$AA$99,0),MATCH('County Scaled Consumption '!J$2,Production_Consumption!$AA$83:$AJ$83,0)))*'CA Population'!$L737*10^6</f>
        <v>6354.9373456379453</v>
      </c>
      <c r="K737" s="143">
        <f>(INDEX(Production_Consumption!$AA$83:$AJ$99,MATCH('County Scaled Consumption '!$B737,Production_Consumption!$AA$83:$AA$99,0),MATCH('County Scaled Consumption '!K$2,Production_Consumption!$AA$83:$AJ$83,0)))*'CA Population'!$L737*10^6</f>
        <v>64218.039803507359</v>
      </c>
      <c r="L737" s="131">
        <f t="shared" si="11"/>
        <v>0</v>
      </c>
    </row>
    <row r="738" spans="1:12" x14ac:dyDescent="0.2">
      <c r="A738" s="132" t="s">
        <v>332</v>
      </c>
      <c r="B738" s="129">
        <v>2008</v>
      </c>
      <c r="C738" s="143">
        <f>(INDEX(Production_Consumption!$AA$83:$AJ$99,MATCH('County Scaled Consumption '!$B738,Production_Consumption!$AA$83:$AA$99,0),MATCH('County Scaled Consumption '!C$2,Production_Consumption!$AA$83:$AJ$83,0)))*'CA Population'!$L738*10^6</f>
        <v>1596.7049681595006</v>
      </c>
      <c r="D738" s="143">
        <f>(INDEX(Production_Consumption!$AA$83:$AJ$99,MATCH('County Scaled Consumption '!$B738,Production_Consumption!$AA$83:$AA$99,0),MATCH('County Scaled Consumption '!D$2,Production_Consumption!$AA$83:$AJ$83,0)))*'CA Population'!$L738*10^6</f>
        <v>6320.9005929764844</v>
      </c>
      <c r="E738" s="143">
        <f>(INDEX(Production_Consumption!$AA$83:$AJ$99,MATCH('County Scaled Consumption '!$B738,Production_Consumption!$AA$83:$AA$99,0),MATCH('County Scaled Consumption '!E$2,Production_Consumption!$AA$83:$AJ$83,0)))*'CA Population'!$L738*10^6</f>
        <v>3286.1435879647383</v>
      </c>
      <c r="F738" s="143">
        <f>(INDEX(Production_Consumption!$AA$83:$AJ$99,MATCH('County Scaled Consumption '!$B738,Production_Consumption!$AA$83:$AA$99,0),MATCH('County Scaled Consumption '!F$2,Production_Consumption!$AA$83:$AJ$83,0)))*'CA Population'!$L738*10^6</f>
        <v>1563.0824555036563</v>
      </c>
      <c r="G738" s="143">
        <f>(INDEX(Production_Consumption!$AA$83:$AJ$99,MATCH('County Scaled Consumption '!$B738,Production_Consumption!$AA$83:$AA$99,0),MATCH('County Scaled Consumption '!G$2,Production_Consumption!$AA$83:$AJ$83,0)))*'CA Population'!$L738*10^6</f>
        <v>4170.3254197240958</v>
      </c>
      <c r="H738" s="143">
        <f>(INDEX(Production_Consumption!$AA$83:$AJ$99,MATCH('County Scaled Consumption '!$B738,Production_Consumption!$AA$83:$AA$99,0),MATCH('County Scaled Consumption '!H$2,Production_Consumption!$AA$83:$AJ$83,0)))*'CA Population'!$L738*10^6</f>
        <v>115.43568562091058</v>
      </c>
      <c r="I738" s="143">
        <f>(INDEX(Production_Consumption!$AA$83:$AJ$99,MATCH('County Scaled Consumption '!$B738,Production_Consumption!$AA$83:$AA$99,0),MATCH('County Scaled Consumption '!I$2,Production_Consumption!$AA$83:$AJ$83,0)))*'CA Population'!$L738*10^6</f>
        <v>1882.6982816510042</v>
      </c>
      <c r="J738" s="143">
        <f>(INDEX(Production_Consumption!$AA$83:$AJ$99,MATCH('County Scaled Consumption '!$B738,Production_Consumption!$AA$83:$AA$99,0),MATCH('County Scaled Consumption '!J$2,Production_Consumption!$AA$83:$AJ$83,0)))*'CA Population'!$L738*10^6</f>
        <v>2079.6082954704711</v>
      </c>
      <c r="K738" s="143">
        <f>(INDEX(Production_Consumption!$AA$83:$AJ$99,MATCH('County Scaled Consumption '!$B738,Production_Consumption!$AA$83:$AA$99,0),MATCH('County Scaled Consumption '!K$2,Production_Consumption!$AA$83:$AJ$83,0)))*'CA Population'!$L738*10^6</f>
        <v>21014.899287070864</v>
      </c>
      <c r="L738" s="131">
        <f t="shared" si="11"/>
        <v>0</v>
      </c>
    </row>
    <row r="739" spans="1:12" x14ac:dyDescent="0.2">
      <c r="A739" s="132" t="s">
        <v>333</v>
      </c>
      <c r="B739" s="129">
        <v>2008</v>
      </c>
      <c r="C739" s="143">
        <f>(INDEX(Production_Consumption!$AA$83:$AJ$99,MATCH('County Scaled Consumption '!$B739,Production_Consumption!$AA$83:$AA$99,0),MATCH('County Scaled Consumption '!C$2,Production_Consumption!$AA$83:$AJ$83,0)))*'CA Population'!$L739*10^6</f>
        <v>1174.9342942481599</v>
      </c>
      <c r="D739" s="143">
        <f>(INDEX(Production_Consumption!$AA$83:$AJ$99,MATCH('County Scaled Consumption '!$B739,Production_Consumption!$AA$83:$AA$99,0),MATCH('County Scaled Consumption '!D$2,Production_Consumption!$AA$83:$AJ$83,0)))*'CA Population'!$L739*10^6</f>
        <v>4651.230518673834</v>
      </c>
      <c r="E739" s="143">
        <f>(INDEX(Production_Consumption!$AA$83:$AJ$99,MATCH('County Scaled Consumption '!$B739,Production_Consumption!$AA$83:$AA$99,0),MATCH('County Scaled Consumption '!E$2,Production_Consumption!$AA$83:$AJ$83,0)))*'CA Population'!$L739*10^6</f>
        <v>2418.1065846961001</v>
      </c>
      <c r="F739" s="143">
        <f>(INDEX(Production_Consumption!$AA$83:$AJ$99,MATCH('County Scaled Consumption '!$B739,Production_Consumption!$AA$83:$AA$99,0),MATCH('County Scaled Consumption '!F$2,Production_Consumption!$AA$83:$AJ$83,0)))*'CA Population'!$L739*10^6</f>
        <v>1150.1931905590543</v>
      </c>
      <c r="G739" s="143">
        <f>(INDEX(Production_Consumption!$AA$83:$AJ$99,MATCH('County Scaled Consumption '!$B739,Production_Consumption!$AA$83:$AA$99,0),MATCH('County Scaled Consumption '!G$2,Production_Consumption!$AA$83:$AJ$83,0)))*'CA Population'!$L739*10^6</f>
        <v>3068.7312005152016</v>
      </c>
      <c r="H739" s="143">
        <f>(INDEX(Production_Consumption!$AA$83:$AJ$99,MATCH('County Scaled Consumption '!$B739,Production_Consumption!$AA$83:$AA$99,0),MATCH('County Scaled Consumption '!H$2,Production_Consumption!$AA$83:$AJ$83,0)))*'CA Population'!$L739*10^6</f>
        <v>84.943272878016444</v>
      </c>
      <c r="I739" s="143">
        <f>(INDEX(Production_Consumption!$AA$83:$AJ$99,MATCH('County Scaled Consumption '!$B739,Production_Consumption!$AA$83:$AA$99,0),MATCH('County Scaled Consumption '!I$2,Production_Consumption!$AA$83:$AJ$83,0)))*'CA Population'!$L739*10^6</f>
        <v>1385.3822847333163</v>
      </c>
      <c r="J739" s="143">
        <f>(INDEX(Production_Consumption!$AA$83:$AJ$99,MATCH('County Scaled Consumption '!$B739,Production_Consumption!$AA$83:$AA$99,0),MATCH('County Scaled Consumption '!J$2,Production_Consumption!$AA$83:$AJ$83,0)))*'CA Population'!$L739*10^6</f>
        <v>1530.2783881030277</v>
      </c>
      <c r="K739" s="143">
        <f>(INDEX(Production_Consumption!$AA$83:$AJ$99,MATCH('County Scaled Consumption '!$B739,Production_Consumption!$AA$83:$AA$99,0),MATCH('County Scaled Consumption '!K$2,Production_Consumption!$AA$83:$AJ$83,0)))*'CA Population'!$L739*10^6</f>
        <v>15463.799734406712</v>
      </c>
      <c r="L739" s="131">
        <f t="shared" si="11"/>
        <v>0</v>
      </c>
    </row>
    <row r="740" spans="1:12" x14ac:dyDescent="0.2">
      <c r="A740" s="132" t="s">
        <v>334</v>
      </c>
      <c r="B740" s="129">
        <v>2008</v>
      </c>
      <c r="C740" s="143">
        <f>(INDEX(Production_Consumption!$AA$83:$AJ$99,MATCH('County Scaled Consumption '!$B740,Production_Consumption!$AA$83:$AA$99,0),MATCH('County Scaled Consumption '!C$2,Production_Consumption!$AA$83:$AJ$83,0)))*'CA Population'!$L740*10^6</f>
        <v>35449.343636222809</v>
      </c>
      <c r="D740" s="143">
        <f>(INDEX(Production_Consumption!$AA$83:$AJ$99,MATCH('County Scaled Consumption '!$B740,Production_Consumption!$AA$83:$AA$99,0),MATCH('County Scaled Consumption '!D$2,Production_Consumption!$AA$83:$AJ$83,0)))*'CA Population'!$L740*10^6</f>
        <v>140333.86359980601</v>
      </c>
      <c r="E740" s="143">
        <f>(INDEX(Production_Consumption!$AA$83:$AJ$99,MATCH('County Scaled Consumption '!$B740,Production_Consumption!$AA$83:$AA$99,0),MATCH('County Scaled Consumption '!E$2,Production_Consumption!$AA$83:$AJ$83,0)))*'CA Population'!$L740*10^6</f>
        <v>72957.519147704836</v>
      </c>
      <c r="F740" s="143">
        <f>(INDEX(Production_Consumption!$AA$83:$AJ$99,MATCH('County Scaled Consumption '!$B740,Production_Consumption!$AA$83:$AA$99,0),MATCH('County Scaled Consumption '!F$2,Production_Consumption!$AA$83:$AJ$83,0)))*'CA Population'!$L740*10^6</f>
        <v>34702.871351850736</v>
      </c>
      <c r="G740" s="143">
        <f>(INDEX(Production_Consumption!$AA$83:$AJ$99,MATCH('County Scaled Consumption '!$B740,Production_Consumption!$AA$83:$AA$99,0),MATCH('County Scaled Consumption '!G$2,Production_Consumption!$AA$83:$AJ$83,0)))*'CA Population'!$L740*10^6</f>
        <v>92587.736511575</v>
      </c>
      <c r="H740" s="143">
        <f>(INDEX(Production_Consumption!$AA$83:$AJ$99,MATCH('County Scaled Consumption '!$B740,Production_Consumption!$AA$83:$AA$99,0),MATCH('County Scaled Consumption '!H$2,Production_Consumption!$AA$83:$AJ$83,0)))*'CA Population'!$L740*10^6</f>
        <v>2562.8524799891943</v>
      </c>
      <c r="I740" s="143">
        <f>(INDEX(Production_Consumption!$AA$83:$AJ$99,MATCH('County Scaled Consumption '!$B740,Production_Consumption!$AA$83:$AA$99,0),MATCH('County Scaled Consumption '!I$2,Production_Consumption!$AA$83:$AJ$83,0)))*'CA Population'!$L740*10^6</f>
        <v>41798.841790104401</v>
      </c>
      <c r="J740" s="143">
        <f>(INDEX(Production_Consumption!$AA$83:$AJ$99,MATCH('County Scaled Consumption '!$B740,Production_Consumption!$AA$83:$AA$99,0),MATCH('County Scaled Consumption '!J$2,Production_Consumption!$AA$83:$AJ$83,0)))*'CA Population'!$L740*10^6</f>
        <v>46170.55158276936</v>
      </c>
      <c r="K740" s="143">
        <f>(INDEX(Production_Consumption!$AA$83:$AJ$99,MATCH('County Scaled Consumption '!$B740,Production_Consumption!$AA$83:$AA$99,0),MATCH('County Scaled Consumption '!K$2,Production_Consumption!$AA$83:$AJ$83,0)))*'CA Population'!$L740*10^6</f>
        <v>466563.58010002237</v>
      </c>
      <c r="L740" s="131">
        <f t="shared" si="11"/>
        <v>0</v>
      </c>
    </row>
    <row r="741" spans="1:12" x14ac:dyDescent="0.2">
      <c r="A741" s="132" t="s">
        <v>335</v>
      </c>
      <c r="B741" s="129">
        <v>2008</v>
      </c>
      <c r="C741" s="143">
        <f>(INDEX(Production_Consumption!$AA$83:$AJ$99,MATCH('County Scaled Consumption '!$B741,Production_Consumption!$AA$83:$AA$99,0),MATCH('County Scaled Consumption '!C$2,Production_Consumption!$AA$83:$AJ$83,0)))*'CA Population'!$L741*10^6</f>
        <v>3978.443534672067</v>
      </c>
      <c r="D741" s="143">
        <f>(INDEX(Production_Consumption!$AA$83:$AJ$99,MATCH('County Scaled Consumption '!$B741,Production_Consumption!$AA$83:$AA$99,0),MATCH('County Scaled Consumption '!D$2,Production_Consumption!$AA$83:$AJ$83,0)))*'CA Population'!$L741*10^6</f>
        <v>15749.525804018211</v>
      </c>
      <c r="E741" s="143">
        <f>(INDEX(Production_Consumption!$AA$83:$AJ$99,MATCH('County Scaled Consumption '!$B741,Production_Consumption!$AA$83:$AA$99,0),MATCH('County Scaled Consumption '!E$2,Production_Consumption!$AA$83:$AJ$83,0)))*'CA Population'!$L741*10^6</f>
        <v>8187.9476623739029</v>
      </c>
      <c r="F741" s="143">
        <f>(INDEX(Production_Consumption!$AA$83:$AJ$99,MATCH('County Scaled Consumption '!$B741,Production_Consumption!$AA$83:$AA$99,0),MATCH('County Scaled Consumption '!F$2,Production_Consumption!$AA$83:$AJ$83,0)))*'CA Population'!$L741*10^6</f>
        <v>3894.6677146160532</v>
      </c>
      <c r="G741" s="143">
        <f>(INDEX(Production_Consumption!$AA$83:$AJ$99,MATCH('County Scaled Consumption '!$B741,Production_Consumption!$AA$83:$AA$99,0),MATCH('County Scaled Consumption '!G$2,Production_Consumption!$AA$83:$AJ$83,0)))*'CA Population'!$L741*10^6</f>
        <v>10391.026854951531</v>
      </c>
      <c r="H741" s="143">
        <f>(INDEX(Production_Consumption!$AA$83:$AJ$99,MATCH('County Scaled Consumption '!$B741,Production_Consumption!$AA$83:$AA$99,0),MATCH('County Scaled Consumption '!H$2,Production_Consumption!$AA$83:$AJ$83,0)))*'CA Population'!$L741*10^6</f>
        <v>287.62630936028523</v>
      </c>
      <c r="I741" s="143">
        <f>(INDEX(Production_Consumption!$AA$83:$AJ$99,MATCH('County Scaled Consumption '!$B741,Production_Consumption!$AA$83:$AA$99,0),MATCH('County Scaled Consumption '!I$2,Production_Consumption!$AA$83:$AJ$83,0)))*'CA Population'!$L741*10^6</f>
        <v>4691.0412103286098</v>
      </c>
      <c r="J741" s="143">
        <f>(INDEX(Production_Consumption!$AA$83:$AJ$99,MATCH('County Scaled Consumption '!$B741,Production_Consumption!$AA$83:$AA$99,0),MATCH('County Scaled Consumption '!J$2,Production_Consumption!$AA$83:$AJ$83,0)))*'CA Population'!$L741*10^6</f>
        <v>5181.673723544407</v>
      </c>
      <c r="K741" s="143">
        <f>(INDEX(Production_Consumption!$AA$83:$AJ$99,MATCH('County Scaled Consumption '!$B741,Production_Consumption!$AA$83:$AA$99,0),MATCH('County Scaled Consumption '!K$2,Production_Consumption!$AA$83:$AJ$83,0)))*'CA Population'!$L741*10^6</f>
        <v>52361.952813865064</v>
      </c>
      <c r="L741" s="131">
        <f t="shared" si="11"/>
        <v>0</v>
      </c>
    </row>
    <row r="742" spans="1:12" x14ac:dyDescent="0.2">
      <c r="A742" s="132" t="s">
        <v>336</v>
      </c>
      <c r="B742" s="129">
        <v>2008</v>
      </c>
      <c r="C742" s="143">
        <f>(INDEX(Production_Consumption!$AA$83:$AJ$99,MATCH('County Scaled Consumption '!$B742,Production_Consumption!$AA$83:$AA$99,0),MATCH('County Scaled Consumption '!C$2,Production_Consumption!$AA$83:$AJ$83,0)))*'CA Population'!$L742*10^6</f>
        <v>244.12593855900283</v>
      </c>
      <c r="D742" s="143">
        <f>(INDEX(Production_Consumption!$AA$83:$AJ$99,MATCH('County Scaled Consumption '!$B742,Production_Consumption!$AA$83:$AA$99,0),MATCH('County Scaled Consumption '!D$2,Production_Consumption!$AA$83:$AJ$83,0)))*'CA Population'!$L742*10^6</f>
        <v>966.42511958689943</v>
      </c>
      <c r="E742" s="143">
        <f>(INDEX(Production_Consumption!$AA$83:$AJ$99,MATCH('County Scaled Consumption '!$B742,Production_Consumption!$AA$83:$AA$99,0),MATCH('County Scaled Consumption '!E$2,Production_Consumption!$AA$83:$AJ$83,0)))*'CA Population'!$L742*10^6</f>
        <v>502.4302570914295</v>
      </c>
      <c r="F742" s="143">
        <f>(INDEX(Production_Consumption!$AA$83:$AJ$99,MATCH('County Scaled Consumption '!$B742,Production_Consumption!$AA$83:$AA$99,0),MATCH('County Scaled Consumption '!F$2,Production_Consumption!$AA$83:$AJ$83,0)))*'CA Population'!$L742*10^6</f>
        <v>238.98527223522902</v>
      </c>
      <c r="G742" s="143">
        <f>(INDEX(Production_Consumption!$AA$83:$AJ$99,MATCH('County Scaled Consumption '!$B742,Production_Consumption!$AA$83:$AA$99,0),MATCH('County Scaled Consumption '!G$2,Production_Consumption!$AA$83:$AJ$83,0)))*'CA Population'!$L742*10^6</f>
        <v>637.61598259454524</v>
      </c>
      <c r="H742" s="143">
        <f>(INDEX(Production_Consumption!$AA$83:$AJ$99,MATCH('County Scaled Consumption '!$B742,Production_Consumption!$AA$83:$AA$99,0),MATCH('County Scaled Consumption '!H$2,Production_Consumption!$AA$83:$AJ$83,0)))*'CA Population'!$L742*10^6</f>
        <v>17.649375217946769</v>
      </c>
      <c r="I742" s="143">
        <f>(INDEX(Production_Consumption!$AA$83:$AJ$99,MATCH('County Scaled Consumption '!$B742,Production_Consumption!$AA$83:$AA$99,0),MATCH('County Scaled Consumption '!I$2,Production_Consumption!$AA$83:$AJ$83,0)))*'CA Population'!$L742*10^6</f>
        <v>287.85248007417772</v>
      </c>
      <c r="J742" s="143">
        <f>(INDEX(Production_Consumption!$AA$83:$AJ$99,MATCH('County Scaled Consumption '!$B742,Production_Consumption!$AA$83:$AA$99,0),MATCH('County Scaled Consumption '!J$2,Production_Consumption!$AA$83:$AJ$83,0)))*'CA Population'!$L742*10^6</f>
        <v>317.95875699692965</v>
      </c>
      <c r="K742" s="143">
        <f>(INDEX(Production_Consumption!$AA$83:$AJ$99,MATCH('County Scaled Consumption '!$B742,Production_Consumption!$AA$83:$AA$99,0),MATCH('County Scaled Consumption '!K$2,Production_Consumption!$AA$83:$AJ$83,0)))*'CA Population'!$L742*10^6</f>
        <v>3213.0431823561603</v>
      </c>
      <c r="L742" s="131">
        <f t="shared" si="11"/>
        <v>0</v>
      </c>
    </row>
    <row r="743" spans="1:12" x14ac:dyDescent="0.2">
      <c r="A743" s="132" t="s">
        <v>337</v>
      </c>
      <c r="B743" s="129">
        <v>2008</v>
      </c>
      <c r="C743" s="143">
        <f>(INDEX(Production_Consumption!$AA$83:$AJ$99,MATCH('County Scaled Consumption '!$B743,Production_Consumption!$AA$83:$AA$99,0),MATCH('County Scaled Consumption '!C$2,Production_Consumption!$AA$83:$AJ$83,0)))*'CA Population'!$L743*10^6</f>
        <v>25061.447062026862</v>
      </c>
      <c r="D743" s="143">
        <f>(INDEX(Production_Consumption!$AA$83:$AJ$99,MATCH('County Scaled Consumption '!$B743,Production_Consumption!$AA$83:$AA$99,0),MATCH('County Scaled Consumption '!D$2,Production_Consumption!$AA$83:$AJ$83,0)))*'CA Population'!$L743*10^6</f>
        <v>99211.137156924131</v>
      </c>
      <c r="E743" s="143">
        <f>(INDEX(Production_Consumption!$AA$83:$AJ$99,MATCH('County Scaled Consumption '!$B743,Production_Consumption!$AA$83:$AA$99,0),MATCH('County Scaled Consumption '!E$2,Production_Consumption!$AA$83:$AJ$83,0)))*'CA Population'!$L743*10^6</f>
        <v>51578.416307508174</v>
      </c>
      <c r="F743" s="143">
        <f>(INDEX(Production_Consumption!$AA$83:$AJ$99,MATCH('County Scaled Consumption '!$B743,Production_Consumption!$AA$83:$AA$99,0),MATCH('County Scaled Consumption '!F$2,Production_Consumption!$AA$83:$AJ$83,0)))*'CA Population'!$L743*10^6</f>
        <v>24533.717244797037</v>
      </c>
      <c r="G743" s="143">
        <f>(INDEX(Production_Consumption!$AA$83:$AJ$99,MATCH('County Scaled Consumption '!$B743,Production_Consumption!$AA$83:$AA$99,0),MATCH('County Scaled Consumption '!G$2,Production_Consumption!$AA$83:$AJ$83,0)))*'CA Population'!$L743*10^6</f>
        <v>65456.293944092024</v>
      </c>
      <c r="H743" s="143">
        <f>(INDEX(Production_Consumption!$AA$83:$AJ$99,MATCH('County Scaled Consumption '!$B743,Production_Consumption!$AA$83:$AA$99,0),MATCH('County Scaled Consumption '!H$2,Production_Consumption!$AA$83:$AJ$83,0)))*'CA Population'!$L743*10^6</f>
        <v>1811.8471364136415</v>
      </c>
      <c r="I743" s="143">
        <f>(INDEX(Production_Consumption!$AA$83:$AJ$99,MATCH('County Scaled Consumption '!$B743,Production_Consumption!$AA$83:$AA$99,0),MATCH('County Scaled Consumption '!I$2,Production_Consumption!$AA$83:$AJ$83,0)))*'CA Population'!$L743*10^6</f>
        <v>29550.320353642372</v>
      </c>
      <c r="J743" s="143">
        <f>(INDEX(Production_Consumption!$AA$83:$AJ$99,MATCH('County Scaled Consumption '!$B743,Production_Consumption!$AA$83:$AA$99,0),MATCH('County Scaled Consumption '!J$2,Production_Consumption!$AA$83:$AJ$83,0)))*'CA Population'!$L743*10^6</f>
        <v>32640.966393911091</v>
      </c>
      <c r="K743" s="143">
        <f>(INDEX(Production_Consumption!$AA$83:$AJ$99,MATCH('County Scaled Consumption '!$B743,Production_Consumption!$AA$83:$AA$99,0),MATCH('County Scaled Consumption '!K$2,Production_Consumption!$AA$83:$AJ$83,0)))*'CA Population'!$L743*10^6</f>
        <v>329844.14559931535</v>
      </c>
      <c r="L743" s="131">
        <f t="shared" si="11"/>
        <v>0</v>
      </c>
    </row>
    <row r="744" spans="1:12" x14ac:dyDescent="0.2">
      <c r="A744" s="132" t="s">
        <v>338</v>
      </c>
      <c r="B744" s="129">
        <v>2008</v>
      </c>
      <c r="C744" s="143">
        <f>(INDEX(Production_Consumption!$AA$83:$AJ$99,MATCH('County Scaled Consumption '!$B744,Production_Consumption!$AA$83:$AA$99,0),MATCH('County Scaled Consumption '!C$2,Production_Consumption!$AA$83:$AJ$83,0)))*'CA Population'!$L744*10^6</f>
        <v>16620.419986325982</v>
      </c>
      <c r="D744" s="143">
        <f>(INDEX(Production_Consumption!$AA$83:$AJ$99,MATCH('County Scaled Consumption '!$B744,Production_Consumption!$AA$83:$AA$99,0),MATCH('County Scaled Consumption '!D$2,Production_Consumption!$AA$83:$AJ$83,0)))*'CA Population'!$L744*10^6</f>
        <v>65795.513035938449</v>
      </c>
      <c r="E744" s="143">
        <f>(INDEX(Production_Consumption!$AA$83:$AJ$99,MATCH('County Scaled Consumption '!$B744,Production_Consumption!$AA$83:$AA$99,0),MATCH('County Scaled Consumption '!E$2,Production_Consumption!$AA$83:$AJ$83,0)))*'CA Population'!$L744*10^6</f>
        <v>34206.123019897939</v>
      </c>
      <c r="F744" s="143">
        <f>(INDEX(Production_Consumption!$AA$83:$AJ$99,MATCH('County Scaled Consumption '!$B744,Production_Consumption!$AA$83:$AA$99,0),MATCH('County Scaled Consumption '!F$2,Production_Consumption!$AA$83:$AJ$83,0)))*'CA Population'!$L744*10^6</f>
        <v>16270.436556400391</v>
      </c>
      <c r="G744" s="143">
        <f>(INDEX(Production_Consumption!$AA$83:$AJ$99,MATCH('County Scaled Consumption '!$B744,Production_Consumption!$AA$83:$AA$99,0),MATCH('County Scaled Consumption '!G$2,Production_Consumption!$AA$83:$AJ$83,0)))*'CA Population'!$L744*10^6</f>
        <v>43409.747785379062</v>
      </c>
      <c r="H744" s="143">
        <f>(INDEX(Production_Consumption!$AA$83:$AJ$99,MATCH('County Scaled Consumption '!$B744,Production_Consumption!$AA$83:$AA$99,0),MATCH('County Scaled Consumption '!H$2,Production_Consumption!$AA$83:$AJ$83,0)))*'CA Population'!$L744*10^6</f>
        <v>1201.593039846651</v>
      </c>
      <c r="I744" s="143">
        <f>(INDEX(Production_Consumption!$AA$83:$AJ$99,MATCH('County Scaled Consumption '!$B744,Production_Consumption!$AA$83:$AA$99,0),MATCH('County Scaled Consumption '!I$2,Production_Consumption!$AA$83:$AJ$83,0)))*'CA Population'!$L744*10^6</f>
        <v>19597.381340049877</v>
      </c>
      <c r="J744" s="143">
        <f>(INDEX(Production_Consumption!$AA$83:$AJ$99,MATCH('County Scaled Consumption '!$B744,Production_Consumption!$AA$83:$AA$99,0),MATCH('County Scaled Consumption '!J$2,Production_Consumption!$AA$83:$AJ$83,0)))*'CA Population'!$L744*10^6</f>
        <v>21647.056887164395</v>
      </c>
      <c r="K744" s="143">
        <f>(INDEX(Production_Consumption!$AA$83:$AJ$99,MATCH('County Scaled Consumption '!$B744,Production_Consumption!$AA$83:$AA$99,0),MATCH('County Scaled Consumption '!K$2,Production_Consumption!$AA$83:$AJ$83,0)))*'CA Population'!$L744*10^6</f>
        <v>218748.27165100275</v>
      </c>
      <c r="L744" s="131">
        <f t="shared" si="11"/>
        <v>0</v>
      </c>
    </row>
    <row r="745" spans="1:12" x14ac:dyDescent="0.2">
      <c r="A745" s="132" t="s">
        <v>339</v>
      </c>
      <c r="B745" s="129">
        <v>2008</v>
      </c>
      <c r="C745" s="143">
        <f>(INDEX(Production_Consumption!$AA$83:$AJ$99,MATCH('County Scaled Consumption '!$B745,Production_Consumption!$AA$83:$AA$99,0),MATCH('County Scaled Consumption '!C$2,Production_Consumption!$AA$83:$AJ$83,0)))*'CA Population'!$L745*10^6</f>
        <v>655.77783485785551</v>
      </c>
      <c r="D745" s="143">
        <f>(INDEX(Production_Consumption!$AA$83:$AJ$99,MATCH('County Scaled Consumption '!$B745,Production_Consumption!$AA$83:$AA$99,0),MATCH('County Scaled Consumption '!D$2,Production_Consumption!$AA$83:$AJ$83,0)))*'CA Population'!$L745*10^6</f>
        <v>2596.0378328326119</v>
      </c>
      <c r="E745" s="143">
        <f>(INDEX(Production_Consumption!$AA$83:$AJ$99,MATCH('County Scaled Consumption '!$B745,Production_Consumption!$AA$83:$AA$99,0),MATCH('County Scaled Consumption '!E$2,Production_Consumption!$AA$83:$AJ$83,0)))*'CA Population'!$L745*10^6</f>
        <v>1349.64202537151</v>
      </c>
      <c r="F745" s="143">
        <f>(INDEX(Production_Consumption!$AA$83:$AJ$99,MATCH('County Scaled Consumption '!$B745,Production_Consumption!$AA$83:$AA$99,0),MATCH('County Scaled Consumption '!F$2,Production_Consumption!$AA$83:$AJ$83,0)))*'CA Population'!$L745*10^6</f>
        <v>641.96883507917642</v>
      </c>
      <c r="G745" s="143">
        <f>(INDEX(Production_Consumption!$AA$83:$AJ$99,MATCH('County Scaled Consumption '!$B745,Production_Consumption!$AA$83:$AA$99,0),MATCH('County Scaled Consumption '!G$2,Production_Consumption!$AA$83:$AJ$83,0)))*'CA Population'!$L745*10^6</f>
        <v>1712.7816528007165</v>
      </c>
      <c r="H745" s="143">
        <f>(INDEX(Production_Consumption!$AA$83:$AJ$99,MATCH('County Scaled Consumption '!$B745,Production_Consumption!$AA$83:$AA$99,0),MATCH('County Scaled Consumption '!H$2,Production_Consumption!$AA$83:$AJ$83,0)))*'CA Population'!$L745*10^6</f>
        <v>47.410238892831487</v>
      </c>
      <c r="I745" s="143">
        <f>(INDEX(Production_Consumption!$AA$83:$AJ$99,MATCH('County Scaled Consumption '!$B745,Production_Consumption!$AA$83:$AA$99,0),MATCH('County Scaled Consumption '!I$2,Production_Consumption!$AA$83:$AJ$83,0)))*'CA Population'!$L745*10^6</f>
        <v>773.2372776761905</v>
      </c>
      <c r="J745" s="143">
        <f>(INDEX(Production_Consumption!$AA$83:$AJ$99,MATCH('County Scaled Consumption '!$B745,Production_Consumption!$AA$83:$AA$99,0),MATCH('County Scaled Consumption '!J$2,Production_Consumption!$AA$83:$AJ$83,0)))*'CA Population'!$L745*10^6</f>
        <v>854.109589781041</v>
      </c>
      <c r="K745" s="143">
        <f>(INDEX(Production_Consumption!$AA$83:$AJ$99,MATCH('County Scaled Consumption '!$B745,Production_Consumption!$AA$83:$AA$99,0),MATCH('County Scaled Consumption '!K$2,Production_Consumption!$AA$83:$AJ$83,0)))*'CA Population'!$L745*10^6</f>
        <v>8630.9652872919323</v>
      </c>
      <c r="L745" s="131">
        <f t="shared" si="11"/>
        <v>0</v>
      </c>
    </row>
    <row r="746" spans="1:12" x14ac:dyDescent="0.2">
      <c r="A746" s="132" t="s">
        <v>340</v>
      </c>
      <c r="B746" s="129">
        <v>2008</v>
      </c>
      <c r="C746" s="143">
        <f>(INDEX(Production_Consumption!$AA$83:$AJ$99,MATCH('County Scaled Consumption '!$B746,Production_Consumption!$AA$83:$AA$99,0),MATCH('County Scaled Consumption '!C$2,Production_Consumption!$AA$83:$AJ$83,0)))*'CA Population'!$L746*10^6</f>
        <v>23951.277711885017</v>
      </c>
      <c r="D746" s="143">
        <f>(INDEX(Production_Consumption!$AA$83:$AJ$99,MATCH('County Scaled Consumption '!$B746,Production_Consumption!$AA$83:$AA$99,0),MATCH('County Scaled Consumption '!D$2,Production_Consumption!$AA$83:$AJ$83,0)))*'CA Population'!$L746*10^6</f>
        <v>94816.292621740751</v>
      </c>
      <c r="E746" s="143">
        <f>(INDEX(Production_Consumption!$AA$83:$AJ$99,MATCH('County Scaled Consumption '!$B746,Production_Consumption!$AA$83:$AA$99,0),MATCH('County Scaled Consumption '!E$2,Production_Consumption!$AA$83:$AJ$83,0)))*'CA Population'!$L746*10^6</f>
        <v>49293.601038392546</v>
      </c>
      <c r="F746" s="143">
        <f>(INDEX(Production_Consumption!$AA$83:$AJ$99,MATCH('County Scaled Consumption '!$B746,Production_Consumption!$AA$83:$AA$99,0),MATCH('County Scaled Consumption '!F$2,Production_Consumption!$AA$83:$AJ$83,0)))*'CA Population'!$L746*10^6</f>
        <v>23446.925214679628</v>
      </c>
      <c r="G746" s="143">
        <f>(INDEX(Production_Consumption!$AA$83:$AJ$99,MATCH('County Scaled Consumption '!$B746,Production_Consumption!$AA$83:$AA$99,0),MATCH('County Scaled Consumption '!G$2,Production_Consumption!$AA$83:$AJ$83,0)))*'CA Population'!$L746*10^6</f>
        <v>62556.717908807441</v>
      </c>
      <c r="H746" s="143">
        <f>(INDEX(Production_Consumption!$AA$83:$AJ$99,MATCH('County Scaled Consumption '!$B746,Production_Consumption!$AA$83:$AA$99,0),MATCH('County Scaled Consumption '!H$2,Production_Consumption!$AA$83:$AJ$83,0)))*'CA Population'!$L746*10^6</f>
        <v>1731.5861222347571</v>
      </c>
      <c r="I746" s="143">
        <f>(INDEX(Production_Consumption!$AA$83:$AJ$99,MATCH('County Scaled Consumption '!$B746,Production_Consumption!$AA$83:$AA$99,0),MATCH('County Scaled Consumption '!I$2,Production_Consumption!$AA$83:$AJ$83,0)))*'CA Population'!$L746*10^6</f>
        <v>28241.303365824697</v>
      </c>
      <c r="J746" s="143">
        <f>(INDEX(Production_Consumption!$AA$83:$AJ$99,MATCH('County Scaled Consumption '!$B746,Production_Consumption!$AA$83:$AA$99,0),MATCH('County Scaled Consumption '!J$2,Production_Consumption!$AA$83:$AJ$83,0)))*'CA Population'!$L746*10^6</f>
        <v>31195.040292363807</v>
      </c>
      <c r="K746" s="143">
        <f>(INDEX(Production_Consumption!$AA$83:$AJ$99,MATCH('County Scaled Consumption '!$B746,Production_Consumption!$AA$83:$AA$99,0),MATCH('County Scaled Consumption '!K$2,Production_Consumption!$AA$83:$AJ$83,0)))*'CA Population'!$L746*10^6</f>
        <v>315232.74427592865</v>
      </c>
      <c r="L746" s="131">
        <f t="shared" si="11"/>
        <v>0</v>
      </c>
    </row>
    <row r="747" spans="1:12" x14ac:dyDescent="0.2">
      <c r="A747" s="132" t="s">
        <v>341</v>
      </c>
      <c r="B747" s="129">
        <v>2008</v>
      </c>
      <c r="C747" s="143">
        <f>(INDEX(Production_Consumption!$AA$83:$AJ$99,MATCH('County Scaled Consumption '!$B747,Production_Consumption!$AA$83:$AA$99,0),MATCH('County Scaled Consumption '!C$2,Production_Consumption!$AA$83:$AJ$83,0)))*'CA Population'!$L747*10^6</f>
        <v>36145.000658231889</v>
      </c>
      <c r="D747" s="143">
        <f>(INDEX(Production_Consumption!$AA$83:$AJ$99,MATCH('County Scaled Consumption '!$B747,Production_Consumption!$AA$83:$AA$99,0),MATCH('County Scaled Consumption '!D$2,Production_Consumption!$AA$83:$AJ$83,0)))*'CA Population'!$L747*10^6</f>
        <v>143087.7717861092</v>
      </c>
      <c r="E747" s="143">
        <f>(INDEX(Production_Consumption!$AA$83:$AJ$99,MATCH('County Scaled Consumption '!$B747,Production_Consumption!$AA$83:$AA$99,0),MATCH('County Scaled Consumption '!E$2,Production_Consumption!$AA$83:$AJ$83,0)))*'CA Population'!$L747*10^6</f>
        <v>74389.235656317454</v>
      </c>
      <c r="F747" s="143">
        <f>(INDEX(Production_Consumption!$AA$83:$AJ$99,MATCH('County Scaled Consumption '!$B747,Production_Consumption!$AA$83:$AA$99,0),MATCH('County Scaled Consumption '!F$2,Production_Consumption!$AA$83:$AJ$83,0)))*'CA Population'!$L747*10^6</f>
        <v>35383.879620650507</v>
      </c>
      <c r="G747" s="143">
        <f>(INDEX(Production_Consumption!$AA$83:$AJ$99,MATCH('County Scaled Consumption '!$B747,Production_Consumption!$AA$83:$AA$99,0),MATCH('County Scaled Consumption '!G$2,Production_Consumption!$AA$83:$AJ$83,0)))*'CA Population'!$L747*10^6</f>
        <v>94404.675908737438</v>
      </c>
      <c r="H747" s="143">
        <f>(INDEX(Production_Consumption!$AA$83:$AJ$99,MATCH('County Scaled Consumption '!$B747,Production_Consumption!$AA$83:$AA$99,0),MATCH('County Scaled Consumption '!H$2,Production_Consumption!$AA$83:$AJ$83,0)))*'CA Population'!$L747*10^6</f>
        <v>2613.1458321700816</v>
      </c>
      <c r="I747" s="143">
        <f>(INDEX(Production_Consumption!$AA$83:$AJ$99,MATCH('County Scaled Consumption '!$B747,Production_Consumption!$AA$83:$AA$99,0),MATCH('County Scaled Consumption '!I$2,Production_Consumption!$AA$83:$AJ$83,0)))*'CA Population'!$L747*10^6</f>
        <v>42619.101203128354</v>
      </c>
      <c r="J747" s="143">
        <f>(INDEX(Production_Consumption!$AA$83:$AJ$99,MATCH('County Scaled Consumption '!$B747,Production_Consumption!$AA$83:$AA$99,0),MATCH('County Scaled Consumption '!J$2,Production_Consumption!$AA$83:$AJ$83,0)))*'CA Population'!$L747*10^6</f>
        <v>47076.601318081412</v>
      </c>
      <c r="K747" s="143">
        <f>(INDEX(Production_Consumption!$AA$83:$AJ$99,MATCH('County Scaled Consumption '!$B747,Production_Consumption!$AA$83:$AA$99,0),MATCH('County Scaled Consumption '!K$2,Production_Consumption!$AA$83:$AJ$83,0)))*'CA Population'!$L747*10^6</f>
        <v>475719.41198342637</v>
      </c>
      <c r="L747" s="131">
        <f t="shared" si="11"/>
        <v>0</v>
      </c>
    </row>
    <row r="748" spans="1:12" x14ac:dyDescent="0.2">
      <c r="A748" s="132" t="s">
        <v>342</v>
      </c>
      <c r="B748" s="129">
        <v>2008</v>
      </c>
      <c r="C748" s="143">
        <f>(INDEX(Production_Consumption!$AA$83:$AJ$99,MATCH('County Scaled Consumption '!$B748,Production_Consumption!$AA$83:$AA$99,0),MATCH('County Scaled Consumption '!C$2,Production_Consumption!$AA$83:$AJ$83,0)))*'CA Population'!$L748*10^6</f>
        <v>9475.204286788281</v>
      </c>
      <c r="D748" s="143">
        <f>(INDEX(Production_Consumption!$AA$83:$AJ$99,MATCH('County Scaled Consumption '!$B748,Production_Consumption!$AA$83:$AA$99,0),MATCH('County Scaled Consumption '!D$2,Production_Consumption!$AA$83:$AJ$83,0)))*'CA Population'!$L748*10^6</f>
        <v>37509.637402813278</v>
      </c>
      <c r="E748" s="143">
        <f>(INDEX(Production_Consumption!$AA$83:$AJ$99,MATCH('County Scaled Consumption '!$B748,Production_Consumption!$AA$83:$AA$99,0),MATCH('County Scaled Consumption '!E$2,Production_Consumption!$AA$83:$AJ$83,0)))*'CA Population'!$L748*10^6</f>
        <v>19500.710796670446</v>
      </c>
      <c r="F748" s="143">
        <f>(INDEX(Production_Consumption!$AA$83:$AJ$99,MATCH('County Scaled Consumption '!$B748,Production_Consumption!$AA$83:$AA$99,0),MATCH('County Scaled Consumption '!F$2,Production_Consumption!$AA$83:$AJ$83,0)))*'CA Population'!$L748*10^6</f>
        <v>9275.680779063201</v>
      </c>
      <c r="G748" s="143">
        <f>(INDEX(Production_Consumption!$AA$83:$AJ$99,MATCH('County Scaled Consumption '!$B748,Production_Consumption!$AA$83:$AA$99,0),MATCH('County Scaled Consumption '!G$2,Production_Consumption!$AA$83:$AJ$83,0)))*'CA Population'!$L748*10^6</f>
        <v>24747.643479696759</v>
      </c>
      <c r="H748" s="143">
        <f>(INDEX(Production_Consumption!$AA$83:$AJ$99,MATCH('County Scaled Consumption '!$B748,Production_Consumption!$AA$83:$AA$99,0),MATCH('County Scaled Consumption '!H$2,Production_Consumption!$AA$83:$AJ$83,0)))*'CA Population'!$L748*10^6</f>
        <v>685.02116862852711</v>
      </c>
      <c r="I748" s="143">
        <f>(INDEX(Production_Consumption!$AA$83:$AJ$99,MATCH('County Scaled Consumption '!$B748,Production_Consumption!$AA$83:$AA$99,0),MATCH('County Scaled Consumption '!I$2,Production_Consumption!$AA$83:$AJ$83,0)))*'CA Population'!$L748*10^6</f>
        <v>11172.352554017061</v>
      </c>
      <c r="J748" s="143">
        <f>(INDEX(Production_Consumption!$AA$83:$AJ$99,MATCH('County Scaled Consumption '!$B748,Production_Consumption!$AA$83:$AA$99,0),MATCH('County Scaled Consumption '!J$2,Production_Consumption!$AA$83:$AJ$83,0)))*'CA Population'!$L748*10^6</f>
        <v>12340.860602942588</v>
      </c>
      <c r="K748" s="143">
        <f>(INDEX(Production_Consumption!$AA$83:$AJ$99,MATCH('County Scaled Consumption '!$B748,Production_Consumption!$AA$83:$AA$99,0),MATCH('County Scaled Consumption '!K$2,Production_Consumption!$AA$83:$AJ$83,0)))*'CA Population'!$L748*10^6</f>
        <v>124707.11107062014</v>
      </c>
      <c r="L748" s="131">
        <f t="shared" si="11"/>
        <v>0</v>
      </c>
    </row>
    <row r="749" spans="1:12" x14ac:dyDescent="0.2">
      <c r="A749" s="132" t="s">
        <v>343</v>
      </c>
      <c r="B749" s="129">
        <v>2008</v>
      </c>
      <c r="C749" s="143">
        <f>(INDEX(Production_Consumption!$AA$83:$AJ$99,MATCH('County Scaled Consumption '!$B749,Production_Consumption!$AA$83:$AA$99,0),MATCH('County Scaled Consumption '!C$2,Production_Consumption!$AA$83:$AJ$83,0)))*'CA Population'!$L749*10^6</f>
        <v>8015.0730202324348</v>
      </c>
      <c r="D749" s="143">
        <f>(INDEX(Production_Consumption!$AA$83:$AJ$99,MATCH('County Scaled Consumption '!$B749,Production_Consumption!$AA$83:$AA$99,0),MATCH('County Scaled Consumption '!D$2,Production_Consumption!$AA$83:$AJ$83,0)))*'CA Population'!$L749*10^6</f>
        <v>31729.39322956761</v>
      </c>
      <c r="E749" s="143">
        <f>(INDEX(Production_Consumption!$AA$83:$AJ$99,MATCH('County Scaled Consumption '!$B749,Production_Consumption!$AA$83:$AA$99,0),MATCH('County Scaled Consumption '!E$2,Production_Consumption!$AA$83:$AJ$83,0)))*'CA Population'!$L749*10^6</f>
        <v>16495.646558215576</v>
      </c>
      <c r="F749" s="143">
        <f>(INDEX(Production_Consumption!$AA$83:$AJ$99,MATCH('County Scaled Consumption '!$B749,Production_Consumption!$AA$83:$AA$99,0),MATCH('County Scaled Consumption '!F$2,Production_Consumption!$AA$83:$AJ$83,0)))*'CA Population'!$L749*10^6</f>
        <v>7846.2961331842826</v>
      </c>
      <c r="G749" s="143">
        <f>(INDEX(Production_Consumption!$AA$83:$AJ$99,MATCH('County Scaled Consumption '!$B749,Production_Consumption!$AA$83:$AA$99,0),MATCH('County Scaled Consumption '!G$2,Production_Consumption!$AA$83:$AJ$83,0)))*'CA Population'!$L749*10^6</f>
        <v>20934.025648926963</v>
      </c>
      <c r="H749" s="143">
        <f>(INDEX(Production_Consumption!$AA$83:$AJ$99,MATCH('County Scaled Consumption '!$B749,Production_Consumption!$AA$83:$AA$99,0),MATCH('County Scaled Consumption '!H$2,Production_Consumption!$AA$83:$AJ$83,0)))*'CA Population'!$L749*10^6</f>
        <v>579.45924127654462</v>
      </c>
      <c r="I749" s="143">
        <f>(INDEX(Production_Consumption!$AA$83:$AJ$99,MATCH('County Scaled Consumption '!$B749,Production_Consumption!$AA$83:$AA$99,0),MATCH('County Scaled Consumption '!I$2,Production_Consumption!$AA$83:$AJ$83,0)))*'CA Population'!$L749*10^6</f>
        <v>9450.6903300319264</v>
      </c>
      <c r="J749" s="143">
        <f>(INDEX(Production_Consumption!$AA$83:$AJ$99,MATCH('County Scaled Consumption '!$B749,Production_Consumption!$AA$83:$AA$99,0),MATCH('County Scaled Consumption '!J$2,Production_Consumption!$AA$83:$AJ$83,0)))*'CA Population'!$L749*10^6</f>
        <v>10439.131006706986</v>
      </c>
      <c r="K749" s="143">
        <f>(INDEX(Production_Consumption!$AA$83:$AJ$99,MATCH('County Scaled Consumption '!$B749,Production_Consumption!$AA$83:$AA$99,0),MATCH('County Scaled Consumption '!K$2,Production_Consumption!$AA$83:$AJ$83,0)))*'CA Population'!$L749*10^6</f>
        <v>105489.71516814233</v>
      </c>
      <c r="L749" s="131">
        <f t="shared" si="11"/>
        <v>0</v>
      </c>
    </row>
    <row r="750" spans="1:12" x14ac:dyDescent="0.2">
      <c r="A750" s="132" t="s">
        <v>344</v>
      </c>
      <c r="B750" s="129">
        <v>2008</v>
      </c>
      <c r="C750" s="143">
        <f>(INDEX(Production_Consumption!$AA$83:$AJ$99,MATCH('County Scaled Consumption '!$B750,Production_Consumption!$AA$83:$AA$99,0),MATCH('County Scaled Consumption '!C$2,Production_Consumption!$AA$83:$AJ$83,0)))*'CA Population'!$L750*10^6</f>
        <v>3164.4123086026484</v>
      </c>
      <c r="D750" s="143">
        <f>(INDEX(Production_Consumption!$AA$83:$AJ$99,MATCH('County Scaled Consumption '!$B750,Production_Consumption!$AA$83:$AA$99,0),MATCH('County Scaled Consumption '!D$2,Production_Consumption!$AA$83:$AJ$83,0)))*'CA Population'!$L750*10^6</f>
        <v>12527.007829708526</v>
      </c>
      <c r="E750" s="143">
        <f>(INDEX(Production_Consumption!$AA$83:$AJ$99,MATCH('County Scaled Consumption '!$B750,Production_Consumption!$AA$83:$AA$99,0),MATCH('County Scaled Consumption '!E$2,Production_Consumption!$AA$83:$AJ$83,0)))*'CA Population'!$L750*10^6</f>
        <v>6512.6077922696877</v>
      </c>
      <c r="F750" s="143">
        <f>(INDEX(Production_Consumption!$AA$83:$AJ$99,MATCH('County Scaled Consumption '!$B750,Production_Consumption!$AA$83:$AA$99,0),MATCH('County Scaled Consumption '!F$2,Production_Consumption!$AA$83:$AJ$83,0)))*'CA Population'!$L750*10^6</f>
        <v>3097.7778989803483</v>
      </c>
      <c r="G750" s="143">
        <f>(INDEX(Production_Consumption!$AA$83:$AJ$99,MATCH('County Scaled Consumption '!$B750,Production_Consumption!$AA$83:$AA$99,0),MATCH('County Scaled Consumption '!G$2,Production_Consumption!$AA$83:$AJ$83,0)))*'CA Population'!$L750*10^6</f>
        <v>8264.9139022001054</v>
      </c>
      <c r="H750" s="143">
        <f>(INDEX(Production_Consumption!$AA$83:$AJ$99,MATCH('County Scaled Consumption '!$B750,Production_Consumption!$AA$83:$AA$99,0),MATCH('County Scaled Consumption '!H$2,Production_Consumption!$AA$83:$AJ$83,0)))*'CA Population'!$L750*10^6</f>
        <v>228.77495324127119</v>
      </c>
      <c r="I750" s="143">
        <f>(INDEX(Production_Consumption!$AA$83:$AJ$99,MATCH('County Scaled Consumption '!$B750,Production_Consumption!$AA$83:$AA$99,0),MATCH('County Scaled Consumption '!I$2,Production_Consumption!$AA$83:$AJ$83,0)))*'CA Population'!$L750*10^6</f>
        <v>3731.205034521045</v>
      </c>
      <c r="J750" s="143">
        <f>(INDEX(Production_Consumption!$AA$83:$AJ$99,MATCH('County Scaled Consumption '!$B750,Production_Consumption!$AA$83:$AA$99,0),MATCH('County Scaled Consumption '!J$2,Production_Consumption!$AA$83:$AJ$83,0)))*'CA Population'!$L750*10^6</f>
        <v>4121.4489955802273</v>
      </c>
      <c r="K750" s="143">
        <f>(INDEX(Production_Consumption!$AA$83:$AJ$99,MATCH('County Scaled Consumption '!$B750,Production_Consumption!$AA$83:$AA$99,0),MATCH('County Scaled Consumption '!K$2,Production_Consumption!$AA$83:$AJ$83,0)))*'CA Population'!$L750*10^6</f>
        <v>41648.14871510386</v>
      </c>
      <c r="L750" s="131">
        <f t="shared" si="11"/>
        <v>0</v>
      </c>
    </row>
    <row r="751" spans="1:12" x14ac:dyDescent="0.2">
      <c r="A751" s="132" t="s">
        <v>345</v>
      </c>
      <c r="B751" s="129">
        <v>2008</v>
      </c>
      <c r="C751" s="143">
        <f>(INDEX(Production_Consumption!$AA$83:$AJ$99,MATCH('County Scaled Consumption '!$B751,Production_Consumption!$AA$83:$AA$99,0),MATCH('County Scaled Consumption '!C$2,Production_Consumption!$AA$83:$AJ$83,0)))*'CA Population'!$L751*10^6</f>
        <v>8436.1285861852939</v>
      </c>
      <c r="D751" s="143">
        <f>(INDEX(Production_Consumption!$AA$83:$AJ$99,MATCH('County Scaled Consumption '!$B751,Production_Consumption!$AA$83:$AA$99,0),MATCH('County Scaled Consumption '!D$2,Production_Consumption!$AA$83:$AJ$83,0)))*'CA Population'!$L751*10^6</f>
        <v>33396.23239496164</v>
      </c>
      <c r="E751" s="143">
        <f>(INDEX(Production_Consumption!$AA$83:$AJ$99,MATCH('County Scaled Consumption '!$B751,Production_Consumption!$AA$83:$AA$99,0),MATCH('County Scaled Consumption '!E$2,Production_Consumption!$AA$83:$AJ$83,0)))*'CA Population'!$L751*10^6</f>
        <v>17362.211813428486</v>
      </c>
      <c r="F751" s="143">
        <f>(INDEX(Production_Consumption!$AA$83:$AJ$99,MATCH('County Scaled Consumption '!$B751,Production_Consumption!$AA$83:$AA$99,0),MATCH('County Scaled Consumption '!F$2,Production_Consumption!$AA$83:$AJ$83,0)))*'CA Population'!$L751*10^6</f>
        <v>8258.4853485104632</v>
      </c>
      <c r="G751" s="143">
        <f>(INDEX(Production_Consumption!$AA$83:$AJ$99,MATCH('County Scaled Consumption '!$B751,Production_Consumption!$AA$83:$AA$99,0),MATCH('County Scaled Consumption '!G$2,Production_Consumption!$AA$83:$AJ$83,0)))*'CA Population'!$L751*10^6</f>
        <v>22033.752126156865</v>
      </c>
      <c r="H751" s="143">
        <f>(INDEX(Production_Consumption!$AA$83:$AJ$99,MATCH('County Scaled Consumption '!$B751,Production_Consumption!$AA$83:$AA$99,0),MATCH('County Scaled Consumption '!H$2,Production_Consumption!$AA$83:$AJ$83,0)))*'CA Population'!$L751*10^6</f>
        <v>609.89995443866064</v>
      </c>
      <c r="I751" s="143">
        <f>(INDEX(Production_Consumption!$AA$83:$AJ$99,MATCH('County Scaled Consumption '!$B751,Production_Consumption!$AA$83:$AA$99,0),MATCH('County Scaled Consumption '!I$2,Production_Consumption!$AA$83:$AJ$83,0)))*'CA Population'!$L751*10^6</f>
        <v>9947.1631326516872</v>
      </c>
      <c r="J751" s="143">
        <f>(INDEX(Production_Consumption!$AA$83:$AJ$99,MATCH('County Scaled Consumption '!$B751,Production_Consumption!$AA$83:$AA$99,0),MATCH('County Scaled Consumption '!J$2,Production_Consumption!$AA$83:$AJ$83,0)))*'CA Population'!$L751*10^6</f>
        <v>10987.529530711648</v>
      </c>
      <c r="K751" s="143">
        <f>(INDEX(Production_Consumption!$AA$83:$AJ$99,MATCH('County Scaled Consumption '!$B751,Production_Consumption!$AA$83:$AA$99,0),MATCH('County Scaled Consumption '!K$2,Production_Consumption!$AA$83:$AJ$83,0)))*'CA Population'!$L751*10^6</f>
        <v>111031.40288704475</v>
      </c>
      <c r="L751" s="131">
        <f t="shared" si="11"/>
        <v>0</v>
      </c>
    </row>
    <row r="752" spans="1:12" x14ac:dyDescent="0.2">
      <c r="A752" s="132" t="s">
        <v>346</v>
      </c>
      <c r="B752" s="129">
        <v>2008</v>
      </c>
      <c r="C752" s="143">
        <f>(INDEX(Production_Consumption!$AA$83:$AJ$99,MATCH('County Scaled Consumption '!$B752,Production_Consumption!$AA$83:$AA$99,0),MATCH('County Scaled Consumption '!C$2,Production_Consumption!$AA$83:$AJ$83,0)))*'CA Population'!$L752*10^6</f>
        <v>4985.6015833949095</v>
      </c>
      <c r="D752" s="143">
        <f>(INDEX(Production_Consumption!$AA$83:$AJ$99,MATCH('County Scaled Consumption '!$B752,Production_Consumption!$AA$83:$AA$99,0),MATCH('County Scaled Consumption '!D$2,Production_Consumption!$AA$83:$AJ$83,0)))*'CA Population'!$L752*10^6</f>
        <v>19736.577910915217</v>
      </c>
      <c r="E752" s="143">
        <f>(INDEX(Production_Consumption!$AA$83:$AJ$99,MATCH('County Scaled Consumption '!$B752,Production_Consumption!$AA$83:$AA$99,0),MATCH('County Scaled Consumption '!E$2,Production_Consumption!$AA$83:$AJ$83,0)))*'CA Population'!$L752*10^6</f>
        <v>10260.757624061847</v>
      </c>
      <c r="F752" s="143">
        <f>(INDEX(Production_Consumption!$AA$83:$AJ$99,MATCH('County Scaled Consumption '!$B752,Production_Consumption!$AA$83:$AA$99,0),MATCH('County Scaled Consumption '!F$2,Production_Consumption!$AA$83:$AJ$83,0)))*'CA Population'!$L752*10^6</f>
        <v>4880.6175971999428</v>
      </c>
      <c r="G752" s="143">
        <f>(INDEX(Production_Consumption!$AA$83:$AJ$99,MATCH('County Scaled Consumption '!$B752,Production_Consumption!$AA$83:$AA$99,0),MATCH('County Scaled Consumption '!G$2,Production_Consumption!$AA$83:$AJ$83,0)))*'CA Population'!$L752*10^6</f>
        <v>13021.55465816246</v>
      </c>
      <c r="H752" s="143">
        <f>(INDEX(Production_Consumption!$AA$83:$AJ$99,MATCH('County Scaled Consumption '!$B752,Production_Consumption!$AA$83:$AA$99,0),MATCH('County Scaled Consumption '!H$2,Production_Consumption!$AA$83:$AJ$83,0)))*'CA Population'!$L752*10^6</f>
        <v>360.43999892809143</v>
      </c>
      <c r="I752" s="143">
        <f>(INDEX(Production_Consumption!$AA$83:$AJ$99,MATCH('County Scaled Consumption '!$B752,Production_Consumption!$AA$83:$AA$99,0),MATCH('County Scaled Consumption '!I$2,Production_Consumption!$AA$83:$AJ$83,0)))*'CA Population'!$L752*10^6</f>
        <v>5878.5960595298166</v>
      </c>
      <c r="J752" s="143">
        <f>(INDEX(Production_Consumption!$AA$83:$AJ$99,MATCH('County Scaled Consumption '!$B752,Production_Consumption!$AA$83:$AA$99,0),MATCH('County Scaled Consumption '!J$2,Production_Consumption!$AA$83:$AJ$83,0)))*'CA Population'!$L752*10^6</f>
        <v>6493.4340516832808</v>
      </c>
      <c r="K752" s="143">
        <f>(INDEX(Production_Consumption!$AA$83:$AJ$99,MATCH('County Scaled Consumption '!$B752,Production_Consumption!$AA$83:$AA$99,0),MATCH('County Scaled Consumption '!K$2,Production_Consumption!$AA$83:$AJ$83,0)))*'CA Population'!$L752*10^6</f>
        <v>65617.579483875554</v>
      </c>
      <c r="L752" s="131">
        <f t="shared" si="11"/>
        <v>0</v>
      </c>
    </row>
    <row r="753" spans="1:12" x14ac:dyDescent="0.2">
      <c r="A753" s="132" t="s">
        <v>347</v>
      </c>
      <c r="B753" s="129">
        <v>2008</v>
      </c>
      <c r="C753" s="143">
        <f>(INDEX(Production_Consumption!$AA$83:$AJ$99,MATCH('County Scaled Consumption '!$B753,Production_Consumption!$AA$83:$AA$99,0),MATCH('County Scaled Consumption '!C$2,Production_Consumption!$AA$83:$AJ$83,0)))*'CA Population'!$L753*10^6</f>
        <v>20832.429698703501</v>
      </c>
      <c r="D753" s="143">
        <f>(INDEX(Production_Consumption!$AA$83:$AJ$99,MATCH('County Scaled Consumption '!$B753,Production_Consumption!$AA$83:$AA$99,0),MATCH('County Scaled Consumption '!D$2,Production_Consumption!$AA$83:$AJ$83,0)))*'CA Population'!$L753*10^6</f>
        <v>82469.660871326298</v>
      </c>
      <c r="E753" s="143">
        <f>(INDEX(Production_Consumption!$AA$83:$AJ$99,MATCH('County Scaled Consumption '!$B753,Production_Consumption!$AA$83:$AA$99,0),MATCH('County Scaled Consumption '!E$2,Production_Consumption!$AA$83:$AJ$83,0)))*'CA Population'!$L753*10^6</f>
        <v>42874.76812640702</v>
      </c>
      <c r="F753" s="143">
        <f>(INDEX(Production_Consumption!$AA$83:$AJ$99,MATCH('County Scaled Consumption '!$B753,Production_Consumption!$AA$83:$AA$99,0),MATCH('County Scaled Consumption '!F$2,Production_Consumption!$AA$83:$AJ$83,0)))*'CA Population'!$L753*10^6</f>
        <v>20393.752143886326</v>
      </c>
      <c r="G753" s="143">
        <f>(INDEX(Production_Consumption!$AA$83:$AJ$99,MATCH('County Scaled Consumption '!$B753,Production_Consumption!$AA$83:$AA$99,0),MATCH('County Scaled Consumption '!G$2,Production_Consumption!$AA$83:$AJ$83,0)))*'CA Population'!$L753*10^6</f>
        <v>54410.810299702047</v>
      </c>
      <c r="H753" s="143">
        <f>(INDEX(Production_Consumption!$AA$83:$AJ$99,MATCH('County Scaled Consumption '!$B753,Production_Consumption!$AA$83:$AA$99,0),MATCH('County Scaled Consumption '!H$2,Production_Consumption!$AA$83:$AJ$83,0)))*'CA Population'!$L753*10^6</f>
        <v>1506.1052939487274</v>
      </c>
      <c r="I753" s="143">
        <f>(INDEX(Production_Consumption!$AA$83:$AJ$99,MATCH('County Scaled Consumption '!$B753,Production_Consumption!$AA$83:$AA$99,0),MATCH('County Scaled Consumption '!I$2,Production_Consumption!$AA$83:$AJ$83,0)))*'CA Population'!$L753*10^6</f>
        <v>24563.823861319936</v>
      </c>
      <c r="J753" s="143">
        <f>(INDEX(Production_Consumption!$AA$83:$AJ$99,MATCH('County Scaled Consumption '!$B753,Production_Consumption!$AA$83:$AA$99,0),MATCH('County Scaled Consumption '!J$2,Production_Consumption!$AA$83:$AJ$83,0)))*'CA Population'!$L753*10^6</f>
        <v>27132.93594004869</v>
      </c>
      <c r="K753" s="143">
        <f>(INDEX(Production_Consumption!$AA$83:$AJ$99,MATCH('County Scaled Consumption '!$B753,Production_Consumption!$AA$83:$AA$99,0),MATCH('County Scaled Consumption '!K$2,Production_Consumption!$AA$83:$AJ$83,0)))*'CA Population'!$L753*10^6</f>
        <v>274184.2862353425</v>
      </c>
      <c r="L753" s="131">
        <f t="shared" si="11"/>
        <v>0</v>
      </c>
    </row>
    <row r="754" spans="1:12" x14ac:dyDescent="0.2">
      <c r="A754" s="132" t="s">
        <v>348</v>
      </c>
      <c r="B754" s="129">
        <v>2008</v>
      </c>
      <c r="C754" s="143">
        <f>(INDEX(Production_Consumption!$AA$83:$AJ$99,MATCH('County Scaled Consumption '!$B754,Production_Consumption!$AA$83:$AA$99,0),MATCH('County Scaled Consumption '!C$2,Production_Consumption!$AA$83:$AJ$83,0)))*'CA Population'!$L754*10^6</f>
        <v>3083.7481308861361</v>
      </c>
      <c r="D754" s="143">
        <f>(INDEX(Production_Consumption!$AA$83:$AJ$99,MATCH('County Scaled Consumption '!$B754,Production_Consumption!$AA$83:$AA$99,0),MATCH('County Scaled Consumption '!D$2,Production_Consumption!$AA$83:$AJ$83,0)))*'CA Population'!$L754*10^6</f>
        <v>12207.681304816464</v>
      </c>
      <c r="E754" s="143">
        <f>(INDEX(Production_Consumption!$AA$83:$AJ$99,MATCH('County Scaled Consumption '!$B754,Production_Consumption!$AA$83:$AA$99,0),MATCH('County Scaled Consumption '!E$2,Production_Consumption!$AA$83:$AJ$83,0)))*'CA Population'!$L754*10^6</f>
        <v>6346.5946115835195</v>
      </c>
      <c r="F754" s="143">
        <f>(INDEX(Production_Consumption!$AA$83:$AJ$99,MATCH('County Scaled Consumption '!$B754,Production_Consumption!$AA$83:$AA$99,0),MATCH('County Scaled Consumption '!F$2,Production_Consumption!$AA$83:$AJ$83,0)))*'CA Population'!$L754*10^6</f>
        <v>3018.8123020224793</v>
      </c>
      <c r="G754" s="143">
        <f>(INDEX(Production_Consumption!$AA$83:$AJ$99,MATCH('County Scaled Consumption '!$B754,Production_Consumption!$AA$83:$AA$99,0),MATCH('County Scaled Consumption '!G$2,Production_Consumption!$AA$83:$AJ$83,0)))*'CA Population'!$L754*10^6</f>
        <v>8054.2326069699202</v>
      </c>
      <c r="H754" s="143">
        <f>(INDEX(Production_Consumption!$AA$83:$AJ$99,MATCH('County Scaled Consumption '!$B754,Production_Consumption!$AA$83:$AA$99,0),MATCH('County Scaled Consumption '!H$2,Production_Consumption!$AA$83:$AJ$83,0)))*'CA Population'!$L754*10^6</f>
        <v>222.94324052950711</v>
      </c>
      <c r="I754" s="143">
        <f>(INDEX(Production_Consumption!$AA$83:$AJ$99,MATCH('County Scaled Consumption '!$B754,Production_Consumption!$AA$83:$AA$99,0),MATCH('County Scaled Consumption '!I$2,Production_Consumption!$AA$83:$AJ$83,0)))*'CA Population'!$L754*10^6</f>
        <v>3636.0927177148137</v>
      </c>
      <c r="J754" s="143">
        <f>(INDEX(Production_Consumption!$AA$83:$AJ$99,MATCH('County Scaled Consumption '!$B754,Production_Consumption!$AA$83:$AA$99,0),MATCH('County Scaled Consumption '!J$2,Production_Consumption!$AA$83:$AJ$83,0)))*'CA Population'!$L754*10^6</f>
        <v>4016.3889522586819</v>
      </c>
      <c r="K754" s="143">
        <f>(INDEX(Production_Consumption!$AA$83:$AJ$99,MATCH('County Scaled Consumption '!$B754,Production_Consumption!$AA$83:$AA$99,0),MATCH('County Scaled Consumption '!K$2,Production_Consumption!$AA$83:$AJ$83,0)))*'CA Population'!$L754*10^6</f>
        <v>40586.493866781522</v>
      </c>
      <c r="L754" s="131">
        <f t="shared" si="11"/>
        <v>0</v>
      </c>
    </row>
    <row r="755" spans="1:12" x14ac:dyDescent="0.2">
      <c r="A755" s="132" t="s">
        <v>349</v>
      </c>
      <c r="B755" s="129">
        <v>2008</v>
      </c>
      <c r="C755" s="143">
        <f>(INDEX(Production_Consumption!$AA$83:$AJ$99,MATCH('County Scaled Consumption '!$B755,Production_Consumption!$AA$83:$AA$99,0),MATCH('County Scaled Consumption '!C$2,Production_Consumption!$AA$83:$AJ$83,0)))*'CA Population'!$L755*10^6</f>
        <v>2100.5104433744405</v>
      </c>
      <c r="D755" s="143">
        <f>(INDEX(Production_Consumption!$AA$83:$AJ$99,MATCH('County Scaled Consumption '!$B755,Production_Consumption!$AA$83:$AA$99,0),MATCH('County Scaled Consumption '!D$2,Production_Consumption!$AA$83:$AJ$83,0)))*'CA Population'!$L755*10^6</f>
        <v>8315.3231009127176</v>
      </c>
      <c r="E755" s="143">
        <f>(INDEX(Production_Consumption!$AA$83:$AJ$99,MATCH('County Scaled Consumption '!$B755,Production_Consumption!$AA$83:$AA$99,0),MATCH('County Scaled Consumption '!E$2,Production_Consumption!$AA$83:$AJ$83,0)))*'CA Population'!$L755*10^6</f>
        <v>4323.0146223596903</v>
      </c>
      <c r="F755" s="143">
        <f>(INDEX(Production_Consumption!$AA$83:$AJ$99,MATCH('County Scaled Consumption '!$B755,Production_Consumption!$AA$83:$AA$99,0),MATCH('County Scaled Consumption '!F$2,Production_Consumption!$AA$83:$AJ$83,0)))*'CA Population'!$L755*10^6</f>
        <v>2056.279079174767</v>
      </c>
      <c r="G755" s="143">
        <f>(INDEX(Production_Consumption!$AA$83:$AJ$99,MATCH('County Scaled Consumption '!$B755,Production_Consumption!$AA$83:$AA$99,0),MATCH('County Scaled Consumption '!G$2,Production_Consumption!$AA$83:$AJ$83,0)))*'CA Population'!$L755*10^6</f>
        <v>5486.1807729562397</v>
      </c>
      <c r="H755" s="143">
        <f>(INDEX(Production_Consumption!$AA$83:$AJ$99,MATCH('County Scaled Consumption '!$B755,Production_Consumption!$AA$83:$AA$99,0),MATCH('County Scaled Consumption '!H$2,Production_Consumption!$AA$83:$AJ$83,0)))*'CA Population'!$L755*10^6</f>
        <v>151.85890193872672</v>
      </c>
      <c r="I755" s="143">
        <f>(INDEX(Production_Consumption!$AA$83:$AJ$99,MATCH('County Scaled Consumption '!$B755,Production_Consumption!$AA$83:$AA$99,0),MATCH('County Scaled Consumption '!I$2,Production_Consumption!$AA$83:$AJ$83,0)))*'CA Population'!$L755*10^6</f>
        <v>2476.7427177792847</v>
      </c>
      <c r="J755" s="143">
        <f>(INDEX(Production_Consumption!$AA$83:$AJ$99,MATCH('County Scaled Consumption '!$B755,Production_Consumption!$AA$83:$AA$99,0),MATCH('County Scaled Consumption '!J$2,Production_Consumption!$AA$83:$AJ$83,0)))*'CA Population'!$L755*10^6</f>
        <v>2735.7833976047882</v>
      </c>
      <c r="K755" s="143">
        <f>(INDEX(Production_Consumption!$AA$83:$AJ$99,MATCH('County Scaled Consumption '!$B755,Production_Consumption!$AA$83:$AA$99,0),MATCH('County Scaled Consumption '!K$2,Production_Consumption!$AA$83:$AJ$83,0)))*'CA Population'!$L755*10^6</f>
        <v>27645.693036100656</v>
      </c>
      <c r="L755" s="131">
        <f t="shared" si="11"/>
        <v>0</v>
      </c>
    </row>
    <row r="756" spans="1:12" x14ac:dyDescent="0.2">
      <c r="A756" s="132" t="s">
        <v>350</v>
      </c>
      <c r="B756" s="129">
        <v>2008</v>
      </c>
      <c r="C756" s="143">
        <f>(INDEX(Production_Consumption!$AA$83:$AJ$99,MATCH('County Scaled Consumption '!$B756,Production_Consumption!$AA$83:$AA$99,0),MATCH('County Scaled Consumption '!C$2,Production_Consumption!$AA$83:$AJ$83,0)))*'CA Population'!$L756*10^6</f>
        <v>39.497796240030041</v>
      </c>
      <c r="D756" s="143">
        <f>(INDEX(Production_Consumption!$AA$83:$AJ$99,MATCH('County Scaled Consumption '!$B756,Production_Consumption!$AA$83:$AA$99,0),MATCH('County Scaled Consumption '!D$2,Production_Consumption!$AA$83:$AJ$83,0)))*'CA Population'!$L756*10^6</f>
        <v>156.36053538597787</v>
      </c>
      <c r="E756" s="143">
        <f>(INDEX(Production_Consumption!$AA$83:$AJ$99,MATCH('County Scaled Consumption '!$B756,Production_Consumption!$AA$83:$AA$99,0),MATCH('County Scaled Consumption '!E$2,Production_Consumption!$AA$83:$AJ$83,0)))*'CA Population'!$L756*10^6</f>
        <v>81.289550944734543</v>
      </c>
      <c r="F756" s="143">
        <f>(INDEX(Production_Consumption!$AA$83:$AJ$99,MATCH('County Scaled Consumption '!$B756,Production_Consumption!$AA$83:$AA$99,0),MATCH('County Scaled Consumption '!F$2,Production_Consumption!$AA$83:$AJ$83,0)))*'CA Population'!$L756*10^6</f>
        <v>38.666073924110187</v>
      </c>
      <c r="G756" s="143">
        <f>(INDEX(Production_Consumption!$AA$83:$AJ$99,MATCH('County Scaled Consumption '!$B756,Production_Consumption!$AA$83:$AA$99,0),MATCH('County Scaled Consumption '!G$2,Production_Consumption!$AA$83:$AJ$83,0)))*'CA Population'!$L756*10^6</f>
        <v>103.16161530626975</v>
      </c>
      <c r="H756" s="143">
        <f>(INDEX(Production_Consumption!$AA$83:$AJ$99,MATCH('County Scaled Consumption '!$B756,Production_Consumption!$AA$83:$AA$99,0),MATCH('County Scaled Consumption '!H$2,Production_Consumption!$AA$83:$AJ$83,0)))*'CA Population'!$L756*10^6</f>
        <v>2.8555401783076504</v>
      </c>
      <c r="I756" s="143">
        <f>(INDEX(Production_Consumption!$AA$83:$AJ$99,MATCH('County Scaled Consumption '!$B756,Production_Consumption!$AA$83:$AA$99,0),MATCH('County Scaled Consumption '!I$2,Production_Consumption!$AA$83:$AJ$83,0)))*'CA Population'!$L756*10^6</f>
        <v>46.572431722200115</v>
      </c>
      <c r="J756" s="143">
        <f>(INDEX(Production_Consumption!$AA$83:$AJ$99,MATCH('County Scaled Consumption '!$B756,Production_Consumption!$AA$83:$AA$99,0),MATCH('County Scaled Consumption '!J$2,Production_Consumption!$AA$83:$AJ$83,0)))*'CA Population'!$L756*10^6</f>
        <v>51.443407737529888</v>
      </c>
      <c r="K756" s="143">
        <f>(INDEX(Production_Consumption!$AA$83:$AJ$99,MATCH('County Scaled Consumption '!$B756,Production_Consumption!$AA$83:$AA$99,0),MATCH('County Scaled Consumption '!K$2,Production_Consumption!$AA$83:$AJ$83,0)))*'CA Population'!$L756*10^6</f>
        <v>519.84695143915997</v>
      </c>
      <c r="L756" s="131">
        <f t="shared" si="11"/>
        <v>0</v>
      </c>
    </row>
    <row r="757" spans="1:12" x14ac:dyDescent="0.2">
      <c r="A757" s="132" t="s">
        <v>351</v>
      </c>
      <c r="B757" s="129">
        <v>2008</v>
      </c>
      <c r="C757" s="143">
        <f>(INDEX(Production_Consumption!$AA$83:$AJ$99,MATCH('County Scaled Consumption '!$B757,Production_Consumption!$AA$83:$AA$99,0),MATCH('County Scaled Consumption '!C$2,Production_Consumption!$AA$83:$AJ$83,0)))*'CA Population'!$L757*10^6</f>
        <v>535.75888249300874</v>
      </c>
      <c r="D757" s="143">
        <f>(INDEX(Production_Consumption!$AA$83:$AJ$99,MATCH('County Scaled Consumption '!$B757,Production_Consumption!$AA$83:$AA$99,0),MATCH('County Scaled Consumption '!D$2,Production_Consumption!$AA$83:$AJ$83,0)))*'CA Population'!$L757*10^6</f>
        <v>2120.9169543362941</v>
      </c>
      <c r="E757" s="143">
        <f>(INDEX(Production_Consumption!$AA$83:$AJ$99,MATCH('County Scaled Consumption '!$B757,Production_Consumption!$AA$83:$AA$99,0),MATCH('County Scaled Consumption '!E$2,Production_Consumption!$AA$83:$AJ$83,0)))*'CA Population'!$L757*10^6</f>
        <v>1102.6336433517522</v>
      </c>
      <c r="F757" s="143">
        <f>(INDEX(Production_Consumption!$AA$83:$AJ$99,MATCH('County Scaled Consumption '!$B757,Production_Consumption!$AA$83:$AA$99,0),MATCH('County Scaled Consumption '!F$2,Production_Consumption!$AA$83:$AJ$83,0)))*'CA Population'!$L757*10^6</f>
        <v>524.47717412088139</v>
      </c>
      <c r="G757" s="143">
        <f>(INDEX(Production_Consumption!$AA$83:$AJ$99,MATCH('County Scaled Consumption '!$B757,Production_Consumption!$AA$83:$AA$99,0),MATCH('County Scaled Consumption '!G$2,Production_Consumption!$AA$83:$AJ$83,0)))*'CA Population'!$L757*10^6</f>
        <v>1399.3122906600595</v>
      </c>
      <c r="H757" s="143">
        <f>(INDEX(Production_Consumption!$AA$83:$AJ$99,MATCH('County Scaled Consumption '!$B757,Production_Consumption!$AA$83:$AA$99,0),MATCH('County Scaled Consumption '!H$2,Production_Consumption!$AA$83:$AJ$83,0)))*'CA Population'!$L757*10^6</f>
        <v>38.733325918915362</v>
      </c>
      <c r="I757" s="143">
        <f>(INDEX(Production_Consumption!$AA$83:$AJ$99,MATCH('County Scaled Consumption '!$B757,Production_Consumption!$AA$83:$AA$99,0),MATCH('County Scaled Consumption '!I$2,Production_Consumption!$AA$83:$AJ$83,0)))*'CA Population'!$L757*10^6</f>
        <v>631.72116800734455</v>
      </c>
      <c r="J757" s="143">
        <f>(INDEX(Production_Consumption!$AA$83:$AJ$99,MATCH('County Scaled Consumption '!$B757,Production_Consumption!$AA$83:$AA$99,0),MATCH('County Scaled Consumption '!J$2,Production_Consumption!$AA$83:$AJ$83,0)))*'CA Population'!$L757*10^6</f>
        <v>697.7924153945213</v>
      </c>
      <c r="K757" s="143">
        <f>(INDEX(Production_Consumption!$AA$83:$AJ$99,MATCH('County Scaled Consumption '!$B757,Production_Consumption!$AA$83:$AA$99,0),MATCH('County Scaled Consumption '!K$2,Production_Consumption!$AA$83:$AJ$83,0)))*'CA Population'!$L757*10^6</f>
        <v>7051.3458542827766</v>
      </c>
      <c r="L757" s="131">
        <f t="shared" si="11"/>
        <v>0</v>
      </c>
    </row>
    <row r="758" spans="1:12" x14ac:dyDescent="0.2">
      <c r="A758" s="132" t="s">
        <v>352</v>
      </c>
      <c r="B758" s="129">
        <v>2008</v>
      </c>
      <c r="C758" s="143">
        <f>(INDEX(Production_Consumption!$AA$83:$AJ$99,MATCH('County Scaled Consumption '!$B758,Production_Consumption!$AA$83:$AA$99,0),MATCH('County Scaled Consumption '!C$2,Production_Consumption!$AA$83:$AJ$83,0)))*'CA Population'!$L758*10^6</f>
        <v>4921.2299486657594</v>
      </c>
      <c r="D758" s="143">
        <f>(INDEX(Production_Consumption!$AA$83:$AJ$99,MATCH('County Scaled Consumption '!$B758,Production_Consumption!$AA$83:$AA$99,0),MATCH('County Scaled Consumption '!D$2,Production_Consumption!$AA$83:$AJ$83,0)))*'CA Population'!$L758*10^6</f>
        <v>19481.74892732449</v>
      </c>
      <c r="E758" s="143">
        <f>(INDEX(Production_Consumption!$AA$83:$AJ$99,MATCH('County Scaled Consumption '!$B758,Production_Consumption!$AA$83:$AA$99,0),MATCH('County Scaled Consumption '!E$2,Production_Consumption!$AA$83:$AJ$83,0)))*'CA Population'!$L758*10^6</f>
        <v>10128.275769912025</v>
      </c>
      <c r="F758" s="143">
        <f>(INDEX(Production_Consumption!$AA$83:$AJ$99,MATCH('County Scaled Consumption '!$B758,Production_Consumption!$AA$83:$AA$99,0),MATCH('County Scaled Consumption '!F$2,Production_Consumption!$AA$83:$AJ$83,0)))*'CA Population'!$L758*10^6</f>
        <v>4817.6014640484273</v>
      </c>
      <c r="G758" s="143">
        <f>(INDEX(Production_Consumption!$AA$83:$AJ$99,MATCH('County Scaled Consumption '!$B758,Production_Consumption!$AA$83:$AA$99,0),MATCH('County Scaled Consumption '!G$2,Production_Consumption!$AA$83:$AJ$83,0)))*'CA Population'!$L758*10^6</f>
        <v>12853.426751020286</v>
      </c>
      <c r="H758" s="143">
        <f>(INDEX(Production_Consumption!$AA$83:$AJ$99,MATCH('County Scaled Consumption '!$B758,Production_Consumption!$AA$83:$AA$99,0),MATCH('County Scaled Consumption '!H$2,Production_Consumption!$AA$83:$AJ$83,0)))*'CA Population'!$L758*10^6</f>
        <v>355.78617499838725</v>
      </c>
      <c r="I758" s="143">
        <f>(INDEX(Production_Consumption!$AA$83:$AJ$99,MATCH('County Scaled Consumption '!$B758,Production_Consumption!$AA$83:$AA$99,0),MATCH('County Scaled Consumption '!I$2,Production_Consumption!$AA$83:$AJ$83,0)))*'CA Population'!$L758*10^6</f>
        <v>5802.6945194780346</v>
      </c>
      <c r="J758" s="143">
        <f>(INDEX(Production_Consumption!$AA$83:$AJ$99,MATCH('County Scaled Consumption '!$B758,Production_Consumption!$AA$83:$AA$99,0),MATCH('County Scaled Consumption '!J$2,Production_Consumption!$AA$83:$AJ$83,0)))*'CA Population'!$L758*10^6</f>
        <v>6409.594025977065</v>
      </c>
      <c r="K758" s="143">
        <f>(INDEX(Production_Consumption!$AA$83:$AJ$99,MATCH('County Scaled Consumption '!$B758,Production_Consumption!$AA$83:$AA$99,0),MATCH('County Scaled Consumption '!K$2,Production_Consumption!$AA$83:$AJ$83,0)))*'CA Population'!$L758*10^6</f>
        <v>64770.357581424476</v>
      </c>
      <c r="L758" s="131">
        <f t="shared" si="11"/>
        <v>0</v>
      </c>
    </row>
    <row r="759" spans="1:12" x14ac:dyDescent="0.2">
      <c r="A759" s="132" t="s">
        <v>353</v>
      </c>
      <c r="B759" s="129">
        <v>2008</v>
      </c>
      <c r="C759" s="143">
        <f>(INDEX(Production_Consumption!$AA$83:$AJ$99,MATCH('County Scaled Consumption '!$B759,Production_Consumption!$AA$83:$AA$99,0),MATCH('County Scaled Consumption '!C$2,Production_Consumption!$AA$83:$AJ$83,0)))*'CA Population'!$L759*10^6</f>
        <v>5659.1140956230611</v>
      </c>
      <c r="D759" s="143">
        <f>(INDEX(Production_Consumption!$AA$83:$AJ$99,MATCH('County Scaled Consumption '!$B759,Production_Consumption!$AA$83:$AA$99,0),MATCH('County Scaled Consumption '!D$2,Production_Consumption!$AA$83:$AJ$83,0)))*'CA Population'!$L759*10^6</f>
        <v>22402.822284681541</v>
      </c>
      <c r="E759" s="143">
        <f>(INDEX(Production_Consumption!$AA$83:$AJ$99,MATCH('County Scaled Consumption '!$B759,Production_Consumption!$AA$83:$AA$99,0),MATCH('County Scaled Consumption '!E$2,Production_Consumption!$AA$83:$AJ$83,0)))*'CA Population'!$L759*10^6</f>
        <v>11646.899001215423</v>
      </c>
      <c r="F759" s="143">
        <f>(INDEX(Production_Consumption!$AA$83:$AJ$99,MATCH('County Scaled Consumption '!$B759,Production_Consumption!$AA$83:$AA$99,0),MATCH('County Scaled Consumption '!F$2,Production_Consumption!$AA$83:$AJ$83,0)))*'CA Population'!$L759*10^6</f>
        <v>5539.9476628159546</v>
      </c>
      <c r="G759" s="143">
        <f>(INDEX(Production_Consumption!$AA$83:$AJ$99,MATCH('County Scaled Consumption '!$B759,Production_Consumption!$AA$83:$AA$99,0),MATCH('County Scaled Consumption '!G$2,Production_Consumption!$AA$83:$AJ$83,0)))*'CA Population'!$L759*10^6</f>
        <v>14780.656312042152</v>
      </c>
      <c r="H759" s="143">
        <f>(INDEX(Production_Consumption!$AA$83:$AJ$99,MATCH('County Scaled Consumption '!$B759,Production_Consumption!$AA$83:$AA$99,0),MATCH('County Scaled Consumption '!H$2,Production_Consumption!$AA$83:$AJ$83,0)))*'CA Population'!$L759*10^6</f>
        <v>409.13238742421856</v>
      </c>
      <c r="I759" s="143">
        <f>(INDEX(Production_Consumption!$AA$83:$AJ$99,MATCH('County Scaled Consumption '!$B759,Production_Consumption!$AA$83:$AA$99,0),MATCH('County Scaled Consumption '!I$2,Production_Consumption!$AA$83:$AJ$83,0)))*'CA Population'!$L759*10^6</f>
        <v>6672.7445557946103</v>
      </c>
      <c r="J759" s="143">
        <f>(INDEX(Production_Consumption!$AA$83:$AJ$99,MATCH('County Scaled Consumption '!$B759,Production_Consumption!$AA$83:$AA$99,0),MATCH('County Scaled Consumption '!J$2,Production_Consumption!$AA$83:$AJ$83,0)))*'CA Population'!$L759*10^6</f>
        <v>7370.6419488612564</v>
      </c>
      <c r="K759" s="143">
        <f>(INDEX(Production_Consumption!$AA$83:$AJ$99,MATCH('County Scaled Consumption '!$B759,Production_Consumption!$AA$83:$AA$99,0),MATCH('County Scaled Consumption '!K$2,Production_Consumption!$AA$83:$AJ$83,0)))*'CA Population'!$L759*10^6</f>
        <v>74481.958248458206</v>
      </c>
      <c r="L759" s="131">
        <f t="shared" si="11"/>
        <v>0</v>
      </c>
    </row>
    <row r="760" spans="1:12" x14ac:dyDescent="0.2">
      <c r="A760" s="132" t="s">
        <v>354</v>
      </c>
      <c r="B760" s="129">
        <v>2008</v>
      </c>
      <c r="C760" s="143">
        <f>(INDEX(Production_Consumption!$AA$83:$AJ$99,MATCH('County Scaled Consumption '!$B760,Production_Consumption!$AA$83:$AA$99,0),MATCH('County Scaled Consumption '!C$2,Production_Consumption!$AA$83:$AJ$83,0)))*'CA Population'!$L760*10^6</f>
        <v>6071.1354643671293</v>
      </c>
      <c r="D760" s="143">
        <f>(INDEX(Production_Consumption!$AA$83:$AJ$99,MATCH('County Scaled Consumption '!$B760,Production_Consumption!$AA$83:$AA$99,0),MATCH('County Scaled Consumption '!D$2,Production_Consumption!$AA$83:$AJ$83,0)))*'CA Population'!$L760*10^6</f>
        <v>24033.897634196706</v>
      </c>
      <c r="E760" s="143">
        <f>(INDEX(Production_Consumption!$AA$83:$AJ$99,MATCH('County Scaled Consumption '!$B760,Production_Consumption!$AA$83:$AA$99,0),MATCH('County Scaled Consumption '!E$2,Production_Consumption!$AA$83:$AJ$83,0)))*'CA Population'!$L760*10^6</f>
        <v>12494.871172657629</v>
      </c>
      <c r="F760" s="143">
        <f>(INDEX(Production_Consumption!$AA$83:$AJ$99,MATCH('County Scaled Consumption '!$B760,Production_Consumption!$AA$83:$AA$99,0),MATCH('County Scaled Consumption '!F$2,Production_Consumption!$AA$83:$AJ$83,0)))*'CA Population'!$L760*10^6</f>
        <v>5943.2929179627527</v>
      </c>
      <c r="G760" s="143">
        <f>(INDEX(Production_Consumption!$AA$83:$AJ$99,MATCH('County Scaled Consumption '!$B760,Production_Consumption!$AA$83:$AA$99,0),MATCH('County Scaled Consumption '!G$2,Production_Consumption!$AA$83:$AJ$83,0)))*'CA Population'!$L760*10^6</f>
        <v>15856.7869822708</v>
      </c>
      <c r="H760" s="143">
        <f>(INDEX(Production_Consumption!$AA$83:$AJ$99,MATCH('County Scaled Consumption '!$B760,Production_Consumption!$AA$83:$AA$99,0),MATCH('County Scaled Consumption '!H$2,Production_Consumption!$AA$83:$AJ$83,0)))*'CA Population'!$L760*10^6</f>
        <v>438.91996254917188</v>
      </c>
      <c r="I760" s="143">
        <f>(INDEX(Production_Consumption!$AA$83:$AJ$99,MATCH('County Scaled Consumption '!$B760,Production_Consumption!$AA$83:$AA$99,0),MATCH('County Scaled Consumption '!I$2,Production_Consumption!$AA$83:$AJ$83,0)))*'CA Population'!$L760*10^6</f>
        <v>7158.5650037838859</v>
      </c>
      <c r="J760" s="143">
        <f>(INDEX(Production_Consumption!$AA$83:$AJ$99,MATCH('County Scaled Consumption '!$B760,Production_Consumption!$AA$83:$AA$99,0),MATCH('County Scaled Consumption '!J$2,Production_Consumption!$AA$83:$AJ$83,0)))*'CA Population'!$L760*10^6</f>
        <v>7907.2739963828035</v>
      </c>
      <c r="K760" s="143">
        <f>(INDEX(Production_Consumption!$AA$83:$AJ$99,MATCH('County Scaled Consumption '!$B760,Production_Consumption!$AA$83:$AA$99,0),MATCH('County Scaled Consumption '!K$2,Production_Consumption!$AA$83:$AJ$83,0)))*'CA Population'!$L760*10^6</f>
        <v>79904.743134170887</v>
      </c>
      <c r="L760" s="131">
        <f t="shared" si="11"/>
        <v>0</v>
      </c>
    </row>
    <row r="761" spans="1:12" x14ac:dyDescent="0.2">
      <c r="A761" s="132" t="s">
        <v>355</v>
      </c>
      <c r="B761" s="129">
        <v>2008</v>
      </c>
      <c r="C761" s="143">
        <f>(INDEX(Production_Consumption!$AA$83:$AJ$99,MATCH('County Scaled Consumption '!$B761,Production_Consumption!$AA$83:$AA$99,0),MATCH('County Scaled Consumption '!C$2,Production_Consumption!$AA$83:$AJ$83,0)))*'CA Population'!$L761*10^6</f>
        <v>1108.2147217220017</v>
      </c>
      <c r="D761" s="143">
        <f>(INDEX(Production_Consumption!$AA$83:$AJ$99,MATCH('County Scaled Consumption '!$B761,Production_Consumption!$AA$83:$AA$99,0),MATCH('County Scaled Consumption '!D$2,Production_Consumption!$AA$83:$AJ$83,0)))*'CA Population'!$L761*10^6</f>
        <v>4387.1067174998134</v>
      </c>
      <c r="E761" s="143">
        <f>(INDEX(Production_Consumption!$AA$83:$AJ$99,MATCH('County Scaled Consumption '!$B761,Production_Consumption!$AA$83:$AA$99,0),MATCH('County Scaled Consumption '!E$2,Production_Consumption!$AA$83:$AJ$83,0)))*'CA Population'!$L761*10^6</f>
        <v>2280.7924910966362</v>
      </c>
      <c r="F761" s="143">
        <f>(INDEX(Production_Consumption!$AA$83:$AJ$99,MATCH('County Scaled Consumption '!$B761,Production_Consumption!$AA$83:$AA$99,0),MATCH('County Scaled Consumption '!F$2,Production_Consumption!$AA$83:$AJ$83,0)))*'CA Population'!$L761*10^6</f>
        <v>1084.8785611603914</v>
      </c>
      <c r="G761" s="143">
        <f>(INDEX(Production_Consumption!$AA$83:$AJ$99,MATCH('County Scaled Consumption '!$B761,Production_Consumption!$AA$83:$AA$99,0),MATCH('County Scaled Consumption '!G$2,Production_Consumption!$AA$83:$AJ$83,0)))*'CA Population'!$L761*10^6</f>
        <v>2894.4708738753407</v>
      </c>
      <c r="H761" s="143">
        <f>(INDEX(Production_Consumption!$AA$83:$AJ$99,MATCH('County Scaled Consumption '!$B761,Production_Consumption!$AA$83:$AA$99,0),MATCH('County Scaled Consumption '!H$2,Production_Consumption!$AA$83:$AJ$83,0)))*'CA Population'!$L761*10^6</f>
        <v>80.119701991424336</v>
      </c>
      <c r="I761" s="143">
        <f>(INDEX(Production_Consumption!$AA$83:$AJ$99,MATCH('County Scaled Consumption '!$B761,Production_Consumption!$AA$83:$AA$99,0),MATCH('County Scaled Consumption '!I$2,Production_Consumption!$AA$83:$AJ$83,0)))*'CA Population'!$L761*10^6</f>
        <v>1306.712256736673</v>
      </c>
      <c r="J761" s="143">
        <f>(INDEX(Production_Consumption!$AA$83:$AJ$99,MATCH('County Scaled Consumption '!$B761,Production_Consumption!$AA$83:$AA$99,0),MATCH('County Scaled Consumption '!J$2,Production_Consumption!$AA$83:$AJ$83,0)))*'CA Population'!$L761*10^6</f>
        <v>1443.3803203556856</v>
      </c>
      <c r="K761" s="143">
        <f>(INDEX(Production_Consumption!$AA$83:$AJ$99,MATCH('County Scaled Consumption '!$B761,Production_Consumption!$AA$83:$AA$99,0),MATCH('County Scaled Consumption '!K$2,Production_Consumption!$AA$83:$AJ$83,0)))*'CA Population'!$L761*10^6</f>
        <v>14585.675644437966</v>
      </c>
      <c r="L761" s="131">
        <f t="shared" si="11"/>
        <v>0</v>
      </c>
    </row>
    <row r="762" spans="1:12" x14ac:dyDescent="0.2">
      <c r="A762" s="132" t="s">
        <v>356</v>
      </c>
      <c r="B762" s="129">
        <v>2008</v>
      </c>
      <c r="C762" s="143">
        <f>(INDEX(Production_Consumption!$AA$83:$AJ$99,MATCH('County Scaled Consumption '!$B762,Production_Consumption!$AA$83:$AA$99,0),MATCH('County Scaled Consumption '!C$2,Production_Consumption!$AA$83:$AJ$83,0)))*'CA Population'!$L762*10^6</f>
        <v>743.29513050979892</v>
      </c>
      <c r="D762" s="143">
        <f>(INDEX(Production_Consumption!$AA$83:$AJ$99,MATCH('County Scaled Consumption '!$B762,Production_Consumption!$AA$83:$AA$99,0),MATCH('County Scaled Consumption '!D$2,Production_Consumption!$AA$83:$AJ$83,0)))*'CA Population'!$L762*10^6</f>
        <v>2942.4939014322604</v>
      </c>
      <c r="E762" s="143">
        <f>(INDEX(Production_Consumption!$AA$83:$AJ$99,MATCH('County Scaled Consumption '!$B762,Production_Consumption!$AA$83:$AA$99,0),MATCH('County Scaled Consumption '!E$2,Production_Consumption!$AA$83:$AJ$83,0)))*'CA Population'!$L762*10^6</f>
        <v>1529.7594582584099</v>
      </c>
      <c r="F762" s="143">
        <f>(INDEX(Production_Consumption!$AA$83:$AJ$99,MATCH('County Scaled Consumption '!$B762,Production_Consumption!$AA$83:$AA$99,0),MATCH('County Scaled Consumption '!F$2,Production_Consumption!$AA$83:$AJ$83,0)))*'CA Population'!$L762*10^6</f>
        <v>727.64324088024489</v>
      </c>
      <c r="G762" s="143">
        <f>(INDEX(Production_Consumption!$AA$83:$AJ$99,MATCH('County Scaled Consumption '!$B762,Production_Consumption!$AA$83:$AA$99,0),MATCH('County Scaled Consumption '!G$2,Production_Consumption!$AA$83:$AJ$83,0)))*'CA Population'!$L762*10^6</f>
        <v>1941.3621419962321</v>
      </c>
      <c r="H762" s="143">
        <f>(INDEX(Production_Consumption!$AA$83:$AJ$99,MATCH('County Scaled Consumption '!$B762,Production_Consumption!$AA$83:$AA$99,0),MATCH('County Scaled Consumption '!H$2,Production_Consumption!$AA$83:$AJ$83,0)))*'CA Population'!$L762*10^6</f>
        <v>53.737405920385228</v>
      </c>
      <c r="I762" s="143">
        <f>(INDEX(Production_Consumption!$AA$83:$AJ$99,MATCH('County Scaled Consumption '!$B762,Production_Consumption!$AA$83:$AA$99,0),MATCH('County Scaled Consumption '!I$2,Production_Consumption!$AA$83:$AJ$83,0)))*'CA Population'!$L762*10^6</f>
        <v>876.43020650422773</v>
      </c>
      <c r="J762" s="143">
        <f>(INDEX(Production_Consumption!$AA$83:$AJ$99,MATCH('County Scaled Consumption '!$B762,Production_Consumption!$AA$83:$AA$99,0),MATCH('County Scaled Consumption '!J$2,Production_Consumption!$AA$83:$AJ$83,0)))*'CA Population'!$L762*10^6</f>
        <v>968.0953903292251</v>
      </c>
      <c r="K762" s="143">
        <f>(INDEX(Production_Consumption!$AA$83:$AJ$99,MATCH('County Scaled Consumption '!$B762,Production_Consumption!$AA$83:$AA$99,0),MATCH('County Scaled Consumption '!K$2,Production_Consumption!$AA$83:$AJ$83,0)))*'CA Population'!$L762*10^6</f>
        <v>9782.8168758307838</v>
      </c>
      <c r="L762" s="131">
        <f t="shared" si="11"/>
        <v>0</v>
      </c>
    </row>
    <row r="763" spans="1:12" x14ac:dyDescent="0.2">
      <c r="A763" s="132" t="s">
        <v>357</v>
      </c>
      <c r="B763" s="129">
        <v>2008</v>
      </c>
      <c r="C763" s="143">
        <f>(INDEX(Production_Consumption!$AA$83:$AJ$99,MATCH('County Scaled Consumption '!$B763,Production_Consumption!$AA$83:$AA$99,0),MATCH('County Scaled Consumption '!C$2,Production_Consumption!$AA$83:$AJ$83,0)))*'CA Population'!$L763*10^6</f>
        <v>163.98617334537519</v>
      </c>
      <c r="D763" s="143">
        <f>(INDEX(Production_Consumption!$AA$83:$AJ$99,MATCH('County Scaled Consumption '!$B763,Production_Consumption!$AA$83:$AA$99,0),MATCH('County Scaled Consumption '!D$2,Production_Consumption!$AA$83:$AJ$83,0)))*'CA Population'!$L763*10^6</f>
        <v>649.17459456115557</v>
      </c>
      <c r="E763" s="143">
        <f>(INDEX(Production_Consumption!$AA$83:$AJ$99,MATCH('County Scaled Consumption '!$B763,Production_Consumption!$AA$83:$AA$99,0),MATCH('County Scaled Consumption '!E$2,Production_Consumption!$AA$83:$AJ$83,0)))*'CA Population'!$L763*10^6</f>
        <v>337.496358312795</v>
      </c>
      <c r="F763" s="143">
        <f>(INDEX(Production_Consumption!$AA$83:$AJ$99,MATCH('County Scaled Consumption '!$B763,Production_Consumption!$AA$83:$AA$99,0),MATCH('County Scaled Consumption '!F$2,Production_Consumption!$AA$83:$AJ$83,0)))*'CA Population'!$L763*10^6</f>
        <v>160.53304499753531</v>
      </c>
      <c r="G763" s="143">
        <f>(INDEX(Production_Consumption!$AA$83:$AJ$99,MATCH('County Scaled Consumption '!$B763,Production_Consumption!$AA$83:$AA$99,0),MATCH('County Scaled Consumption '!G$2,Production_Consumption!$AA$83:$AJ$83,0)))*'CA Population'!$L763*10^6</f>
        <v>428.3043648156202</v>
      </c>
      <c r="H763" s="143">
        <f>(INDEX(Production_Consumption!$AA$83:$AJ$99,MATCH('County Scaled Consumption '!$B763,Production_Consumption!$AA$83:$AA$99,0),MATCH('County Scaled Consumption '!H$2,Production_Consumption!$AA$83:$AJ$83,0)))*'CA Population'!$L763*10^6</f>
        <v>11.85557553208659</v>
      </c>
      <c r="I763" s="143">
        <f>(INDEX(Production_Consumption!$AA$83:$AJ$99,MATCH('County Scaled Consumption '!$B763,Production_Consumption!$AA$83:$AA$99,0),MATCH('County Scaled Consumption '!I$2,Production_Consumption!$AA$83:$AJ$83,0)))*'CA Population'!$L763*10^6</f>
        <v>193.35850575309337</v>
      </c>
      <c r="J763" s="143">
        <f>(INDEX(Production_Consumption!$AA$83:$AJ$99,MATCH('County Scaled Consumption '!$B763,Production_Consumption!$AA$83:$AA$99,0),MATCH('County Scaled Consumption '!J$2,Production_Consumption!$AA$83:$AJ$83,0)))*'CA Population'!$L763*10^6</f>
        <v>213.58172814142239</v>
      </c>
      <c r="K763" s="143">
        <f>(INDEX(Production_Consumption!$AA$83:$AJ$99,MATCH('County Scaled Consumption '!$B763,Production_Consumption!$AA$83:$AA$99,0),MATCH('County Scaled Consumption '!K$2,Production_Consumption!$AA$83:$AJ$83,0)))*'CA Population'!$L763*10^6</f>
        <v>2158.2903454590837</v>
      </c>
      <c r="L763" s="131">
        <f t="shared" si="11"/>
        <v>0</v>
      </c>
    </row>
    <row r="764" spans="1:12" x14ac:dyDescent="0.2">
      <c r="A764" s="132" t="s">
        <v>358</v>
      </c>
      <c r="B764" s="129">
        <v>2008</v>
      </c>
      <c r="C764" s="143">
        <f>(INDEX(Production_Consumption!$AA$83:$AJ$99,MATCH('County Scaled Consumption '!$B764,Production_Consumption!$AA$83:$AA$99,0),MATCH('County Scaled Consumption '!C$2,Production_Consumption!$AA$83:$AJ$83,0)))*'CA Population'!$L764*10^6</f>
        <v>5095.5136766132418</v>
      </c>
      <c r="D764" s="143">
        <f>(INDEX(Production_Consumption!$AA$83:$AJ$99,MATCH('County Scaled Consumption '!$B764,Production_Consumption!$AA$83:$AA$99,0),MATCH('County Scaled Consumption '!D$2,Production_Consumption!$AA$83:$AJ$83,0)))*'CA Population'!$L764*10^6</f>
        <v>20171.688610169738</v>
      </c>
      <c r="E764" s="143">
        <f>(INDEX(Production_Consumption!$AA$83:$AJ$99,MATCH('County Scaled Consumption '!$B764,Production_Consumption!$AA$83:$AA$99,0),MATCH('County Scaled Consumption '!E$2,Production_Consumption!$AA$83:$AJ$83,0)))*'CA Population'!$L764*10^6</f>
        <v>10486.965300227312</v>
      </c>
      <c r="F764" s="143">
        <f>(INDEX(Production_Consumption!$AA$83:$AJ$99,MATCH('County Scaled Consumption '!$B764,Production_Consumption!$AA$83:$AA$99,0),MATCH('County Scaled Consumption '!F$2,Production_Consumption!$AA$83:$AJ$83,0)))*'CA Population'!$L764*10^6</f>
        <v>4988.2152235512222</v>
      </c>
      <c r="G764" s="143">
        <f>(INDEX(Production_Consumption!$AA$83:$AJ$99,MATCH('County Scaled Consumption '!$B764,Production_Consumption!$AA$83:$AA$99,0),MATCH('County Scaled Consumption '!G$2,Production_Consumption!$AA$83:$AJ$83,0)))*'CA Population'!$L764*10^6</f>
        <v>13308.626600333377</v>
      </c>
      <c r="H764" s="143">
        <f>(INDEX(Production_Consumption!$AA$83:$AJ$99,MATCH('County Scaled Consumption '!$B764,Production_Consumption!$AA$83:$AA$99,0),MATCH('County Scaled Consumption '!H$2,Production_Consumption!$AA$83:$AJ$83,0)))*'CA Population'!$L764*10^6</f>
        <v>368.38622449367779</v>
      </c>
      <c r="I764" s="143">
        <f>(INDEX(Production_Consumption!$AA$83:$AJ$99,MATCH('County Scaled Consumption '!$B764,Production_Consumption!$AA$83:$AA$99,0),MATCH('County Scaled Consumption '!I$2,Production_Consumption!$AA$83:$AJ$83,0)))*'CA Population'!$L764*10^6</f>
        <v>6008.1950231212859</v>
      </c>
      <c r="J764" s="143">
        <f>(INDEX(Production_Consumption!$AA$83:$AJ$99,MATCH('County Scaled Consumption '!$B764,Production_Consumption!$AA$83:$AA$99,0),MATCH('County Scaled Consumption '!J$2,Production_Consumption!$AA$83:$AJ$83,0)))*'CA Population'!$L764*10^6</f>
        <v>6636.5876745425139</v>
      </c>
      <c r="K764" s="143">
        <f>(INDEX(Production_Consumption!$AA$83:$AJ$99,MATCH('County Scaled Consumption '!$B764,Production_Consumption!$AA$83:$AA$99,0),MATCH('County Scaled Consumption '!K$2,Production_Consumption!$AA$83:$AJ$83,0)))*'CA Population'!$L764*10^6</f>
        <v>67064.178333052361</v>
      </c>
      <c r="L764" s="131">
        <f t="shared" si="11"/>
        <v>0</v>
      </c>
    </row>
    <row r="765" spans="1:12" x14ac:dyDescent="0.2">
      <c r="A765" s="132" t="s">
        <v>359</v>
      </c>
      <c r="B765" s="129">
        <v>2008</v>
      </c>
      <c r="C765" s="143">
        <f>(INDEX(Production_Consumption!$AA$83:$AJ$99,MATCH('County Scaled Consumption '!$B765,Production_Consumption!$AA$83:$AA$99,0),MATCH('County Scaled Consumption '!C$2,Production_Consumption!$AA$83:$AJ$83,0)))*'CA Population'!$L765*10^6</f>
        <v>668.60210424659192</v>
      </c>
      <c r="D765" s="143">
        <f>(INDEX(Production_Consumption!$AA$83:$AJ$99,MATCH('County Scaled Consumption '!$B765,Production_Consumption!$AA$83:$AA$99,0),MATCH('County Scaled Consumption '!D$2,Production_Consumption!$AA$83:$AJ$83,0)))*'CA Population'!$L765*10^6</f>
        <v>2646.8054659271538</v>
      </c>
      <c r="E765" s="143">
        <f>(INDEX(Production_Consumption!$AA$83:$AJ$99,MATCH('County Scaled Consumption '!$B765,Production_Consumption!$AA$83:$AA$99,0),MATCH('County Scaled Consumption '!E$2,Production_Consumption!$AA$83:$AJ$83,0)))*'CA Population'!$L765*10^6</f>
        <v>1376.0353738375736</v>
      </c>
      <c r="F765" s="143">
        <f>(INDEX(Production_Consumption!$AA$83:$AJ$99,MATCH('County Scaled Consumption '!$B765,Production_Consumption!$AA$83:$AA$99,0),MATCH('County Scaled Consumption '!F$2,Production_Consumption!$AA$83:$AJ$83,0)))*'CA Population'!$L765*10^6</f>
        <v>654.52305823618997</v>
      </c>
      <c r="G765" s="143">
        <f>(INDEX(Production_Consumption!$AA$83:$AJ$99,MATCH('County Scaled Consumption '!$B765,Production_Consumption!$AA$83:$AA$99,0),MATCH('County Scaled Consumption '!G$2,Production_Consumption!$AA$83:$AJ$83,0)))*'CA Population'!$L765*10^6</f>
        <v>1746.2764922906217</v>
      </c>
      <c r="H765" s="143">
        <f>(INDEX(Production_Consumption!$AA$83:$AJ$99,MATCH('County Scaled Consumption '!$B765,Production_Consumption!$AA$83:$AA$99,0),MATCH('County Scaled Consumption '!H$2,Production_Consumption!$AA$83:$AJ$83,0)))*'CA Population'!$L765*10^6</f>
        <v>48.337384708117852</v>
      </c>
      <c r="I765" s="143">
        <f>(INDEX(Production_Consumption!$AA$83:$AJ$99,MATCH('County Scaled Consumption '!$B765,Production_Consumption!$AA$83:$AA$99,0),MATCH('County Scaled Consumption '!I$2,Production_Consumption!$AA$83:$AJ$83,0)))*'CA Population'!$L765*10^6</f>
        <v>788.3585620856918</v>
      </c>
      <c r="J765" s="143">
        <f>(INDEX(Production_Consumption!$AA$83:$AJ$99,MATCH('County Scaled Consumption '!$B765,Production_Consumption!$AA$83:$AA$99,0),MATCH('County Scaled Consumption '!J$2,Production_Consumption!$AA$83:$AJ$83,0)))*'CA Population'!$L765*10^6</f>
        <v>870.81239808688952</v>
      </c>
      <c r="K765" s="143">
        <f>(INDEX(Production_Consumption!$AA$83:$AJ$99,MATCH('County Scaled Consumption '!$B765,Production_Consumption!$AA$83:$AA$99,0),MATCH('County Scaled Consumption '!K$2,Production_Consumption!$AA$83:$AJ$83,0)))*'CA Population'!$L765*10^6</f>
        <v>8799.7508394188299</v>
      </c>
      <c r="L765" s="131">
        <f t="shared" si="11"/>
        <v>0</v>
      </c>
    </row>
    <row r="766" spans="1:12" x14ac:dyDescent="0.2">
      <c r="A766" s="132" t="s">
        <v>360</v>
      </c>
      <c r="B766" s="129">
        <v>2008</v>
      </c>
      <c r="C766" s="143">
        <f>(INDEX(Production_Consumption!$AA$83:$AJ$99,MATCH('County Scaled Consumption '!$B766,Production_Consumption!$AA$83:$AA$99,0),MATCH('County Scaled Consumption '!C$2,Production_Consumption!$AA$83:$AJ$83,0)))*'CA Population'!$L766*10^6</f>
        <v>9641.6814195223596</v>
      </c>
      <c r="D766" s="143">
        <f>(INDEX(Production_Consumption!$AA$83:$AJ$99,MATCH('County Scaled Consumption '!$B766,Production_Consumption!$AA$83:$AA$99,0),MATCH('County Scaled Consumption '!D$2,Production_Consumption!$AA$83:$AJ$83,0)))*'CA Population'!$L766*10^6</f>
        <v>38168.672996739449</v>
      </c>
      <c r="E766" s="143">
        <f>(INDEX(Production_Consumption!$AA$83:$AJ$99,MATCH('County Scaled Consumption '!$B766,Production_Consumption!$AA$83:$AA$99,0),MATCH('County Scaled Consumption '!E$2,Production_Consumption!$AA$83:$AJ$83,0)))*'CA Population'!$L766*10^6</f>
        <v>19843.333744044026</v>
      </c>
      <c r="F766" s="143">
        <f>(INDEX(Production_Consumption!$AA$83:$AJ$99,MATCH('County Scaled Consumption '!$B766,Production_Consumption!$AA$83:$AA$99,0),MATCH('County Scaled Consumption '!F$2,Production_Consumption!$AA$83:$AJ$83,0)))*'CA Population'!$L766*10^6</f>
        <v>9438.6523302315691</v>
      </c>
      <c r="G766" s="143">
        <f>(INDEX(Production_Consumption!$AA$83:$AJ$99,MATCH('County Scaled Consumption '!$B766,Production_Consumption!$AA$83:$AA$99,0),MATCH('County Scaled Consumption '!G$2,Production_Consumption!$AA$83:$AJ$83,0)))*'CA Population'!$L766*10^6</f>
        <v>25182.453812405864</v>
      </c>
      <c r="H766" s="143">
        <f>(INDEX(Production_Consumption!$AA$83:$AJ$99,MATCH('County Scaled Consumption '!$B766,Production_Consumption!$AA$83:$AA$99,0),MATCH('County Scaled Consumption '!H$2,Production_Consumption!$AA$83:$AJ$83,0)))*'CA Population'!$L766*10^6</f>
        <v>697.0568310336572</v>
      </c>
      <c r="I766" s="143">
        <f>(INDEX(Production_Consumption!$AA$83:$AJ$99,MATCH('County Scaled Consumption '!$B766,Production_Consumption!$AA$83:$AA$99,0),MATCH('County Scaled Consumption '!I$2,Production_Consumption!$AA$83:$AJ$83,0)))*'CA Population'!$L766*10^6</f>
        <v>11368.648186574601</v>
      </c>
      <c r="J766" s="143">
        <f>(INDEX(Production_Consumption!$AA$83:$AJ$99,MATCH('County Scaled Consumption '!$B766,Production_Consumption!$AA$83:$AA$99,0),MATCH('County Scaled Consumption '!J$2,Production_Consumption!$AA$83:$AJ$83,0)))*'CA Population'!$L766*10^6</f>
        <v>12557.686649797693</v>
      </c>
      <c r="K766" s="143">
        <f>(INDEX(Production_Consumption!$AA$83:$AJ$99,MATCH('County Scaled Consumption '!$B766,Production_Consumption!$AA$83:$AA$99,0),MATCH('County Scaled Consumption '!K$2,Production_Consumption!$AA$83:$AJ$83,0)))*'CA Population'!$L766*10^6</f>
        <v>126898.18597034921</v>
      </c>
      <c r="L766" s="131">
        <f t="shared" si="11"/>
        <v>0</v>
      </c>
    </row>
    <row r="767" spans="1:12" x14ac:dyDescent="0.2">
      <c r="A767" s="132" t="s">
        <v>361</v>
      </c>
      <c r="B767" s="129">
        <v>2008</v>
      </c>
      <c r="C767" s="143">
        <f>(INDEX(Production_Consumption!$AA$83:$AJ$99,MATCH('County Scaled Consumption '!$B767,Production_Consumption!$AA$83:$AA$99,0),MATCH('County Scaled Consumption '!C$2,Production_Consumption!$AA$83:$AJ$83,0)))*'CA Population'!$L767*10^6</f>
        <v>2338.6294750822135</v>
      </c>
      <c r="D767" s="143">
        <f>(INDEX(Production_Consumption!$AA$83:$AJ$99,MATCH('County Scaled Consumption '!$B767,Production_Consumption!$AA$83:$AA$99,0),MATCH('County Scaled Consumption '!D$2,Production_Consumption!$AA$83:$AJ$83,0)))*'CA Population'!$L767*10^6</f>
        <v>9257.9685856672277</v>
      </c>
      <c r="E767" s="143">
        <f>(INDEX(Production_Consumption!$AA$83:$AJ$99,MATCH('County Scaled Consumption '!$B767,Production_Consumption!$AA$83:$AA$99,0),MATCH('County Scaled Consumption '!E$2,Production_Consumption!$AA$83:$AJ$83,0)))*'CA Population'!$L767*10^6</f>
        <v>4813.0821957830012</v>
      </c>
      <c r="F767" s="143">
        <f>(INDEX(Production_Consumption!$AA$83:$AJ$99,MATCH('County Scaled Consumption '!$B767,Production_Consumption!$AA$83:$AA$99,0),MATCH('County Scaled Consumption '!F$2,Production_Consumption!$AA$83:$AJ$83,0)))*'CA Population'!$L767*10^6</f>
        <v>2289.3839346152613</v>
      </c>
      <c r="G767" s="143">
        <f>(INDEX(Production_Consumption!$AA$83:$AJ$99,MATCH('County Scaled Consumption '!$B767,Production_Consumption!$AA$83:$AA$99,0),MATCH('County Scaled Consumption '!G$2,Production_Consumption!$AA$83:$AJ$83,0)))*'CA Population'!$L767*10^6</f>
        <v>6108.1077229272614</v>
      </c>
      <c r="H767" s="143">
        <f>(INDEX(Production_Consumption!$AA$83:$AJ$99,MATCH('County Scaled Consumption '!$B767,Production_Consumption!$AA$83:$AA$99,0),MATCH('County Scaled Consumption '!H$2,Production_Consumption!$AA$83:$AJ$83,0)))*'CA Population'!$L767*10^6</f>
        <v>169.07400067813788</v>
      </c>
      <c r="I767" s="143">
        <f>(INDEX(Production_Consumption!$AA$83:$AJ$99,MATCH('County Scaled Consumption '!$B767,Production_Consumption!$AA$83:$AA$99,0),MATCH('County Scaled Consumption '!I$2,Production_Consumption!$AA$83:$AJ$83,0)))*'CA Population'!$L767*10^6</f>
        <v>2757.5123657508707</v>
      </c>
      <c r="J767" s="143">
        <f>(INDEX(Production_Consumption!$AA$83:$AJ$99,MATCH('County Scaled Consumption '!$B767,Production_Consumption!$AA$83:$AA$99,0),MATCH('County Scaled Consumption '!J$2,Production_Consumption!$AA$83:$AJ$83,0)))*'CA Population'!$L767*10^6</f>
        <v>3045.9185343543686</v>
      </c>
      <c r="K767" s="143">
        <f>(INDEX(Production_Consumption!$AA$83:$AJ$99,MATCH('County Scaled Consumption '!$B767,Production_Consumption!$AA$83:$AA$99,0),MATCH('County Scaled Consumption '!K$2,Production_Consumption!$AA$83:$AJ$83,0)))*'CA Population'!$L767*10^6</f>
        <v>30779.676814858343</v>
      </c>
      <c r="L767" s="131">
        <f t="shared" si="11"/>
        <v>0</v>
      </c>
    </row>
    <row r="768" spans="1:12" x14ac:dyDescent="0.2">
      <c r="A768" s="132" t="s">
        <v>362</v>
      </c>
      <c r="B768" s="129">
        <v>2008</v>
      </c>
      <c r="C768" s="143">
        <f>(INDEX(Production_Consumption!$AA$83:$AJ$99,MATCH('County Scaled Consumption '!$B768,Production_Consumption!$AA$83:$AA$99,0),MATCH('County Scaled Consumption '!C$2,Production_Consumption!$AA$83:$AJ$83,0)))*'CA Population'!$L768*10^6</f>
        <v>844.06576032556666</v>
      </c>
      <c r="D768" s="143">
        <f>(INDEX(Production_Consumption!$AA$83:$AJ$99,MATCH('County Scaled Consumption '!$B768,Production_Consumption!$AA$83:$AA$99,0),MATCH('County Scaled Consumption '!D$2,Production_Consumption!$AA$83:$AJ$83,0)))*'CA Population'!$L768*10^6</f>
        <v>3341.4161484716215</v>
      </c>
      <c r="E768" s="143">
        <f>(INDEX(Production_Consumption!$AA$83:$AJ$99,MATCH('County Scaled Consumption '!$B768,Production_Consumption!$AA$83:$AA$99,0),MATCH('County Scaled Consumption '!E$2,Production_Consumption!$AA$83:$AJ$83,0)))*'CA Population'!$L768*10^6</f>
        <v>1737.1532884448102</v>
      </c>
      <c r="F768" s="143">
        <f>(INDEX(Production_Consumption!$AA$83:$AJ$99,MATCH('County Scaled Consumption '!$B768,Production_Consumption!$AA$83:$AA$99,0),MATCH('County Scaled Consumption '!F$2,Production_Consumption!$AA$83:$AJ$83,0)))*'CA Population'!$L768*10^6</f>
        <v>826.29189960937947</v>
      </c>
      <c r="G768" s="143">
        <f>(INDEX(Production_Consumption!$AA$83:$AJ$99,MATCH('County Scaled Consumption '!$B768,Production_Consumption!$AA$83:$AA$99,0),MATCH('County Scaled Consumption '!G$2,Production_Consumption!$AA$83:$AJ$83,0)))*'CA Population'!$L768*10^6</f>
        <v>2204.5581158690475</v>
      </c>
      <c r="H768" s="143">
        <f>(INDEX(Production_Consumption!$AA$83:$AJ$99,MATCH('County Scaled Consumption '!$B768,Production_Consumption!$AA$83:$AA$99,0),MATCH('County Scaled Consumption '!H$2,Production_Consumption!$AA$83:$AJ$83,0)))*'CA Population'!$L768*10^6</f>
        <v>61.022738511692161</v>
      </c>
      <c r="I768" s="143">
        <f>(INDEX(Production_Consumption!$AA$83:$AJ$99,MATCH('County Scaled Consumption '!$B768,Production_Consumption!$AA$83:$AA$99,0),MATCH('County Scaled Consumption '!I$2,Production_Consumption!$AA$83:$AJ$83,0)))*'CA Population'!$L768*10^6</f>
        <v>995.25033632052293</v>
      </c>
      <c r="J768" s="143">
        <f>(INDEX(Production_Consumption!$AA$83:$AJ$99,MATCH('County Scaled Consumption '!$B768,Production_Consumption!$AA$83:$AA$99,0),MATCH('County Scaled Consumption '!J$2,Production_Consumption!$AA$83:$AJ$83,0)))*'CA Population'!$L768*10^6</f>
        <v>1099.3428292009255</v>
      </c>
      <c r="K768" s="143">
        <f>(INDEX(Production_Consumption!$AA$83:$AJ$99,MATCH('County Scaled Consumption '!$B768,Production_Consumption!$AA$83:$AA$99,0),MATCH('County Scaled Consumption '!K$2,Production_Consumption!$AA$83:$AJ$83,0)))*'CA Population'!$L768*10^6</f>
        <v>11109.101116753567</v>
      </c>
      <c r="L768" s="131">
        <f t="shared" si="11"/>
        <v>0</v>
      </c>
    </row>
    <row r="769" spans="1:12" x14ac:dyDescent="0.2">
      <c r="A769" s="132" t="s">
        <v>363</v>
      </c>
      <c r="B769" s="129">
        <v>2008</v>
      </c>
      <c r="C769" s="143">
        <f>(INDEX(Production_Consumption!$AA$83:$AJ$99,MATCH('County Scaled Consumption '!$B769,Production_Consumption!$AA$83:$AA$99,0),MATCH('County Scaled Consumption '!C$2,Production_Consumption!$AA$83:$AJ$83,0)))*'CA Population'!$L769*10^6</f>
        <v>437459.84455873648</v>
      </c>
      <c r="D769" s="143">
        <f>(INDEX(Production_Consumption!$AA$83:$AJ$99,MATCH('County Scaled Consumption '!$B769,Production_Consumption!$AA$83:$AA$99,0),MATCH('County Scaled Consumption '!D$2,Production_Consumption!$AA$83:$AJ$83,0)))*'CA Population'!$L769*10^6</f>
        <v>1731779.0362123421</v>
      </c>
      <c r="E769" s="143">
        <f>(INDEX(Production_Consumption!$AA$83:$AJ$99,MATCH('County Scaled Consumption '!$B769,Production_Consumption!$AA$83:$AA$99,0),MATCH('County Scaled Consumption '!E$2,Production_Consumption!$AA$83:$AJ$83,0)))*'CA Population'!$L769*10^6</f>
        <v>900326.54238296347</v>
      </c>
      <c r="F769" s="143">
        <f>(INDEX(Production_Consumption!$AA$83:$AJ$99,MATCH('County Scaled Consumption '!$B769,Production_Consumption!$AA$83:$AA$99,0),MATCH('County Scaled Consumption '!F$2,Production_Consumption!$AA$83:$AJ$83,0)))*'CA Population'!$L769*10^6</f>
        <v>428248.06188541395</v>
      </c>
      <c r="G769" s="143">
        <f>(INDEX(Production_Consumption!$AA$83:$AJ$99,MATCH('County Scaled Consumption '!$B769,Production_Consumption!$AA$83:$AA$99,0),MATCH('County Scaled Consumption '!G$2,Production_Consumption!$AA$83:$AJ$83,0)))*'CA Population'!$L769*10^6</f>
        <v>1142571.7000021318</v>
      </c>
      <c r="H769" s="143">
        <f>(INDEX(Production_Consumption!$AA$83:$AJ$99,MATCH('County Scaled Consumption '!$B769,Production_Consumption!$AA$83:$AA$99,0),MATCH('County Scaled Consumption '!H$2,Production_Consumption!$AA$83:$AJ$83,0)))*'CA Population'!$L769*10^6</f>
        <v>31626.680003672558</v>
      </c>
      <c r="I769" s="143">
        <f>(INDEX(Production_Consumption!$AA$83:$AJ$99,MATCH('County Scaled Consumption '!$B769,Production_Consumption!$AA$83:$AA$99,0),MATCH('County Scaled Consumption '!I$2,Production_Consumption!$AA$83:$AJ$83,0)))*'CA Population'!$L769*10^6</f>
        <v>515815.32848326163</v>
      </c>
      <c r="J769" s="143">
        <f>(INDEX(Production_Consumption!$AA$83:$AJ$99,MATCH('County Scaled Consumption '!$B769,Production_Consumption!$AA$83:$AA$99,0),MATCH('County Scaled Consumption '!J$2,Production_Consumption!$AA$83:$AJ$83,0)))*'CA Population'!$L769*10^6</f>
        <v>569764.07027042808</v>
      </c>
      <c r="K769" s="143">
        <f>(INDEX(Production_Consumption!$AA$83:$AJ$99,MATCH('County Scaled Consumption '!$B769,Production_Consumption!$AA$83:$AA$99,0),MATCH('County Scaled Consumption '!K$2,Production_Consumption!$AA$83:$AJ$83,0)))*'CA Population'!$L769*10^6</f>
        <v>5757591.2637989502</v>
      </c>
      <c r="L769" s="131">
        <f t="shared" si="11"/>
        <v>0</v>
      </c>
    </row>
    <row r="770" spans="1:12" x14ac:dyDescent="0.2">
      <c r="A770" s="132" t="s">
        <v>305</v>
      </c>
      <c r="B770" s="129">
        <v>2007</v>
      </c>
      <c r="C770" s="143">
        <f>(INDEX(Production_Consumption!$AA$83:$AJ$99,MATCH('County Scaled Consumption '!$B770,Production_Consumption!$AA$83:$AA$99,0),MATCH('County Scaled Consumption '!C$2,Production_Consumption!$AA$83:$AJ$83,0)))*'CA Population'!$L770*10^6</f>
        <v>19423.62051181927</v>
      </c>
      <c r="D770" s="143">
        <f>(INDEX(Production_Consumption!$AA$83:$AJ$99,MATCH('County Scaled Consumption '!$B770,Production_Consumption!$AA$83:$AA$99,0),MATCH('County Scaled Consumption '!D$2,Production_Consumption!$AA$83:$AJ$83,0)))*'CA Population'!$L770*10^6</f>
        <v>73570.151241500178</v>
      </c>
      <c r="E770" s="143">
        <f>(INDEX(Production_Consumption!$AA$83:$AJ$99,MATCH('County Scaled Consumption '!$B770,Production_Consumption!$AA$83:$AA$99,0),MATCH('County Scaled Consumption '!E$2,Production_Consumption!$AA$83:$AJ$83,0)))*'CA Population'!$L770*10^6</f>
        <v>37150.827842874212</v>
      </c>
      <c r="F770" s="143">
        <f>(INDEX(Production_Consumption!$AA$83:$AJ$99,MATCH('County Scaled Consumption '!$B770,Production_Consumption!$AA$83:$AA$99,0),MATCH('County Scaled Consumption '!F$2,Production_Consumption!$AA$83:$AJ$83,0)))*'CA Population'!$L770*10^6</f>
        <v>17230.157762871313</v>
      </c>
      <c r="G770" s="143">
        <f>(INDEX(Production_Consumption!$AA$83:$AJ$99,MATCH('County Scaled Consumption '!$B770,Production_Consumption!$AA$83:$AA$99,0),MATCH('County Scaled Consumption '!G$2,Production_Consumption!$AA$83:$AJ$83,0)))*'CA Population'!$L770*10^6</f>
        <v>48449.574744160542</v>
      </c>
      <c r="H770" s="143">
        <f>(INDEX(Production_Consumption!$AA$83:$AJ$99,MATCH('County Scaled Consumption '!$B770,Production_Consumption!$AA$83:$AA$99,0),MATCH('County Scaled Consumption '!H$2,Production_Consumption!$AA$83:$AJ$83,0)))*'CA Population'!$L770*10^6</f>
        <v>1343.3344684928759</v>
      </c>
      <c r="I770" s="143">
        <f>(INDEX(Production_Consumption!$AA$83:$AJ$99,MATCH('County Scaled Consumption '!$B770,Production_Consumption!$AA$83:$AA$99,0),MATCH('County Scaled Consumption '!I$2,Production_Consumption!$AA$83:$AJ$83,0)))*'CA Population'!$L770*10^6</f>
        <v>25419.602452177151</v>
      </c>
      <c r="J770" s="143">
        <f>(INDEX(Production_Consumption!$AA$83:$AJ$99,MATCH('County Scaled Consumption '!$B770,Production_Consumption!$AA$83:$AA$99,0),MATCH('County Scaled Consumption '!J$2,Production_Consumption!$AA$83:$AJ$83,0)))*'CA Population'!$L770*10^6</f>
        <v>17623.432027856114</v>
      </c>
      <c r="K770" s="143">
        <f>(INDEX(Production_Consumption!$AA$83:$AJ$99,MATCH('County Scaled Consumption '!$B770,Production_Consumption!$AA$83:$AA$99,0),MATCH('County Scaled Consumption '!K$2,Production_Consumption!$AA$83:$AJ$83,0)))*'CA Population'!$L770*10^6</f>
        <v>240210.70105175162</v>
      </c>
      <c r="L770" s="131">
        <f t="shared" si="11"/>
        <v>0</v>
      </c>
    </row>
    <row r="771" spans="1:12" x14ac:dyDescent="0.2">
      <c r="A771" s="132" t="s">
        <v>306</v>
      </c>
      <c r="B771" s="129">
        <v>2007</v>
      </c>
      <c r="C771" s="143">
        <f>(INDEX(Production_Consumption!$AA$83:$AJ$99,MATCH('County Scaled Consumption '!$B771,Production_Consumption!$AA$83:$AA$99,0),MATCH('County Scaled Consumption '!C$2,Production_Consumption!$AA$83:$AJ$83,0)))*'CA Population'!$L771*10^6</f>
        <v>16.536113889767545</v>
      </c>
      <c r="D771" s="143">
        <f>(INDEX(Production_Consumption!$AA$83:$AJ$99,MATCH('County Scaled Consumption '!$B771,Production_Consumption!$AA$83:$AA$99,0),MATCH('County Scaled Consumption '!D$2,Production_Consumption!$AA$83:$AJ$83,0)))*'CA Population'!$L771*10^6</f>
        <v>62.6332459016377</v>
      </c>
      <c r="E771" s="143">
        <f>(INDEX(Production_Consumption!$AA$83:$AJ$99,MATCH('County Scaled Consumption '!$B771,Production_Consumption!$AA$83:$AA$99,0),MATCH('County Scaled Consumption '!E$2,Production_Consumption!$AA$83:$AJ$83,0)))*'CA Population'!$L771*10^6</f>
        <v>31.628002613369389</v>
      </c>
      <c r="F771" s="143">
        <f>(INDEX(Production_Consumption!$AA$83:$AJ$99,MATCH('County Scaled Consumption '!$B771,Production_Consumption!$AA$83:$AA$99,0),MATCH('County Scaled Consumption '!F$2,Production_Consumption!$AA$83:$AJ$83,0)))*'CA Population'!$L771*10^6</f>
        <v>14.668730318950001</v>
      </c>
      <c r="G771" s="143">
        <f>(INDEX(Production_Consumption!$AA$83:$AJ$99,MATCH('County Scaled Consumption '!$B771,Production_Consumption!$AA$83:$AA$99,0),MATCH('County Scaled Consumption '!G$2,Production_Consumption!$AA$83:$AJ$83,0)))*'CA Population'!$L771*10^6</f>
        <v>41.247082921164655</v>
      </c>
      <c r="H771" s="143">
        <f>(INDEX(Production_Consumption!$AA$83:$AJ$99,MATCH('County Scaled Consumption '!$B771,Production_Consumption!$AA$83:$AA$99,0),MATCH('County Scaled Consumption '!H$2,Production_Consumption!$AA$83:$AJ$83,0)))*'CA Population'!$L771*10^6</f>
        <v>1.1436349752370631</v>
      </c>
      <c r="I771" s="143">
        <f>(INDEX(Production_Consumption!$AA$83:$AJ$99,MATCH('County Scaled Consumption '!$B771,Production_Consumption!$AA$83:$AA$99,0),MATCH('County Scaled Consumption '!I$2,Production_Consumption!$AA$83:$AJ$83,0)))*'CA Population'!$L771*10^6</f>
        <v>21.640735872389907</v>
      </c>
      <c r="J771" s="143">
        <f>(INDEX(Production_Consumption!$AA$83:$AJ$99,MATCH('County Scaled Consumption '!$B771,Production_Consumption!$AA$83:$AA$99,0),MATCH('County Scaled Consumption '!J$2,Production_Consumption!$AA$83:$AJ$83,0)))*'CA Population'!$L771*10^6</f>
        <v>15.003540609943178</v>
      </c>
      <c r="K771" s="143">
        <f>(INDEX(Production_Consumption!$AA$83:$AJ$99,MATCH('County Scaled Consumption '!$B771,Production_Consumption!$AA$83:$AA$99,0),MATCH('County Scaled Consumption '!K$2,Production_Consumption!$AA$83:$AJ$83,0)))*'CA Population'!$L771*10^6</f>
        <v>204.50108710245942</v>
      </c>
      <c r="L771" s="131">
        <f t="shared" si="11"/>
        <v>0</v>
      </c>
    </row>
    <row r="772" spans="1:12" x14ac:dyDescent="0.2">
      <c r="A772" s="132" t="s">
        <v>307</v>
      </c>
      <c r="B772" s="129">
        <v>2007</v>
      </c>
      <c r="C772" s="143">
        <f>(INDEX(Production_Consumption!$AA$83:$AJ$99,MATCH('County Scaled Consumption '!$B772,Production_Consumption!$AA$83:$AA$99,0),MATCH('County Scaled Consumption '!C$2,Production_Consumption!$AA$83:$AJ$83,0)))*'CA Population'!$L772*10^6</f>
        <v>502.22502448754864</v>
      </c>
      <c r="D772" s="143">
        <f>(INDEX(Production_Consumption!$AA$83:$AJ$99,MATCH('County Scaled Consumption '!$B772,Production_Consumption!$AA$83:$AA$99,0),MATCH('County Scaled Consumption '!D$2,Production_Consumption!$AA$83:$AJ$83,0)))*'CA Population'!$L772*10^6</f>
        <v>1902.2597247681895</v>
      </c>
      <c r="E772" s="143">
        <f>(INDEX(Production_Consumption!$AA$83:$AJ$99,MATCH('County Scaled Consumption '!$B772,Production_Consumption!$AA$83:$AA$99,0),MATCH('County Scaled Consumption '!E$2,Production_Consumption!$AA$83:$AJ$83,0)))*'CA Population'!$L772*10^6</f>
        <v>960.58690045796413</v>
      </c>
      <c r="F772" s="143">
        <f>(INDEX(Production_Consumption!$AA$83:$AJ$99,MATCH('County Scaled Consumption '!$B772,Production_Consumption!$AA$83:$AA$99,0),MATCH('County Scaled Consumption '!F$2,Production_Consumption!$AA$83:$AJ$83,0)))*'CA Population'!$L772*10^6</f>
        <v>445.50996036587361</v>
      </c>
      <c r="G772" s="143">
        <f>(INDEX(Production_Consumption!$AA$83:$AJ$99,MATCH('County Scaled Consumption '!$B772,Production_Consumption!$AA$83:$AA$99,0),MATCH('County Scaled Consumption '!G$2,Production_Consumption!$AA$83:$AJ$83,0)))*'CA Population'!$L772*10^6</f>
        <v>1252.7318914355317</v>
      </c>
      <c r="H772" s="143">
        <f>(INDEX(Production_Consumption!$AA$83:$AJ$99,MATCH('County Scaled Consumption '!$B772,Production_Consumption!$AA$83:$AA$99,0),MATCH('County Scaled Consumption '!H$2,Production_Consumption!$AA$83:$AJ$83,0)))*'CA Population'!$L772*10^6</f>
        <v>34.733801863729497</v>
      </c>
      <c r="I772" s="143">
        <f>(INDEX(Production_Consumption!$AA$83:$AJ$99,MATCH('County Scaled Consumption '!$B772,Production_Consumption!$AA$83:$AA$99,0),MATCH('County Scaled Consumption '!I$2,Production_Consumption!$AA$83:$AJ$83,0)))*'CA Population'!$L772*10^6</f>
        <v>657.259569926219</v>
      </c>
      <c r="J772" s="143">
        <f>(INDEX(Production_Consumption!$AA$83:$AJ$99,MATCH('County Scaled Consumption '!$B772,Production_Consumption!$AA$83:$AA$99,0),MATCH('County Scaled Consumption '!J$2,Production_Consumption!$AA$83:$AJ$83,0)))*'CA Population'!$L772*10^6</f>
        <v>455.6786195631704</v>
      </c>
      <c r="K772" s="143">
        <f>(INDEX(Production_Consumption!$AA$83:$AJ$99,MATCH('County Scaled Consumption '!$B772,Production_Consumption!$AA$83:$AA$99,0),MATCH('County Scaled Consumption '!K$2,Production_Consumption!$AA$83:$AJ$83,0)))*'CA Population'!$L772*10^6</f>
        <v>6210.9854928682262</v>
      </c>
      <c r="L772" s="131">
        <f t="shared" ref="L772:L835" si="12">K772-SUM(C772:J772)</f>
        <v>0</v>
      </c>
    </row>
    <row r="773" spans="1:12" x14ac:dyDescent="0.2">
      <c r="A773" s="132" t="s">
        <v>308</v>
      </c>
      <c r="B773" s="129">
        <v>2007</v>
      </c>
      <c r="C773" s="143">
        <f>(INDEX(Production_Consumption!$AA$83:$AJ$99,MATCH('County Scaled Consumption '!$B773,Production_Consumption!$AA$83:$AA$99,0),MATCH('County Scaled Consumption '!C$2,Production_Consumption!$AA$83:$AJ$83,0)))*'CA Population'!$L773*10^6</f>
        <v>2858.1721899836953</v>
      </c>
      <c r="D773" s="143">
        <f>(INDEX(Production_Consumption!$AA$83:$AJ$99,MATCH('County Scaled Consumption '!$B773,Production_Consumption!$AA$83:$AA$99,0),MATCH('County Scaled Consumption '!D$2,Production_Consumption!$AA$83:$AJ$83,0)))*'CA Population'!$L773*10^6</f>
        <v>10825.796362907586</v>
      </c>
      <c r="E773" s="143">
        <f>(INDEX(Production_Consumption!$AA$83:$AJ$99,MATCH('County Scaled Consumption '!$B773,Production_Consumption!$AA$83:$AA$99,0),MATCH('County Scaled Consumption '!E$2,Production_Consumption!$AA$83:$AJ$83,0)))*'CA Population'!$L773*10^6</f>
        <v>5466.7183654438895</v>
      </c>
      <c r="F773" s="143">
        <f>(INDEX(Production_Consumption!$AA$83:$AJ$99,MATCH('County Scaled Consumption '!$B773,Production_Consumption!$AA$83:$AA$99,0),MATCH('County Scaled Consumption '!F$2,Production_Consumption!$AA$83:$AJ$83,0)))*'CA Population'!$L773*10^6</f>
        <v>2535.4056787149352</v>
      </c>
      <c r="G773" s="143">
        <f>(INDEX(Production_Consumption!$AA$83:$AJ$99,MATCH('County Scaled Consumption '!$B773,Production_Consumption!$AA$83:$AA$99,0),MATCH('County Scaled Consumption '!G$2,Production_Consumption!$AA$83:$AJ$83,0)))*'CA Population'!$L773*10^6</f>
        <v>7129.3210792515574</v>
      </c>
      <c r="H773" s="143">
        <f>(INDEX(Production_Consumption!$AA$83:$AJ$99,MATCH('County Scaled Consumption '!$B773,Production_Consumption!$AA$83:$AA$99,0),MATCH('County Scaled Consumption '!H$2,Production_Consumption!$AA$83:$AJ$83,0)))*'CA Population'!$L773*10^6</f>
        <v>197.6707286551723</v>
      </c>
      <c r="I773" s="143">
        <f>(INDEX(Production_Consumption!$AA$83:$AJ$99,MATCH('County Scaled Consumption '!$B773,Production_Consumption!$AA$83:$AA$99,0),MATCH('County Scaled Consumption '!I$2,Production_Consumption!$AA$83:$AJ$83,0)))*'CA Population'!$L773*10^6</f>
        <v>3740.4767440263963</v>
      </c>
      <c r="J773" s="143">
        <f>(INDEX(Production_Consumption!$AA$83:$AJ$99,MATCH('County Scaled Consumption '!$B773,Production_Consumption!$AA$83:$AA$99,0),MATCH('County Scaled Consumption '!J$2,Production_Consumption!$AA$83:$AJ$83,0)))*'CA Population'!$L773*10^6</f>
        <v>2593.2757120865126</v>
      </c>
      <c r="K773" s="143">
        <f>(INDEX(Production_Consumption!$AA$83:$AJ$99,MATCH('County Scaled Consumption '!$B773,Production_Consumption!$AA$83:$AA$99,0),MATCH('County Scaled Consumption '!K$2,Production_Consumption!$AA$83:$AJ$83,0)))*'CA Population'!$L773*10^6</f>
        <v>35346.836861069743</v>
      </c>
      <c r="L773" s="131">
        <f t="shared" si="12"/>
        <v>0</v>
      </c>
    </row>
    <row r="774" spans="1:12" x14ac:dyDescent="0.2">
      <c r="A774" s="132" t="s">
        <v>309</v>
      </c>
      <c r="B774" s="129">
        <v>2007</v>
      </c>
      <c r="C774" s="143">
        <f>(INDEX(Production_Consumption!$AA$83:$AJ$99,MATCH('County Scaled Consumption '!$B774,Production_Consumption!$AA$83:$AA$99,0),MATCH('County Scaled Consumption '!C$2,Production_Consumption!$AA$83:$AJ$83,0)))*'CA Population'!$L774*10^6</f>
        <v>600.64924230428005</v>
      </c>
      <c r="D774" s="143">
        <f>(INDEX(Production_Consumption!$AA$83:$AJ$99,MATCH('County Scaled Consumption '!$B774,Production_Consumption!$AA$83:$AA$99,0),MATCH('County Scaled Consumption '!D$2,Production_Consumption!$AA$83:$AJ$83,0)))*'CA Population'!$L774*10^6</f>
        <v>2275.0576069239432</v>
      </c>
      <c r="E774" s="143">
        <f>(INDEX(Production_Consumption!$AA$83:$AJ$99,MATCH('County Scaled Consumption '!$B774,Production_Consumption!$AA$83:$AA$99,0),MATCH('County Scaled Consumption '!E$2,Production_Consumption!$AA$83:$AJ$83,0)))*'CA Population'!$L774*10^6</f>
        <v>1148.8391971630988</v>
      </c>
      <c r="F774" s="143">
        <f>(INDEX(Production_Consumption!$AA$83:$AJ$99,MATCH('County Scaled Consumption '!$B774,Production_Consumption!$AA$83:$AA$99,0),MATCH('County Scaled Consumption '!F$2,Production_Consumption!$AA$83:$AJ$83,0)))*'CA Population'!$L774*10^6</f>
        <v>532.81936798313825</v>
      </c>
      <c r="G774" s="143">
        <f>(INDEX(Production_Consumption!$AA$83:$AJ$99,MATCH('County Scaled Consumption '!$B774,Production_Consumption!$AA$83:$AA$99,0),MATCH('County Scaled Consumption '!G$2,Production_Consumption!$AA$83:$AJ$83,0)))*'CA Population'!$L774*10^6</f>
        <v>1498.2376916979269</v>
      </c>
      <c r="H774" s="143">
        <f>(INDEX(Production_Consumption!$AA$83:$AJ$99,MATCH('County Scaled Consumption '!$B774,Production_Consumption!$AA$83:$AA$99,0),MATCH('County Scaled Consumption '!H$2,Production_Consumption!$AA$83:$AJ$83,0)))*'CA Population'!$L774*10^6</f>
        <v>41.540804927201222</v>
      </c>
      <c r="I774" s="143">
        <f>(INDEX(Production_Consumption!$AA$83:$AJ$99,MATCH('County Scaled Consumption '!$B774,Production_Consumption!$AA$83:$AA$99,0),MATCH('County Scaled Consumption '!I$2,Production_Consumption!$AA$83:$AJ$83,0)))*'CA Population'!$L774*10^6</f>
        <v>786.06688919223302</v>
      </c>
      <c r="J774" s="143">
        <f>(INDEX(Production_Consumption!$AA$83:$AJ$99,MATCH('County Scaled Consumption '!$B774,Production_Consumption!$AA$83:$AA$99,0),MATCH('County Scaled Consumption '!J$2,Production_Consumption!$AA$83:$AJ$83,0)))*'CA Population'!$L774*10^6</f>
        <v>544.98084370478102</v>
      </c>
      <c r="K774" s="143">
        <f>(INDEX(Production_Consumption!$AA$83:$AJ$99,MATCH('County Scaled Consumption '!$B774,Production_Consumption!$AA$83:$AA$99,0),MATCH('County Scaled Consumption '!K$2,Production_Consumption!$AA$83:$AJ$83,0)))*'CA Population'!$L774*10^6</f>
        <v>7428.1916438966027</v>
      </c>
      <c r="L774" s="131">
        <f t="shared" si="12"/>
        <v>0</v>
      </c>
    </row>
    <row r="775" spans="1:12" x14ac:dyDescent="0.2">
      <c r="A775" s="132" t="s">
        <v>310</v>
      </c>
      <c r="B775" s="129">
        <v>2007</v>
      </c>
      <c r="C775" s="143">
        <f>(INDEX(Production_Consumption!$AA$83:$AJ$99,MATCH('County Scaled Consumption '!$B775,Production_Consumption!$AA$83:$AA$99,0),MATCH('County Scaled Consumption '!C$2,Production_Consumption!$AA$83:$AJ$83,0)))*'CA Population'!$L775*10^6</f>
        <v>277.44217920803277</v>
      </c>
      <c r="D775" s="143">
        <f>(INDEX(Production_Consumption!$AA$83:$AJ$99,MATCH('County Scaled Consumption '!$B775,Production_Consumption!$AA$83:$AA$99,0),MATCH('County Scaled Consumption '!D$2,Production_Consumption!$AA$83:$AJ$83,0)))*'CA Population'!$L775*10^6</f>
        <v>1050.8577982506399</v>
      </c>
      <c r="E775" s="143">
        <f>(INDEX(Production_Consumption!$AA$83:$AJ$99,MATCH('County Scaled Consumption '!$B775,Production_Consumption!$AA$83:$AA$99,0),MATCH('County Scaled Consumption '!E$2,Production_Consumption!$AA$83:$AJ$83,0)))*'CA Population'!$L775*10^6</f>
        <v>530.65321317606811</v>
      </c>
      <c r="F775" s="143">
        <f>(INDEX(Production_Consumption!$AA$83:$AJ$99,MATCH('County Scaled Consumption '!$B775,Production_Consumption!$AA$83:$AA$99,0),MATCH('County Scaled Consumption '!F$2,Production_Consumption!$AA$83:$AJ$83,0)))*'CA Population'!$L775*10^6</f>
        <v>246.11130118199972</v>
      </c>
      <c r="G775" s="143">
        <f>(INDEX(Production_Consumption!$AA$83:$AJ$99,MATCH('County Scaled Consumption '!$B775,Production_Consumption!$AA$83:$AA$99,0),MATCH('County Scaled Consumption '!G$2,Production_Consumption!$AA$83:$AJ$83,0)))*'CA Population'!$L775*10^6</f>
        <v>692.04171233385352</v>
      </c>
      <c r="H775" s="143">
        <f>(INDEX(Production_Consumption!$AA$83:$AJ$99,MATCH('County Scaled Consumption '!$B775,Production_Consumption!$AA$83:$AA$99,0),MATCH('County Scaled Consumption '!H$2,Production_Consumption!$AA$83:$AJ$83,0)))*'CA Population'!$L775*10^6</f>
        <v>19.18785646152536</v>
      </c>
      <c r="I775" s="143">
        <f>(INDEX(Production_Consumption!$AA$83:$AJ$99,MATCH('County Scaled Consumption '!$B775,Production_Consumption!$AA$83:$AA$99,0),MATCH('County Scaled Consumption '!I$2,Production_Consumption!$AA$83:$AJ$83,0)))*'CA Population'!$L775*10^6</f>
        <v>363.08729851072076</v>
      </c>
      <c r="J775" s="143">
        <f>(INDEX(Production_Consumption!$AA$83:$AJ$99,MATCH('County Scaled Consumption '!$B775,Production_Consumption!$AA$83:$AA$99,0),MATCH('County Scaled Consumption '!J$2,Production_Consumption!$AA$83:$AJ$83,0)))*'CA Population'!$L775*10^6</f>
        <v>251.7287332687431</v>
      </c>
      <c r="K775" s="143">
        <f>(INDEX(Production_Consumption!$AA$83:$AJ$99,MATCH('County Scaled Consumption '!$B775,Production_Consumption!$AA$83:$AA$99,0),MATCH('County Scaled Consumption '!K$2,Production_Consumption!$AA$83:$AJ$83,0)))*'CA Population'!$L775*10^6</f>
        <v>3431.1100923915828</v>
      </c>
      <c r="L775" s="131">
        <f t="shared" si="12"/>
        <v>0</v>
      </c>
    </row>
    <row r="776" spans="1:12" x14ac:dyDescent="0.2">
      <c r="A776" s="132" t="s">
        <v>311</v>
      </c>
      <c r="B776" s="129">
        <v>2007</v>
      </c>
      <c r="C776" s="143">
        <f>(INDEX(Production_Consumption!$AA$83:$AJ$99,MATCH('County Scaled Consumption '!$B776,Production_Consumption!$AA$83:$AA$99,0),MATCH('County Scaled Consumption '!C$2,Production_Consumption!$AA$83:$AJ$83,0)))*'CA Population'!$L776*10^6</f>
        <v>13414.750692210848</v>
      </c>
      <c r="D776" s="143">
        <f>(INDEX(Production_Consumption!$AA$83:$AJ$99,MATCH('County Scaled Consumption '!$B776,Production_Consumption!$AA$83:$AA$99,0),MATCH('County Scaled Consumption '!D$2,Production_Consumption!$AA$83:$AJ$83,0)))*'CA Population'!$L776*10^6</f>
        <v>50810.570392498528</v>
      </c>
      <c r="E776" s="143">
        <f>(INDEX(Production_Consumption!$AA$83:$AJ$99,MATCH('County Scaled Consumption '!$B776,Production_Consumption!$AA$83:$AA$99,0),MATCH('County Scaled Consumption '!E$2,Production_Consumption!$AA$83:$AJ$83,0)))*'CA Population'!$L776*10^6</f>
        <v>25657.888714317982</v>
      </c>
      <c r="F776" s="143">
        <f>(INDEX(Production_Consumption!$AA$83:$AJ$99,MATCH('County Scaled Consumption '!$B776,Production_Consumption!$AA$83:$AA$99,0),MATCH('County Scaled Consumption '!F$2,Production_Consumption!$AA$83:$AJ$83,0)))*'CA Population'!$L776*10^6</f>
        <v>11899.855160150624</v>
      </c>
      <c r="G776" s="143">
        <f>(INDEX(Production_Consumption!$AA$83:$AJ$99,MATCH('County Scaled Consumption '!$B776,Production_Consumption!$AA$83:$AA$99,0),MATCH('County Scaled Consumption '!G$2,Production_Consumption!$AA$83:$AJ$83,0)))*'CA Population'!$L776*10^6</f>
        <v>33461.26773538749</v>
      </c>
      <c r="H776" s="143">
        <f>(INDEX(Production_Consumption!$AA$83:$AJ$99,MATCH('County Scaled Consumption '!$B776,Production_Consumption!$AA$83:$AA$99,0),MATCH('County Scaled Consumption '!H$2,Production_Consumption!$AA$83:$AJ$83,0)))*'CA Population'!$L776*10^6</f>
        <v>927.76199885701158</v>
      </c>
      <c r="I776" s="143">
        <f>(INDEX(Production_Consumption!$AA$83:$AJ$99,MATCH('County Scaled Consumption '!$B776,Production_Consumption!$AA$83:$AA$99,0),MATCH('County Scaled Consumption '!I$2,Production_Consumption!$AA$83:$AJ$83,0)))*'CA Population'!$L776*10^6</f>
        <v>17555.82227234984</v>
      </c>
      <c r="J776" s="143">
        <f>(INDEX(Production_Consumption!$AA$83:$AJ$99,MATCH('County Scaled Consumption '!$B776,Production_Consumption!$AA$83:$AA$99,0),MATCH('County Scaled Consumption '!J$2,Production_Consumption!$AA$83:$AJ$83,0)))*'CA Population'!$L776*10^6</f>
        <v>12171.466532254159</v>
      </c>
      <c r="K776" s="143">
        <f>(INDEX(Production_Consumption!$AA$83:$AJ$99,MATCH('County Scaled Consumption '!$B776,Production_Consumption!$AA$83:$AA$99,0),MATCH('County Scaled Consumption '!K$2,Production_Consumption!$AA$83:$AJ$83,0)))*'CA Population'!$L776*10^6</f>
        <v>165899.38349802647</v>
      </c>
      <c r="L776" s="131">
        <f t="shared" si="12"/>
        <v>0</v>
      </c>
    </row>
    <row r="777" spans="1:12" x14ac:dyDescent="0.2">
      <c r="A777" s="132" t="s">
        <v>312</v>
      </c>
      <c r="B777" s="129">
        <v>2007</v>
      </c>
      <c r="C777" s="143">
        <f>(INDEX(Production_Consumption!$AA$83:$AJ$99,MATCH('County Scaled Consumption '!$B777,Production_Consumption!$AA$83:$AA$99,0),MATCH('County Scaled Consumption '!C$2,Production_Consumption!$AA$83:$AJ$83,0)))*'CA Population'!$L777*10^6</f>
        <v>374.80977632893246</v>
      </c>
      <c r="D777" s="143">
        <f>(INDEX(Production_Consumption!$AA$83:$AJ$99,MATCH('County Scaled Consumption '!$B777,Production_Consumption!$AA$83:$AA$99,0),MATCH('County Scaled Consumption '!D$2,Production_Consumption!$AA$83:$AJ$83,0)))*'CA Population'!$L777*10^6</f>
        <v>1419.6535560676314</v>
      </c>
      <c r="E777" s="143">
        <f>(INDEX(Production_Consumption!$AA$83:$AJ$99,MATCH('County Scaled Consumption '!$B777,Production_Consumption!$AA$83:$AA$99,0),MATCH('County Scaled Consumption '!E$2,Production_Consumption!$AA$83:$AJ$83,0)))*'CA Population'!$L777*10^6</f>
        <v>716.8845512477609</v>
      </c>
      <c r="F777" s="143">
        <f>(INDEX(Production_Consumption!$AA$83:$AJ$99,MATCH('County Scaled Consumption '!$B777,Production_Consumption!$AA$83:$AA$99,0),MATCH('County Scaled Consumption '!F$2,Production_Consumption!$AA$83:$AJ$83,0)))*'CA Population'!$L777*10^6</f>
        <v>332.48340973735071</v>
      </c>
      <c r="G777" s="143">
        <f>(INDEX(Production_Consumption!$AA$83:$AJ$99,MATCH('County Scaled Consumption '!$B777,Production_Consumption!$AA$83:$AA$99,0),MATCH('County Scaled Consumption '!G$2,Production_Consumption!$AA$83:$AJ$83,0)))*'CA Population'!$L777*10^6</f>
        <v>934.91191624345879</v>
      </c>
      <c r="H777" s="143">
        <f>(INDEX(Production_Consumption!$AA$83:$AJ$99,MATCH('County Scaled Consumption '!$B777,Production_Consumption!$AA$83:$AA$99,0),MATCH('County Scaled Consumption '!H$2,Production_Consumption!$AA$83:$AJ$83,0)))*'CA Population'!$L777*10^6</f>
        <v>25.92178380772954</v>
      </c>
      <c r="I777" s="143">
        <f>(INDEX(Production_Consumption!$AA$83:$AJ$99,MATCH('County Scaled Consumption '!$B777,Production_Consumption!$AA$83:$AA$99,0),MATCH('County Scaled Consumption '!I$2,Production_Consumption!$AA$83:$AJ$83,0)))*'CA Population'!$L777*10^6</f>
        <v>490.51182315230102</v>
      </c>
      <c r="J777" s="143">
        <f>(INDEX(Production_Consumption!$AA$83:$AJ$99,MATCH('County Scaled Consumption '!$B777,Production_Consumption!$AA$83:$AA$99,0),MATCH('County Scaled Consumption '!J$2,Production_Consumption!$AA$83:$AJ$83,0)))*'CA Population'!$L777*10^6</f>
        <v>340.07226471962258</v>
      </c>
      <c r="K777" s="143">
        <f>(INDEX(Production_Consumption!$AA$83:$AJ$99,MATCH('County Scaled Consumption '!$B777,Production_Consumption!$AA$83:$AA$99,0),MATCH('County Scaled Consumption '!K$2,Production_Consumption!$AA$83:$AJ$83,0)))*'CA Population'!$L777*10^6</f>
        <v>4635.2490813047871</v>
      </c>
      <c r="L777" s="131">
        <f t="shared" si="12"/>
        <v>0</v>
      </c>
    </row>
    <row r="778" spans="1:12" x14ac:dyDescent="0.2">
      <c r="A778" s="132" t="s">
        <v>313</v>
      </c>
      <c r="B778" s="129">
        <v>2007</v>
      </c>
      <c r="C778" s="143">
        <f>(INDEX(Production_Consumption!$AA$83:$AJ$99,MATCH('County Scaled Consumption '!$B778,Production_Consumption!$AA$83:$AA$99,0),MATCH('County Scaled Consumption '!C$2,Production_Consumption!$AA$83:$AJ$83,0)))*'CA Population'!$L778*10^6</f>
        <v>2327.550484295667</v>
      </c>
      <c r="D778" s="143">
        <f>(INDEX(Production_Consumption!$AA$83:$AJ$99,MATCH('County Scaled Consumption '!$B778,Production_Consumption!$AA$83:$AA$99,0),MATCH('County Scaled Consumption '!D$2,Production_Consumption!$AA$83:$AJ$83,0)))*'CA Population'!$L778*10^6</f>
        <v>8815.9795465351472</v>
      </c>
      <c r="E778" s="143">
        <f>(INDEX(Production_Consumption!$AA$83:$AJ$99,MATCH('County Scaled Consumption '!$B778,Production_Consumption!$AA$83:$AA$99,0),MATCH('County Scaled Consumption '!E$2,Production_Consumption!$AA$83:$AJ$83,0)))*'CA Population'!$L778*10^6</f>
        <v>4451.8182017121671</v>
      </c>
      <c r="F778" s="143">
        <f>(INDEX(Production_Consumption!$AA$83:$AJ$99,MATCH('County Scaled Consumption '!$B778,Production_Consumption!$AA$83:$AA$99,0),MATCH('County Scaled Consumption '!F$2,Production_Consumption!$AA$83:$AJ$83,0)))*'CA Population'!$L778*10^6</f>
        <v>2064.7058060601298</v>
      </c>
      <c r="G778" s="143">
        <f>(INDEX(Production_Consumption!$AA$83:$AJ$99,MATCH('County Scaled Consumption '!$B778,Production_Consumption!$AA$83:$AA$99,0),MATCH('County Scaled Consumption '!G$2,Production_Consumption!$AA$83:$AJ$83,0)))*'CA Population'!$L778*10^6</f>
        <v>5805.7575358347931</v>
      </c>
      <c r="H778" s="143">
        <f>(INDEX(Production_Consumption!$AA$83:$AJ$99,MATCH('County Scaled Consumption '!$B778,Production_Consumption!$AA$83:$AA$99,0),MATCH('County Scaled Consumption '!H$2,Production_Consumption!$AA$83:$AJ$83,0)))*'CA Population'!$L778*10^6</f>
        <v>160.97301688987756</v>
      </c>
      <c r="I778" s="143">
        <f>(INDEX(Production_Consumption!$AA$83:$AJ$99,MATCH('County Scaled Consumption '!$B778,Production_Consumption!$AA$83:$AA$99,0),MATCH('County Scaled Consumption '!I$2,Production_Consumption!$AA$83:$AJ$83,0)))*'CA Population'!$L778*10^6</f>
        <v>3046.0545685685174</v>
      </c>
      <c r="J778" s="143">
        <f>(INDEX(Production_Consumption!$AA$83:$AJ$99,MATCH('County Scaled Consumption '!$B778,Production_Consumption!$AA$83:$AA$99,0),MATCH('County Scaled Consumption '!J$2,Production_Consumption!$AA$83:$AJ$83,0)))*'CA Population'!$L778*10^6</f>
        <v>2111.832226459941</v>
      </c>
      <c r="K778" s="143">
        <f>(INDEX(Production_Consumption!$AA$83:$AJ$99,MATCH('County Scaled Consumption '!$B778,Production_Consumption!$AA$83:$AA$99,0),MATCH('County Scaled Consumption '!K$2,Production_Consumption!$AA$83:$AJ$83,0)))*'CA Population'!$L778*10^6</f>
        <v>28784.67138635624</v>
      </c>
      <c r="L778" s="131">
        <f t="shared" si="12"/>
        <v>0</v>
      </c>
    </row>
    <row r="779" spans="1:12" x14ac:dyDescent="0.2">
      <c r="A779" s="132" t="s">
        <v>314</v>
      </c>
      <c r="B779" s="129">
        <v>2007</v>
      </c>
      <c r="C779" s="143">
        <f>(INDEX(Production_Consumption!$AA$83:$AJ$99,MATCH('County Scaled Consumption '!$B779,Production_Consumption!$AA$83:$AA$99,0),MATCH('County Scaled Consumption '!C$2,Production_Consumption!$AA$83:$AJ$83,0)))*'CA Population'!$L779*10^6</f>
        <v>11795.690799987793</v>
      </c>
      <c r="D779" s="143">
        <f>(INDEX(Production_Consumption!$AA$83:$AJ$99,MATCH('County Scaled Consumption '!$B779,Production_Consumption!$AA$83:$AA$99,0),MATCH('County Scaled Consumption '!D$2,Production_Consumption!$AA$83:$AJ$83,0)))*'CA Population'!$L779*10^6</f>
        <v>44678.115268212299</v>
      </c>
      <c r="E779" s="143">
        <f>(INDEX(Production_Consumption!$AA$83:$AJ$99,MATCH('County Scaled Consumption '!$B779,Production_Consumption!$AA$83:$AA$99,0),MATCH('County Scaled Consumption '!E$2,Production_Consumption!$AA$83:$AJ$83,0)))*'CA Population'!$L779*10^6</f>
        <v>22561.1738002946</v>
      </c>
      <c r="F779" s="143">
        <f>(INDEX(Production_Consumption!$AA$83:$AJ$99,MATCH('County Scaled Consumption '!$B779,Production_Consumption!$AA$83:$AA$99,0),MATCH('County Scaled Consumption '!F$2,Production_Consumption!$AA$83:$AJ$83,0)))*'CA Population'!$L779*10^6</f>
        <v>10463.631807580205</v>
      </c>
      <c r="G779" s="143">
        <f>(INDEX(Production_Consumption!$AA$83:$AJ$99,MATCH('County Scaled Consumption '!$B779,Production_Consumption!$AA$83:$AA$99,0),MATCH('County Scaled Consumption '!G$2,Production_Consumption!$AA$83:$AJ$83,0)))*'CA Population'!$L779*10^6</f>
        <v>29422.743444007257</v>
      </c>
      <c r="H779" s="143">
        <f>(INDEX(Production_Consumption!$AA$83:$AJ$99,MATCH('County Scaled Consumption '!$B779,Production_Consumption!$AA$83:$AA$99,0),MATCH('County Scaled Consumption '!H$2,Production_Consumption!$AA$83:$AJ$83,0)))*'CA Population'!$L779*10^6</f>
        <v>815.78807728795391</v>
      </c>
      <c r="I779" s="143">
        <f>(INDEX(Production_Consumption!$AA$83:$AJ$99,MATCH('County Scaled Consumption '!$B779,Production_Consumption!$AA$83:$AA$99,0),MATCH('County Scaled Consumption '!I$2,Production_Consumption!$AA$83:$AJ$83,0)))*'CA Population'!$L779*10^6</f>
        <v>15436.966069329837</v>
      </c>
      <c r="J779" s="143">
        <f>(INDEX(Production_Consumption!$AA$83:$AJ$99,MATCH('County Scaled Consumption '!$B779,Production_Consumption!$AA$83:$AA$99,0),MATCH('County Scaled Consumption '!J$2,Production_Consumption!$AA$83:$AJ$83,0)))*'CA Population'!$L779*10^6</f>
        <v>10702.46172224675</v>
      </c>
      <c r="K779" s="143">
        <f>(INDEX(Production_Consumption!$AA$83:$AJ$99,MATCH('County Scaled Consumption '!$B779,Production_Consumption!$AA$83:$AA$99,0),MATCH('County Scaled Consumption '!K$2,Production_Consumption!$AA$83:$AJ$83,0)))*'CA Population'!$L779*10^6</f>
        <v>145876.57098894668</v>
      </c>
      <c r="L779" s="131">
        <f t="shared" si="12"/>
        <v>0</v>
      </c>
    </row>
    <row r="780" spans="1:12" x14ac:dyDescent="0.2">
      <c r="A780" s="132" t="s">
        <v>315</v>
      </c>
      <c r="B780" s="129">
        <v>2007</v>
      </c>
      <c r="C780" s="143">
        <f>(INDEX(Production_Consumption!$AA$83:$AJ$99,MATCH('County Scaled Consumption '!$B780,Production_Consumption!$AA$83:$AA$99,0),MATCH('County Scaled Consumption '!C$2,Production_Consumption!$AA$83:$AJ$83,0)))*'CA Population'!$L780*10^6</f>
        <v>368.12665042779633</v>
      </c>
      <c r="D780" s="143">
        <f>(INDEX(Production_Consumption!$AA$83:$AJ$99,MATCH('County Scaled Consumption '!$B780,Production_Consumption!$AA$83:$AA$99,0),MATCH('County Scaled Consumption '!D$2,Production_Consumption!$AA$83:$AJ$83,0)))*'CA Population'!$L780*10^6</f>
        <v>1394.3401196249567</v>
      </c>
      <c r="E780" s="143">
        <f>(INDEX(Production_Consumption!$AA$83:$AJ$99,MATCH('County Scaled Consumption '!$B780,Production_Consumption!$AA$83:$AA$99,0),MATCH('County Scaled Consumption '!E$2,Production_Consumption!$AA$83:$AJ$83,0)))*'CA Population'!$L780*10^6</f>
        <v>704.10198789123933</v>
      </c>
      <c r="F780" s="143">
        <f>(INDEX(Production_Consumption!$AA$83:$AJ$99,MATCH('County Scaled Consumption '!$B780,Production_Consumption!$AA$83:$AA$99,0),MATCH('County Scaled Consumption '!F$2,Production_Consumption!$AA$83:$AJ$83,0)))*'CA Population'!$L780*10^6</f>
        <v>326.55499317074634</v>
      </c>
      <c r="G780" s="143">
        <f>(INDEX(Production_Consumption!$AA$83:$AJ$99,MATCH('County Scaled Consumption '!$B780,Production_Consumption!$AA$83:$AA$99,0),MATCH('County Scaled Consumption '!G$2,Production_Consumption!$AA$83:$AJ$83,0)))*'CA Population'!$L780*10^6</f>
        <v>918.24176931206159</v>
      </c>
      <c r="H780" s="143">
        <f>(INDEX(Production_Consumption!$AA$83:$AJ$99,MATCH('County Scaled Consumption '!$B780,Production_Consumption!$AA$83:$AA$99,0),MATCH('County Scaled Consumption '!H$2,Production_Consumption!$AA$83:$AJ$83,0)))*'CA Population'!$L780*10^6</f>
        <v>25.459579896012325</v>
      </c>
      <c r="I780" s="143">
        <f>(INDEX(Production_Consumption!$AA$83:$AJ$99,MATCH('County Scaled Consumption '!$B780,Production_Consumption!$AA$83:$AA$99,0),MATCH('County Scaled Consumption '!I$2,Production_Consumption!$AA$83:$AJ$83,0)))*'CA Population'!$L780*10^6</f>
        <v>481.76564715275686</v>
      </c>
      <c r="J780" s="143">
        <f>(INDEX(Production_Consumption!$AA$83:$AJ$99,MATCH('County Scaled Consumption '!$B780,Production_Consumption!$AA$83:$AA$99,0),MATCH('County Scaled Consumption '!J$2,Production_Consumption!$AA$83:$AJ$83,0)))*'CA Population'!$L780*10^6</f>
        <v>334.00853345074785</v>
      </c>
      <c r="K780" s="143">
        <f>(INDEX(Production_Consumption!$AA$83:$AJ$99,MATCH('County Scaled Consumption '!$B780,Production_Consumption!$AA$83:$AA$99,0),MATCH('County Scaled Consumption '!K$2,Production_Consumption!$AA$83:$AJ$83,0)))*'CA Population'!$L780*10^6</f>
        <v>4552.5992809263171</v>
      </c>
      <c r="L780" s="131">
        <f t="shared" si="12"/>
        <v>0</v>
      </c>
    </row>
    <row r="781" spans="1:12" x14ac:dyDescent="0.2">
      <c r="A781" s="132" t="s">
        <v>316</v>
      </c>
      <c r="B781" s="129">
        <v>2007</v>
      </c>
      <c r="C781" s="143">
        <f>(INDEX(Production_Consumption!$AA$83:$AJ$99,MATCH('County Scaled Consumption '!$B781,Production_Consumption!$AA$83:$AA$99,0),MATCH('County Scaled Consumption '!C$2,Production_Consumption!$AA$83:$AJ$83,0)))*'CA Population'!$L781*10^6</f>
        <v>1749.2751852256254</v>
      </c>
      <c r="D781" s="143">
        <f>(INDEX(Production_Consumption!$AA$83:$AJ$99,MATCH('County Scaled Consumption '!$B781,Production_Consumption!$AA$83:$AA$99,0),MATCH('County Scaled Consumption '!D$2,Production_Consumption!$AA$83:$AJ$83,0)))*'CA Population'!$L781*10^6</f>
        <v>6625.6669224845054</v>
      </c>
      <c r="E781" s="143">
        <f>(INDEX(Production_Consumption!$AA$83:$AJ$99,MATCH('County Scaled Consumption '!$B781,Production_Consumption!$AA$83:$AA$99,0),MATCH('County Scaled Consumption '!E$2,Production_Consumption!$AA$83:$AJ$83,0)))*'CA Population'!$L781*10^6</f>
        <v>3345.7728036122062</v>
      </c>
      <c r="F781" s="143">
        <f>(INDEX(Production_Consumption!$AA$83:$AJ$99,MATCH('County Scaled Consumption '!$B781,Production_Consumption!$AA$83:$AA$99,0),MATCH('County Scaled Consumption '!F$2,Production_Consumption!$AA$83:$AJ$83,0)))*'CA Population'!$L781*10^6</f>
        <v>1551.733745713015</v>
      </c>
      <c r="G781" s="143">
        <f>(INDEX(Production_Consumption!$AA$83:$AJ$99,MATCH('County Scaled Consumption '!$B781,Production_Consumption!$AA$83:$AA$99,0),MATCH('County Scaled Consumption '!G$2,Production_Consumption!$AA$83:$AJ$83,0)))*'CA Population'!$L781*10^6</f>
        <v>4363.3285969071958</v>
      </c>
      <c r="H781" s="143">
        <f>(INDEX(Production_Consumption!$AA$83:$AJ$99,MATCH('County Scaled Consumption '!$B781,Production_Consumption!$AA$83:$AA$99,0),MATCH('County Scaled Consumption '!H$2,Production_Consumption!$AA$83:$AJ$83,0)))*'CA Population'!$L781*10^6</f>
        <v>120.97959027581658</v>
      </c>
      <c r="I781" s="143">
        <f>(INDEX(Production_Consumption!$AA$83:$AJ$99,MATCH('County Scaled Consumption '!$B781,Production_Consumption!$AA$83:$AA$99,0),MATCH('County Scaled Consumption '!I$2,Production_Consumption!$AA$83:$AJ$83,0)))*'CA Population'!$L781*10^6</f>
        <v>2289.2683555486715</v>
      </c>
      <c r="J781" s="143">
        <f>(INDEX(Production_Consumption!$AA$83:$AJ$99,MATCH('County Scaled Consumption '!$B781,Production_Consumption!$AA$83:$AA$99,0),MATCH('County Scaled Consumption '!J$2,Production_Consumption!$AA$83:$AJ$83,0)))*'CA Population'!$L781*10^6</f>
        <v>1587.1517004813932</v>
      </c>
      <c r="K781" s="143">
        <f>(INDEX(Production_Consumption!$AA$83:$AJ$99,MATCH('County Scaled Consumption '!$B781,Production_Consumption!$AA$83:$AA$99,0),MATCH('County Scaled Consumption '!K$2,Production_Consumption!$AA$83:$AJ$83,0)))*'CA Population'!$L781*10^6</f>
        <v>21633.176900248425</v>
      </c>
      <c r="L781" s="131">
        <f t="shared" si="12"/>
        <v>0</v>
      </c>
    </row>
    <row r="782" spans="1:12" x14ac:dyDescent="0.2">
      <c r="A782" s="132" t="s">
        <v>317</v>
      </c>
      <c r="B782" s="129">
        <v>2007</v>
      </c>
      <c r="C782" s="143">
        <f>(INDEX(Production_Consumption!$AA$83:$AJ$99,MATCH('County Scaled Consumption '!$B782,Production_Consumption!$AA$83:$AA$99,0),MATCH('County Scaled Consumption '!C$2,Production_Consumption!$AA$83:$AJ$83,0)))*'CA Population'!$L782*10^6</f>
        <v>2175.4103118545872</v>
      </c>
      <c r="D782" s="143">
        <f>(INDEX(Production_Consumption!$AA$83:$AJ$99,MATCH('County Scaled Consumption '!$B782,Production_Consumption!$AA$83:$AA$99,0),MATCH('County Scaled Consumption '!D$2,Production_Consumption!$AA$83:$AJ$83,0)))*'CA Population'!$L782*10^6</f>
        <v>8239.7236683075389</v>
      </c>
      <c r="E782" s="143">
        <f>(INDEX(Production_Consumption!$AA$83:$AJ$99,MATCH('County Scaled Consumption '!$B782,Production_Consumption!$AA$83:$AA$99,0),MATCH('County Scaled Consumption '!E$2,Production_Consumption!$AA$83:$AJ$83,0)))*'CA Population'!$L782*10^6</f>
        <v>4160.8254204794184</v>
      </c>
      <c r="F782" s="143">
        <f>(INDEX(Production_Consumption!$AA$83:$AJ$99,MATCH('County Scaled Consumption '!$B782,Production_Consumption!$AA$83:$AA$99,0),MATCH('County Scaled Consumption '!F$2,Production_Consumption!$AA$83:$AJ$83,0)))*'CA Population'!$L782*10^6</f>
        <v>1929.7464573828256</v>
      </c>
      <c r="G782" s="143">
        <f>(INDEX(Production_Consumption!$AA$83:$AJ$99,MATCH('County Scaled Consumption '!$B782,Production_Consumption!$AA$83:$AA$99,0),MATCH('County Scaled Consumption '!G$2,Production_Consumption!$AA$83:$AJ$83,0)))*'CA Population'!$L782*10^6</f>
        <v>5426.2646059874332</v>
      </c>
      <c r="H782" s="143">
        <f>(INDEX(Production_Consumption!$AA$83:$AJ$99,MATCH('County Scaled Consumption '!$B782,Production_Consumption!$AA$83:$AA$99,0),MATCH('County Scaled Consumption '!H$2,Production_Consumption!$AA$83:$AJ$83,0)))*'CA Population'!$L782*10^6</f>
        <v>150.4510270498171</v>
      </c>
      <c r="I782" s="143">
        <f>(INDEX(Production_Consumption!$AA$83:$AJ$99,MATCH('County Scaled Consumption '!$B782,Production_Consumption!$AA$83:$AA$99,0),MATCH('County Scaled Consumption '!I$2,Production_Consumption!$AA$83:$AJ$83,0)))*'CA Population'!$L782*10^6</f>
        <v>2846.9494275828474</v>
      </c>
      <c r="J782" s="143">
        <f>(INDEX(Production_Consumption!$AA$83:$AJ$99,MATCH('County Scaled Consumption '!$B782,Production_Consumption!$AA$83:$AA$99,0),MATCH('County Scaled Consumption '!J$2,Production_Consumption!$AA$83:$AJ$83,0)))*'CA Population'!$L782*10^6</f>
        <v>1973.7924626532836</v>
      </c>
      <c r="K782" s="143">
        <f>(INDEX(Production_Consumption!$AA$83:$AJ$99,MATCH('County Scaled Consumption '!$B782,Production_Consumption!$AA$83:$AA$99,0),MATCH('County Scaled Consumption '!K$2,Production_Consumption!$AA$83:$AJ$83,0)))*'CA Population'!$L782*10^6</f>
        <v>26903.163381297752</v>
      </c>
      <c r="L782" s="131">
        <f t="shared" si="12"/>
        <v>0</v>
      </c>
    </row>
    <row r="783" spans="1:12" x14ac:dyDescent="0.2">
      <c r="A783" s="132" t="s">
        <v>318</v>
      </c>
      <c r="B783" s="129">
        <v>2007</v>
      </c>
      <c r="C783" s="143">
        <f>(INDEX(Production_Consumption!$AA$83:$AJ$99,MATCH('County Scaled Consumption '!$B783,Production_Consumption!$AA$83:$AA$99,0),MATCH('County Scaled Consumption '!C$2,Production_Consumption!$AA$83:$AJ$83,0)))*'CA Population'!$L783*10^6</f>
        <v>243.47182383704069</v>
      </c>
      <c r="D783" s="143">
        <f>(INDEX(Production_Consumption!$AA$83:$AJ$99,MATCH('County Scaled Consumption '!$B783,Production_Consumption!$AA$83:$AA$99,0),MATCH('County Scaled Consumption '!D$2,Production_Consumption!$AA$83:$AJ$83,0)))*'CA Population'!$L783*10^6</f>
        <v>922.18950075941621</v>
      </c>
      <c r="E783" s="143">
        <f>(INDEX(Production_Consumption!$AA$83:$AJ$99,MATCH('County Scaled Consumption '!$B783,Production_Consumption!$AA$83:$AA$99,0),MATCH('County Scaled Consumption '!E$2,Production_Consumption!$AA$83:$AJ$83,0)))*'CA Population'!$L783*10^6</f>
        <v>465.67939311090356</v>
      </c>
      <c r="F783" s="143">
        <f>(INDEX(Production_Consumption!$AA$83:$AJ$99,MATCH('County Scaled Consumption '!$B783,Production_Consumption!$AA$83:$AA$99,0),MATCH('County Scaled Consumption '!F$2,Production_Consumption!$AA$83:$AJ$83,0)))*'CA Population'!$L783*10^6</f>
        <v>215.97713634147306</v>
      </c>
      <c r="G783" s="143">
        <f>(INDEX(Production_Consumption!$AA$83:$AJ$99,MATCH('County Scaled Consumption '!$B783,Production_Consumption!$AA$83:$AA$99,0),MATCH('County Scaled Consumption '!G$2,Production_Consumption!$AA$83:$AJ$83,0)))*'CA Population'!$L783*10^6</f>
        <v>607.30728959165265</v>
      </c>
      <c r="H783" s="143">
        <f>(INDEX(Production_Consumption!$AA$83:$AJ$99,MATCH('County Scaled Consumption '!$B783,Production_Consumption!$AA$83:$AA$99,0),MATCH('County Scaled Consumption '!H$2,Production_Consumption!$AA$83:$AJ$83,0)))*'CA Population'!$L783*10^6</f>
        <v>16.838472151373818</v>
      </c>
      <c r="I783" s="143">
        <f>(INDEX(Production_Consumption!$AA$83:$AJ$99,MATCH('County Scaled Consumption '!$B783,Production_Consumption!$AA$83:$AA$99,0),MATCH('County Scaled Consumption '!I$2,Production_Consumption!$AA$83:$AJ$83,0)))*'CA Population'!$L783*10^6</f>
        <v>318.6304513351721</v>
      </c>
      <c r="J783" s="143">
        <f>(INDEX(Production_Consumption!$AA$83:$AJ$99,MATCH('County Scaled Consumption '!$B783,Production_Consumption!$AA$83:$AA$99,0),MATCH('County Scaled Consumption '!J$2,Production_Consumption!$AA$83:$AJ$83,0)))*'CA Population'!$L783*10^6</f>
        <v>220.90676326173525</v>
      </c>
      <c r="K783" s="143">
        <f>(INDEX(Production_Consumption!$AA$83:$AJ$99,MATCH('County Scaled Consumption '!$B783,Production_Consumption!$AA$83:$AA$99,0),MATCH('County Scaled Consumption '!K$2,Production_Consumption!$AA$83:$AJ$83,0)))*'CA Population'!$L783*10^6</f>
        <v>3011.0008303887671</v>
      </c>
      <c r="L783" s="131">
        <f t="shared" si="12"/>
        <v>0</v>
      </c>
    </row>
    <row r="784" spans="1:12" x14ac:dyDescent="0.2">
      <c r="A784" s="132" t="s">
        <v>319</v>
      </c>
      <c r="B784" s="129">
        <v>2007</v>
      </c>
      <c r="C784" s="143">
        <f>(INDEX(Production_Consumption!$AA$83:$AJ$99,MATCH('County Scaled Consumption '!$B784,Production_Consumption!$AA$83:$AA$99,0),MATCH('County Scaled Consumption '!C$2,Production_Consumption!$AA$83:$AJ$83,0)))*'CA Population'!$L784*10^6</f>
        <v>10513.138183869769</v>
      </c>
      <c r="D784" s="143">
        <f>(INDEX(Production_Consumption!$AA$83:$AJ$99,MATCH('County Scaled Consumption '!$B784,Production_Consumption!$AA$83:$AA$99,0),MATCH('County Scaled Consumption '!D$2,Production_Consumption!$AA$83:$AJ$83,0)))*'CA Population'!$L784*10^6</f>
        <v>39820.236692713552</v>
      </c>
      <c r="E784" s="143">
        <f>(INDEX(Production_Consumption!$AA$83:$AJ$99,MATCH('County Scaled Consumption '!$B784,Production_Consumption!$AA$83:$AA$99,0),MATCH('County Scaled Consumption '!E$2,Production_Consumption!$AA$83:$AJ$83,0)))*'CA Population'!$L784*10^6</f>
        <v>20108.083687056704</v>
      </c>
      <c r="F784" s="143">
        <f>(INDEX(Production_Consumption!$AA$83:$AJ$99,MATCH('County Scaled Consumption '!$B784,Production_Consumption!$AA$83:$AA$99,0),MATCH('County Scaled Consumption '!F$2,Production_Consumption!$AA$83:$AJ$83,0)))*'CA Population'!$L784*10^6</f>
        <v>9325.9147737527601</v>
      </c>
      <c r="G784" s="143">
        <f>(INDEX(Production_Consumption!$AA$83:$AJ$99,MATCH('County Scaled Consumption '!$B784,Production_Consumption!$AA$83:$AA$99,0),MATCH('County Scaled Consumption '!G$2,Production_Consumption!$AA$83:$AJ$83,0)))*'CA Population'!$L784*10^6</f>
        <v>26223.590701081852</v>
      </c>
      <c r="H784" s="143">
        <f>(INDEX(Production_Consumption!$AA$83:$AJ$99,MATCH('County Scaled Consumption '!$B784,Production_Consumption!$AA$83:$AA$99,0),MATCH('County Scaled Consumption '!H$2,Production_Consumption!$AA$83:$AJ$83,0)))*'CA Population'!$L784*10^6</f>
        <v>727.08694477567735</v>
      </c>
      <c r="I784" s="143">
        <f>(INDEX(Production_Consumption!$AA$83:$AJ$99,MATCH('County Scaled Consumption '!$B784,Production_Consumption!$AA$83:$AA$99,0),MATCH('County Scaled Consumption '!I$2,Production_Consumption!$AA$83:$AJ$83,0)))*'CA Population'!$L784*10^6</f>
        <v>13758.495384326408</v>
      </c>
      <c r="J784" s="143">
        <f>(INDEX(Production_Consumption!$AA$83:$AJ$99,MATCH('County Scaled Consumption '!$B784,Production_Consumption!$AA$83:$AA$99,0),MATCH('County Scaled Consumption '!J$2,Production_Consumption!$AA$83:$AJ$83,0)))*'CA Population'!$L784*10^6</f>
        <v>9538.7765669199598</v>
      </c>
      <c r="K784" s="143">
        <f>(INDEX(Production_Consumption!$AA$83:$AJ$99,MATCH('County Scaled Consumption '!$B784,Production_Consumption!$AA$83:$AA$99,0),MATCH('County Scaled Consumption '!K$2,Production_Consumption!$AA$83:$AJ$83,0)))*'CA Population'!$L784*10^6</f>
        <v>130015.32293449667</v>
      </c>
      <c r="L784" s="131">
        <f t="shared" si="12"/>
        <v>0</v>
      </c>
    </row>
    <row r="785" spans="1:12" x14ac:dyDescent="0.2">
      <c r="A785" s="132" t="s">
        <v>320</v>
      </c>
      <c r="B785" s="129">
        <v>2007</v>
      </c>
      <c r="C785" s="143">
        <f>(INDEX(Production_Consumption!$AA$83:$AJ$99,MATCH('County Scaled Consumption '!$B785,Production_Consumption!$AA$83:$AA$99,0),MATCH('County Scaled Consumption '!C$2,Production_Consumption!$AA$83:$AJ$83,0)))*'CA Population'!$L785*10^6</f>
        <v>1967.0711261539536</v>
      </c>
      <c r="D785" s="143">
        <f>(INDEX(Production_Consumption!$AA$83:$AJ$99,MATCH('County Scaled Consumption '!$B785,Production_Consumption!$AA$83:$AA$99,0),MATCH('County Scaled Consumption '!D$2,Production_Consumption!$AA$83:$AJ$83,0)))*'CA Population'!$L785*10^6</f>
        <v>7450.6048018119864</v>
      </c>
      <c r="E785" s="143">
        <f>(INDEX(Production_Consumption!$AA$83:$AJ$99,MATCH('County Scaled Consumption '!$B785,Production_Consumption!$AA$83:$AA$99,0),MATCH('County Scaled Consumption '!E$2,Production_Consumption!$AA$83:$AJ$83,0)))*'CA Population'!$L785*10^6</f>
        <v>3762.3429019304663</v>
      </c>
      <c r="F785" s="143">
        <f>(INDEX(Production_Consumption!$AA$83:$AJ$99,MATCH('County Scaled Consumption '!$B785,Production_Consumption!$AA$83:$AA$99,0),MATCH('County Scaled Consumption '!F$2,Production_Consumption!$AA$83:$AJ$83,0)))*'CA Population'!$L785*10^6</f>
        <v>1744.9345148499842</v>
      </c>
      <c r="G785" s="143">
        <f>(INDEX(Production_Consumption!$AA$83:$AJ$99,MATCH('County Scaled Consumption '!$B785,Production_Consumption!$AA$83:$AA$99,0),MATCH('County Scaled Consumption '!G$2,Production_Consumption!$AA$83:$AJ$83,0)))*'CA Population'!$L785*10^6</f>
        <v>4906.5908951260499</v>
      </c>
      <c r="H785" s="143">
        <f>(INDEX(Production_Consumption!$AA$83:$AJ$99,MATCH('County Scaled Consumption '!$B785,Production_Consumption!$AA$83:$AA$99,0),MATCH('County Scaled Consumption '!H$2,Production_Consumption!$AA$83:$AJ$83,0)))*'CA Population'!$L785*10^6</f>
        <v>136.04232249758911</v>
      </c>
      <c r="I785" s="143">
        <f>(INDEX(Production_Consumption!$AA$83:$AJ$99,MATCH('County Scaled Consumption '!$B785,Production_Consumption!$AA$83:$AA$99,0),MATCH('County Scaled Consumption '!I$2,Production_Consumption!$AA$83:$AJ$83,0)))*'CA Population'!$L785*10^6</f>
        <v>2574.2968975101007</v>
      </c>
      <c r="J785" s="143">
        <f>(INDEX(Production_Consumption!$AA$83:$AJ$99,MATCH('County Scaled Consumption '!$B785,Production_Consumption!$AA$83:$AA$99,0),MATCH('County Scaled Consumption '!J$2,Production_Consumption!$AA$83:$AJ$83,0)))*'CA Population'!$L785*10^6</f>
        <v>1784.7622313583604</v>
      </c>
      <c r="K785" s="143">
        <f>(INDEX(Production_Consumption!$AA$83:$AJ$99,MATCH('County Scaled Consumption '!$B785,Production_Consumption!$AA$83:$AA$99,0),MATCH('County Scaled Consumption '!K$2,Production_Consumption!$AA$83:$AJ$83,0)))*'CA Population'!$L785*10^6</f>
        <v>24326.645691238489</v>
      </c>
      <c r="L785" s="131">
        <f t="shared" si="12"/>
        <v>0</v>
      </c>
    </row>
    <row r="786" spans="1:12" x14ac:dyDescent="0.2">
      <c r="A786" s="132" t="s">
        <v>321</v>
      </c>
      <c r="B786" s="129">
        <v>2007</v>
      </c>
      <c r="C786" s="143">
        <f>(INDEX(Production_Consumption!$AA$83:$AJ$99,MATCH('County Scaled Consumption '!$B786,Production_Consumption!$AA$83:$AA$99,0),MATCH('County Scaled Consumption '!C$2,Production_Consumption!$AA$83:$AJ$83,0)))*'CA Population'!$L786*10^6</f>
        <v>843.84370320866492</v>
      </c>
      <c r="D786" s="143">
        <f>(INDEX(Production_Consumption!$AA$83:$AJ$99,MATCH('County Scaled Consumption '!$B786,Production_Consumption!$AA$83:$AA$99,0),MATCH('County Scaled Consumption '!D$2,Production_Consumption!$AA$83:$AJ$83,0)))*'CA Population'!$L786*10^6</f>
        <v>3196.1965500444344</v>
      </c>
      <c r="E786" s="143">
        <f>(INDEX(Production_Consumption!$AA$83:$AJ$99,MATCH('County Scaled Consumption '!$B786,Production_Consumption!$AA$83:$AA$99,0),MATCH('County Scaled Consumption '!E$2,Production_Consumption!$AA$83:$AJ$83,0)))*'CA Population'!$L786*10^6</f>
        <v>1613.9880886327237</v>
      </c>
      <c r="F786" s="143">
        <f>(INDEX(Production_Consumption!$AA$83:$AJ$99,MATCH('County Scaled Consumption '!$B786,Production_Consumption!$AA$83:$AA$99,0),MATCH('County Scaled Consumption '!F$2,Production_Consumption!$AA$83:$AJ$83,0)))*'CA Population'!$L786*10^6</f>
        <v>748.55046332085897</v>
      </c>
      <c r="G786" s="143">
        <f>(INDEX(Production_Consumption!$AA$83:$AJ$99,MATCH('County Scaled Consumption '!$B786,Production_Consumption!$AA$83:$AA$99,0),MATCH('County Scaled Consumption '!G$2,Production_Consumption!$AA$83:$AJ$83,0)))*'CA Population'!$L786*10^6</f>
        <v>2104.8531372469724</v>
      </c>
      <c r="H786" s="143">
        <f>(INDEX(Production_Consumption!$AA$83:$AJ$99,MATCH('County Scaled Consumption '!$B786,Production_Consumption!$AA$83:$AA$99,0),MATCH('County Scaled Consumption '!H$2,Production_Consumption!$AA$83:$AJ$83,0)))*'CA Population'!$L786*10^6</f>
        <v>58.36009470279231</v>
      </c>
      <c r="I786" s="143">
        <f>(INDEX(Production_Consumption!$AA$83:$AJ$99,MATCH('County Scaled Consumption '!$B786,Production_Consumption!$AA$83:$AA$99,0),MATCH('County Scaled Consumption '!I$2,Production_Consumption!$AA$83:$AJ$83,0)))*'CA Population'!$L786*10^6</f>
        <v>1104.3343569384913</v>
      </c>
      <c r="J786" s="143">
        <f>(INDEX(Production_Consumption!$AA$83:$AJ$99,MATCH('County Scaled Consumption '!$B786,Production_Consumption!$AA$83:$AA$99,0),MATCH('County Scaled Consumption '!J$2,Production_Consumption!$AA$83:$AJ$83,0)))*'CA Population'!$L786*10^6</f>
        <v>765.63595013519932</v>
      </c>
      <c r="K786" s="143">
        <f>(INDEX(Production_Consumption!$AA$83:$AJ$99,MATCH('County Scaled Consumption '!$B786,Production_Consumption!$AA$83:$AA$99,0),MATCH('County Scaled Consumption '!K$2,Production_Consumption!$AA$83:$AJ$83,0)))*'CA Population'!$L786*10^6</f>
        <v>10435.762344230137</v>
      </c>
      <c r="L786" s="131">
        <f t="shared" si="12"/>
        <v>0</v>
      </c>
    </row>
    <row r="787" spans="1:12" x14ac:dyDescent="0.2">
      <c r="A787" s="132" t="s">
        <v>322</v>
      </c>
      <c r="B787" s="129">
        <v>2007</v>
      </c>
      <c r="C787" s="143">
        <f>(INDEX(Production_Consumption!$AA$83:$AJ$99,MATCH('County Scaled Consumption '!$B787,Production_Consumption!$AA$83:$AA$99,0),MATCH('County Scaled Consumption '!C$2,Production_Consumption!$AA$83:$AJ$83,0)))*'CA Population'!$L787*10^6</f>
        <v>467.27729497291216</v>
      </c>
      <c r="D787" s="143">
        <f>(INDEX(Production_Consumption!$AA$83:$AJ$99,MATCH('County Scaled Consumption '!$B787,Production_Consumption!$AA$83:$AA$99,0),MATCH('County Scaled Consumption '!D$2,Production_Consumption!$AA$83:$AJ$83,0)))*'CA Population'!$L787*10^6</f>
        <v>1769.8894622636099</v>
      </c>
      <c r="E787" s="143">
        <f>(INDEX(Production_Consumption!$AA$83:$AJ$99,MATCH('County Scaled Consumption '!$B787,Production_Consumption!$AA$83:$AA$99,0),MATCH('County Scaled Consumption '!E$2,Production_Consumption!$AA$83:$AJ$83,0)))*'CA Population'!$L787*10^6</f>
        <v>893.7436936568655</v>
      </c>
      <c r="F787" s="143">
        <f>(INDEX(Production_Consumption!$AA$83:$AJ$99,MATCH('County Scaled Consumption '!$B787,Production_Consumption!$AA$83:$AA$99,0),MATCH('County Scaled Consumption '!F$2,Production_Consumption!$AA$83:$AJ$83,0)))*'CA Population'!$L787*10^6</f>
        <v>414.50879389307664</v>
      </c>
      <c r="G787" s="143">
        <f>(INDEX(Production_Consumption!$AA$83:$AJ$99,MATCH('County Scaled Consumption '!$B787,Production_Consumption!$AA$83:$AA$99,0),MATCH('County Scaled Consumption '!G$2,Production_Consumption!$AA$83:$AJ$83,0)))*'CA Population'!$L787*10^6</f>
        <v>1165.5595420669999</v>
      </c>
      <c r="H787" s="143">
        <f>(INDEX(Production_Consumption!$AA$83:$AJ$99,MATCH('County Scaled Consumption '!$B787,Production_Consumption!$AA$83:$AA$99,0),MATCH('County Scaled Consumption '!H$2,Production_Consumption!$AA$83:$AJ$83,0)))*'CA Population'!$L787*10^6</f>
        <v>32.316822515105478</v>
      </c>
      <c r="I787" s="143">
        <f>(INDEX(Production_Consumption!$AA$83:$AJ$99,MATCH('County Scaled Consumption '!$B787,Production_Consumption!$AA$83:$AA$99,0),MATCH('County Scaled Consumption '!I$2,Production_Consumption!$AA$83:$AJ$83,0)))*'CA Population'!$L787*10^6</f>
        <v>611.5236377230691</v>
      </c>
      <c r="J787" s="143">
        <f>(INDEX(Production_Consumption!$AA$83:$AJ$99,MATCH('County Scaled Consumption '!$B787,Production_Consumption!$AA$83:$AA$99,0),MATCH('County Scaled Consumption '!J$2,Production_Consumption!$AA$83:$AJ$83,0)))*'CA Population'!$L787*10^6</f>
        <v>423.96985881723612</v>
      </c>
      <c r="K787" s="143">
        <f>(INDEX(Production_Consumption!$AA$83:$AJ$99,MATCH('County Scaled Consumption '!$B787,Production_Consumption!$AA$83:$AA$99,0),MATCH('County Scaled Consumption '!K$2,Production_Consumption!$AA$83:$AJ$83,0)))*'CA Population'!$L787*10^6</f>
        <v>5778.7891059088752</v>
      </c>
      <c r="L787" s="131">
        <f t="shared" si="12"/>
        <v>0</v>
      </c>
    </row>
    <row r="788" spans="1:12" x14ac:dyDescent="0.2">
      <c r="A788" s="132" t="s">
        <v>323</v>
      </c>
      <c r="B788" s="129">
        <v>2007</v>
      </c>
      <c r="C788" s="143">
        <f>(INDEX(Production_Consumption!$AA$83:$AJ$99,MATCH('County Scaled Consumption '!$B788,Production_Consumption!$AA$83:$AA$99,0),MATCH('County Scaled Consumption '!C$2,Production_Consumption!$AA$83:$AJ$83,0)))*'CA Population'!$L788*10^6</f>
        <v>129182.55193446449</v>
      </c>
      <c r="D788" s="143">
        <f>(INDEX(Production_Consumption!$AA$83:$AJ$99,MATCH('County Scaled Consumption '!$B788,Production_Consumption!$AA$83:$AA$99,0),MATCH('County Scaled Consumption '!D$2,Production_Consumption!$AA$83:$AJ$83,0)))*'CA Population'!$L788*10^6</f>
        <v>489300.12186957285</v>
      </c>
      <c r="E788" s="143">
        <f>(INDEX(Production_Consumption!$AA$83:$AJ$99,MATCH('County Scaled Consumption '!$B788,Production_Consumption!$AA$83:$AA$99,0),MATCH('County Scaled Consumption '!E$2,Production_Consumption!$AA$83:$AJ$83,0)))*'CA Population'!$L788*10^6</f>
        <v>247082.60462049861</v>
      </c>
      <c r="F788" s="143">
        <f>(INDEX(Production_Consumption!$AA$83:$AJ$99,MATCH('County Scaled Consumption '!$B788,Production_Consumption!$AA$83:$AA$99,0),MATCH('County Scaled Consumption '!F$2,Production_Consumption!$AA$83:$AJ$83,0)))*'CA Population'!$L788*10^6</f>
        <v>114594.2770394798</v>
      </c>
      <c r="G788" s="143">
        <f>(INDEX(Production_Consumption!$AA$83:$AJ$99,MATCH('County Scaled Consumption '!$B788,Production_Consumption!$AA$83:$AA$99,0),MATCH('County Scaled Consumption '!G$2,Production_Consumption!$AA$83:$AJ$83,0)))*'CA Population'!$L788*10^6</f>
        <v>322228.27365174965</v>
      </c>
      <c r="H788" s="143">
        <f>(INDEX(Production_Consumption!$AA$83:$AJ$99,MATCH('County Scaled Consumption '!$B788,Production_Consumption!$AA$83:$AA$99,0),MATCH('County Scaled Consumption '!H$2,Production_Consumption!$AA$83:$AJ$83,0)))*'CA Population'!$L788*10^6</f>
        <v>8934.244500701654</v>
      </c>
      <c r="I788" s="143">
        <f>(INDEX(Production_Consumption!$AA$83:$AJ$99,MATCH('County Scaled Consumption '!$B788,Production_Consumption!$AA$83:$AA$99,0),MATCH('County Scaled Consumption '!I$2,Production_Consumption!$AA$83:$AJ$83,0)))*'CA Population'!$L788*10^6</f>
        <v>169060.60906274617</v>
      </c>
      <c r="J788" s="143">
        <f>(INDEX(Production_Consumption!$AA$83:$AJ$99,MATCH('County Scaled Consumption '!$B788,Production_Consumption!$AA$83:$AA$99,0),MATCH('County Scaled Consumption '!J$2,Production_Consumption!$AA$83:$AJ$83,0)))*'CA Population'!$L788*10^6</f>
        <v>117209.86423806478</v>
      </c>
      <c r="K788" s="143">
        <f>(INDEX(Production_Consumption!$AA$83:$AJ$99,MATCH('County Scaled Consumption '!$B788,Production_Consumption!$AA$83:$AA$99,0),MATCH('County Scaled Consumption '!K$2,Production_Consumption!$AA$83:$AJ$83,0)))*'CA Population'!$L788*10^6</f>
        <v>1597592.5469172779</v>
      </c>
      <c r="L788" s="131">
        <f t="shared" si="12"/>
        <v>0</v>
      </c>
    </row>
    <row r="789" spans="1:12" x14ac:dyDescent="0.2">
      <c r="A789" s="132" t="s">
        <v>324</v>
      </c>
      <c r="B789" s="129">
        <v>2007</v>
      </c>
      <c r="C789" s="143">
        <f>(INDEX(Production_Consumption!$AA$83:$AJ$99,MATCH('County Scaled Consumption '!$B789,Production_Consumption!$AA$83:$AA$99,0),MATCH('County Scaled Consumption '!C$2,Production_Consumption!$AA$83:$AJ$83,0)))*'CA Population'!$L789*10^6</f>
        <v>1917.2778758628806</v>
      </c>
      <c r="D789" s="143">
        <f>(INDEX(Production_Consumption!$AA$83:$AJ$99,MATCH('County Scaled Consumption '!$B789,Production_Consumption!$AA$83:$AA$99,0),MATCH('County Scaled Consumption '!D$2,Production_Consumption!$AA$83:$AJ$83,0)))*'CA Population'!$L789*10^6</f>
        <v>7262.0046923477894</v>
      </c>
      <c r="E789" s="143">
        <f>(INDEX(Production_Consumption!$AA$83:$AJ$99,MATCH('County Scaled Consumption '!$B789,Production_Consumption!$AA$83:$AA$99,0),MATCH('County Scaled Consumption '!E$2,Production_Consumption!$AA$83:$AJ$83,0)))*'CA Population'!$L789*10^6</f>
        <v>3667.1052263295055</v>
      </c>
      <c r="F789" s="143">
        <f>(INDEX(Production_Consumption!$AA$83:$AJ$99,MATCH('County Scaled Consumption '!$B789,Production_Consumption!$AA$83:$AA$99,0),MATCH('County Scaled Consumption '!F$2,Production_Consumption!$AA$83:$AJ$83,0)))*'CA Population'!$L789*10^6</f>
        <v>1700.7642965572993</v>
      </c>
      <c r="G789" s="143">
        <f>(INDEX(Production_Consumption!$AA$83:$AJ$99,MATCH('County Scaled Consumption '!$B789,Production_Consumption!$AA$83:$AA$99,0),MATCH('County Scaled Consumption '!G$2,Production_Consumption!$AA$83:$AJ$83,0)))*'CA Population'!$L789*10^6</f>
        <v>4782.3884170008178</v>
      </c>
      <c r="H789" s="143">
        <f>(INDEX(Production_Consumption!$AA$83:$AJ$99,MATCH('County Scaled Consumption '!$B789,Production_Consumption!$AA$83:$AA$99,0),MATCH('County Scaled Consumption '!H$2,Production_Consumption!$AA$83:$AJ$83,0)))*'CA Population'!$L789*10^6</f>
        <v>132.5986293213561</v>
      </c>
      <c r="I789" s="143">
        <f>(INDEX(Production_Consumption!$AA$83:$AJ$99,MATCH('County Scaled Consumption '!$B789,Production_Consumption!$AA$83:$AA$99,0),MATCH('County Scaled Consumption '!I$2,Production_Consumption!$AA$83:$AJ$83,0)))*'CA Population'!$L789*10^6</f>
        <v>2509.1327008336552</v>
      </c>
      <c r="J789" s="143">
        <f>(INDEX(Production_Consumption!$AA$83:$AJ$99,MATCH('County Scaled Consumption '!$B789,Production_Consumption!$AA$83:$AA$99,0),MATCH('County Scaled Consumption '!J$2,Production_Consumption!$AA$83:$AJ$83,0)))*'CA Population'!$L789*10^6</f>
        <v>1739.583838307653</v>
      </c>
      <c r="K789" s="143">
        <f>(INDEX(Production_Consumption!$AA$83:$AJ$99,MATCH('County Scaled Consumption '!$B789,Production_Consumption!$AA$83:$AA$99,0),MATCH('County Scaled Consumption '!K$2,Production_Consumption!$AA$83:$AJ$83,0)))*'CA Population'!$L789*10^6</f>
        <v>23710.855676560957</v>
      </c>
      <c r="L789" s="131">
        <f t="shared" si="12"/>
        <v>0</v>
      </c>
    </row>
    <row r="790" spans="1:12" x14ac:dyDescent="0.2">
      <c r="A790" s="132" t="s">
        <v>325</v>
      </c>
      <c r="B790" s="129">
        <v>2007</v>
      </c>
      <c r="C790" s="143">
        <f>(INDEX(Production_Consumption!$AA$83:$AJ$99,MATCH('County Scaled Consumption '!$B790,Production_Consumption!$AA$83:$AA$99,0),MATCH('County Scaled Consumption '!C$2,Production_Consumption!$AA$83:$AJ$83,0)))*'CA Population'!$L790*10^6</f>
        <v>3275.8543510460031</v>
      </c>
      <c r="D790" s="143">
        <f>(INDEX(Production_Consumption!$AA$83:$AJ$99,MATCH('County Scaled Consumption '!$B790,Production_Consumption!$AA$83:$AA$99,0),MATCH('County Scaled Consumption '!D$2,Production_Consumption!$AA$83:$AJ$83,0)))*'CA Population'!$L790*10^6</f>
        <v>12407.83611402052</v>
      </c>
      <c r="E790" s="143">
        <f>(INDEX(Production_Consumption!$AA$83:$AJ$99,MATCH('County Scaled Consumption '!$B790,Production_Consumption!$AA$83:$AA$99,0),MATCH('County Scaled Consumption '!E$2,Production_Consumption!$AA$83:$AJ$83,0)))*'CA Population'!$L790*10^6</f>
        <v>6265.603313243565</v>
      </c>
      <c r="F790" s="143">
        <f>(INDEX(Production_Consumption!$AA$83:$AJ$99,MATCH('County Scaled Consumption '!$B790,Production_Consumption!$AA$83:$AA$99,0),MATCH('County Scaled Consumption '!F$2,Production_Consumption!$AA$83:$AJ$83,0)))*'CA Population'!$L790*10^6</f>
        <v>2905.9199978894358</v>
      </c>
      <c r="G790" s="143">
        <f>(INDEX(Production_Consumption!$AA$83:$AJ$99,MATCH('County Scaled Consumption '!$B790,Production_Consumption!$AA$83:$AA$99,0),MATCH('County Scaled Consumption '!G$2,Production_Consumption!$AA$83:$AJ$83,0)))*'CA Population'!$L790*10^6</f>
        <v>8171.1723175094749</v>
      </c>
      <c r="H790" s="143">
        <f>(INDEX(Production_Consumption!$AA$83:$AJ$99,MATCH('County Scaled Consumption '!$B790,Production_Consumption!$AA$83:$AA$99,0),MATCH('County Scaled Consumption '!H$2,Production_Consumption!$AA$83:$AJ$83,0)))*'CA Population'!$L790*10^6</f>
        <v>226.55755969103245</v>
      </c>
      <c r="I790" s="143">
        <f>(INDEX(Production_Consumption!$AA$83:$AJ$99,MATCH('County Scaled Consumption '!$B790,Production_Consumption!$AA$83:$AA$99,0),MATCH('County Scaled Consumption '!I$2,Production_Consumption!$AA$83:$AJ$83,0)))*'CA Population'!$L790*10^6</f>
        <v>4287.0954590651017</v>
      </c>
      <c r="J790" s="143">
        <f>(INDEX(Production_Consumption!$AA$83:$AJ$99,MATCH('County Scaled Consumption '!$B790,Production_Consumption!$AA$83:$AA$99,0),MATCH('County Scaled Consumption '!J$2,Production_Consumption!$AA$83:$AJ$83,0)))*'CA Population'!$L790*10^6</f>
        <v>2972.2469327325534</v>
      </c>
      <c r="K790" s="143">
        <f>(INDEX(Production_Consumption!$AA$83:$AJ$99,MATCH('County Scaled Consumption '!$B790,Production_Consumption!$AA$83:$AA$99,0),MATCH('County Scaled Consumption '!K$2,Production_Consumption!$AA$83:$AJ$83,0)))*'CA Population'!$L790*10^6</f>
        <v>40512.286045197681</v>
      </c>
      <c r="L790" s="131">
        <f t="shared" si="12"/>
        <v>0</v>
      </c>
    </row>
    <row r="791" spans="1:12" x14ac:dyDescent="0.2">
      <c r="A791" s="132" t="s">
        <v>326</v>
      </c>
      <c r="B791" s="129">
        <v>2007</v>
      </c>
      <c r="C791" s="143">
        <f>(INDEX(Production_Consumption!$AA$83:$AJ$99,MATCH('County Scaled Consumption '!$B791,Production_Consumption!$AA$83:$AA$99,0),MATCH('County Scaled Consumption '!C$2,Production_Consumption!$AA$83:$AJ$83,0)))*'CA Population'!$L791*10^6</f>
        <v>241.83406175850143</v>
      </c>
      <c r="D791" s="143">
        <f>(INDEX(Production_Consumption!$AA$83:$AJ$99,MATCH('County Scaled Consumption '!$B791,Production_Consumption!$AA$83:$AA$99,0),MATCH('County Scaled Consumption '!D$2,Production_Consumption!$AA$83:$AJ$83,0)))*'CA Population'!$L791*10^6</f>
        <v>915.98620803433403</v>
      </c>
      <c r="E791" s="143">
        <f>(INDEX(Production_Consumption!$AA$83:$AJ$99,MATCH('County Scaled Consumption '!$B791,Production_Consumption!$AA$83:$AA$99,0),MATCH('County Scaled Consumption '!E$2,Production_Consumption!$AA$83:$AJ$83,0)))*'CA Population'!$L791*10^6</f>
        <v>462.54690722906832</v>
      </c>
      <c r="F791" s="143">
        <f>(INDEX(Production_Consumption!$AA$83:$AJ$99,MATCH('County Scaled Consumption '!$B791,Production_Consumption!$AA$83:$AA$99,0),MATCH('County Scaled Consumption '!F$2,Production_Consumption!$AA$83:$AJ$83,0)))*'CA Population'!$L791*10^6</f>
        <v>214.52432279550681</v>
      </c>
      <c r="G791" s="143">
        <f>(INDEX(Production_Consumption!$AA$83:$AJ$99,MATCH('County Scaled Consumption '!$B791,Production_Consumption!$AA$83:$AA$99,0),MATCH('County Scaled Consumption '!G$2,Production_Consumption!$AA$83:$AJ$83,0)))*'CA Population'!$L791*10^6</f>
        <v>603.22211524482805</v>
      </c>
      <c r="H791" s="143">
        <f>(INDEX(Production_Consumption!$AA$83:$AJ$99,MATCH('County Scaled Consumption '!$B791,Production_Consumption!$AA$83:$AA$99,0),MATCH('County Scaled Consumption '!H$2,Production_Consumption!$AA$83:$AJ$83,0)))*'CA Population'!$L791*10^6</f>
        <v>16.72520478960913</v>
      </c>
      <c r="I791" s="143">
        <f>(INDEX(Production_Consumption!$AA$83:$AJ$99,MATCH('County Scaled Consumption '!$B791,Production_Consumption!$AA$83:$AA$99,0),MATCH('County Scaled Consumption '!I$2,Production_Consumption!$AA$83:$AJ$83,0)))*'CA Population'!$L791*10^6</f>
        <v>316.48711966729974</v>
      </c>
      <c r="J791" s="143">
        <f>(INDEX(Production_Consumption!$AA$83:$AJ$99,MATCH('County Scaled Consumption '!$B791,Production_Consumption!$AA$83:$AA$99,0),MATCH('County Scaled Consumption '!J$2,Production_Consumption!$AA$83:$AJ$83,0)))*'CA Population'!$L791*10^6</f>
        <v>219.42078959110191</v>
      </c>
      <c r="K791" s="143">
        <f>(INDEX(Production_Consumption!$AA$83:$AJ$99,MATCH('County Scaled Consumption '!$B791,Production_Consumption!$AA$83:$AA$99,0),MATCH('County Scaled Consumption '!K$2,Production_Consumption!$AA$83:$AJ$83,0)))*'CA Population'!$L791*10^6</f>
        <v>2990.7467291102489</v>
      </c>
      <c r="L791" s="131">
        <f t="shared" si="12"/>
        <v>0</v>
      </c>
    </row>
    <row r="792" spans="1:12" x14ac:dyDescent="0.2">
      <c r="A792" s="132" t="s">
        <v>327</v>
      </c>
      <c r="B792" s="129">
        <v>2007</v>
      </c>
      <c r="C792" s="143">
        <f>(INDEX(Production_Consumption!$AA$83:$AJ$99,MATCH('County Scaled Consumption '!$B792,Production_Consumption!$AA$83:$AA$99,0),MATCH('County Scaled Consumption '!C$2,Production_Consumption!$AA$83:$AJ$83,0)))*'CA Population'!$L792*10^6</f>
        <v>1157.2241938336765</v>
      </c>
      <c r="D792" s="143">
        <f>(INDEX(Production_Consumption!$AA$83:$AJ$99,MATCH('County Scaled Consumption '!$B792,Production_Consumption!$AA$83:$AA$99,0),MATCH('County Scaled Consumption '!D$2,Production_Consumption!$AA$83:$AJ$83,0)))*'CA Population'!$L792*10^6</f>
        <v>4383.1766023672435</v>
      </c>
      <c r="E792" s="143">
        <f>(INDEX(Production_Consumption!$AA$83:$AJ$99,MATCH('County Scaled Consumption '!$B792,Production_Consumption!$AA$83:$AA$99,0),MATCH('County Scaled Consumption '!E$2,Production_Consumption!$AA$83:$AJ$83,0)))*'CA Population'!$L792*10^6</f>
        <v>2213.3791573287426</v>
      </c>
      <c r="F792" s="143">
        <f>(INDEX(Production_Consumption!$AA$83:$AJ$99,MATCH('County Scaled Consumption '!$B792,Production_Consumption!$AA$83:$AA$99,0),MATCH('County Scaled Consumption '!F$2,Production_Consumption!$AA$83:$AJ$83,0)))*'CA Population'!$L792*10^6</f>
        <v>1026.5416488461999</v>
      </c>
      <c r="G792" s="143">
        <f>(INDEX(Production_Consumption!$AA$83:$AJ$99,MATCH('County Scaled Consumption '!$B792,Production_Consumption!$AA$83:$AA$99,0),MATCH('County Scaled Consumption '!G$2,Production_Consumption!$AA$83:$AJ$83,0)))*'CA Population'!$L792*10^6</f>
        <v>2886.5380705300981</v>
      </c>
      <c r="H792" s="143">
        <f>(INDEX(Production_Consumption!$AA$83:$AJ$99,MATCH('County Scaled Consumption '!$B792,Production_Consumption!$AA$83:$AA$99,0),MATCH('County Scaled Consumption '!H$2,Production_Consumption!$AA$83:$AJ$83,0)))*'CA Population'!$L792*10^6</f>
        <v>80.033438997880012</v>
      </c>
      <c r="I792" s="143">
        <f>(INDEX(Production_Consumption!$AA$83:$AJ$99,MATCH('County Scaled Consumption '!$B792,Production_Consumption!$AA$83:$AA$99,0),MATCH('County Scaled Consumption '!I$2,Production_Consumption!$AA$83:$AJ$83,0)))*'CA Population'!$L792*10^6</f>
        <v>1514.4539576127688</v>
      </c>
      <c r="J792" s="143">
        <f>(INDEX(Production_Consumption!$AA$83:$AJ$99,MATCH('County Scaled Consumption '!$B792,Production_Consumption!$AA$83:$AA$99,0),MATCH('County Scaled Consumption '!J$2,Production_Consumption!$AA$83:$AJ$83,0)))*'CA Population'!$L792*10^6</f>
        <v>1049.9722185474373</v>
      </c>
      <c r="K792" s="143">
        <f>(INDEX(Production_Consumption!$AA$83:$AJ$99,MATCH('County Scaled Consumption '!$B792,Production_Consumption!$AA$83:$AA$99,0),MATCH('County Scaled Consumption '!K$2,Production_Consumption!$AA$83:$AJ$83,0)))*'CA Population'!$L792*10^6</f>
        <v>14311.319288064045</v>
      </c>
      <c r="L792" s="131">
        <f t="shared" si="12"/>
        <v>0</v>
      </c>
    </row>
    <row r="793" spans="1:12" x14ac:dyDescent="0.2">
      <c r="A793" s="132" t="s">
        <v>328</v>
      </c>
      <c r="B793" s="129">
        <v>2007</v>
      </c>
      <c r="C793" s="143">
        <f>(INDEX(Production_Consumption!$AA$83:$AJ$99,MATCH('County Scaled Consumption '!$B793,Production_Consumption!$AA$83:$AA$99,0),MATCH('County Scaled Consumption '!C$2,Production_Consumption!$AA$83:$AJ$83,0)))*'CA Population'!$L793*10^6</f>
        <v>3269.4750035949182</v>
      </c>
      <c r="D793" s="143">
        <f>(INDEX(Production_Consumption!$AA$83:$AJ$99,MATCH('County Scaled Consumption '!$B793,Production_Consumption!$AA$83:$AA$99,0),MATCH('County Scaled Consumption '!D$2,Production_Consumption!$AA$83:$AJ$83,0)))*'CA Population'!$L793*10^6</f>
        <v>12383.673288325237</v>
      </c>
      <c r="E793" s="143">
        <f>(INDEX(Production_Consumption!$AA$83:$AJ$99,MATCH('County Scaled Consumption '!$B793,Production_Consumption!$AA$83:$AA$99,0),MATCH('County Scaled Consumption '!E$2,Production_Consumption!$AA$83:$AJ$83,0)))*'CA Population'!$L793*10^6</f>
        <v>6253.4017754941569</v>
      </c>
      <c r="F793" s="143">
        <f>(INDEX(Production_Consumption!$AA$83:$AJ$99,MATCH('County Scaled Consumption '!$B793,Production_Consumption!$AA$83:$AA$99,0),MATCH('County Scaled Consumption '!F$2,Production_Consumption!$AA$83:$AJ$83,0)))*'CA Population'!$L793*10^6</f>
        <v>2900.2610548031316</v>
      </c>
      <c r="G793" s="143">
        <f>(INDEX(Production_Consumption!$AA$83:$AJ$99,MATCH('County Scaled Consumption '!$B793,Production_Consumption!$AA$83:$AA$99,0),MATCH('County Scaled Consumption '!G$2,Production_Consumption!$AA$83:$AJ$83,0)))*'CA Population'!$L793*10^6</f>
        <v>8155.2599045295028</v>
      </c>
      <c r="H793" s="143">
        <f>(INDEX(Production_Consumption!$AA$83:$AJ$99,MATCH('County Scaled Consumption '!$B793,Production_Consumption!$AA$83:$AA$99,0),MATCH('County Scaled Consumption '!H$2,Production_Consumption!$AA$83:$AJ$83,0)))*'CA Population'!$L793*10^6</f>
        <v>226.11636504802962</v>
      </c>
      <c r="I793" s="143">
        <f>(INDEX(Production_Consumption!$AA$83:$AJ$99,MATCH('County Scaled Consumption '!$B793,Production_Consumption!$AA$83:$AA$99,0),MATCH('County Scaled Consumption '!I$2,Production_Consumption!$AA$83:$AJ$83,0)))*'CA Population'!$L793*10^6</f>
        <v>4278.7468365200812</v>
      </c>
      <c r="J793" s="143">
        <f>(INDEX(Production_Consumption!$AA$83:$AJ$99,MATCH('County Scaled Consumption '!$B793,Production_Consumption!$AA$83:$AA$99,0),MATCH('County Scaled Consumption '!J$2,Production_Consumption!$AA$83:$AJ$83,0)))*'CA Population'!$L793*10^6</f>
        <v>2966.4588256122634</v>
      </c>
      <c r="K793" s="143">
        <f>(INDEX(Production_Consumption!$AA$83:$AJ$99,MATCH('County Scaled Consumption '!$B793,Production_Consumption!$AA$83:$AA$99,0),MATCH('County Scaled Consumption '!K$2,Production_Consumption!$AA$83:$AJ$83,0)))*'CA Population'!$L793*10^6</f>
        <v>40433.393053927321</v>
      </c>
      <c r="L793" s="131">
        <f t="shared" si="12"/>
        <v>0</v>
      </c>
    </row>
    <row r="794" spans="1:12" x14ac:dyDescent="0.2">
      <c r="A794" s="132" t="s">
        <v>329</v>
      </c>
      <c r="B794" s="129">
        <v>2007</v>
      </c>
      <c r="C794" s="143">
        <f>(INDEX(Production_Consumption!$AA$83:$AJ$99,MATCH('County Scaled Consumption '!$B794,Production_Consumption!$AA$83:$AA$99,0),MATCH('County Scaled Consumption '!C$2,Production_Consumption!$AA$83:$AJ$83,0)))*'CA Population'!$L794*10^6</f>
        <v>126.99259988028351</v>
      </c>
      <c r="D794" s="143">
        <f>(INDEX(Production_Consumption!$AA$83:$AJ$99,MATCH('County Scaled Consumption '!$B794,Production_Consumption!$AA$83:$AA$99,0),MATCH('County Scaled Consumption '!D$2,Production_Consumption!$AA$83:$AJ$83,0)))*'CA Population'!$L794*10^6</f>
        <v>481.00531896505305</v>
      </c>
      <c r="E794" s="143">
        <f>(INDEX(Production_Consumption!$AA$83:$AJ$99,MATCH('County Scaled Consumption '!$B794,Production_Consumption!$AA$83:$AA$99,0),MATCH('County Scaled Consumption '!E$2,Production_Consumption!$AA$83:$AJ$83,0)))*'CA Population'!$L794*10^6</f>
        <v>242.89396575682642</v>
      </c>
      <c r="F794" s="143">
        <f>(INDEX(Production_Consumption!$AA$83:$AJ$99,MATCH('County Scaled Consumption '!$B794,Production_Consumption!$AA$83:$AA$99,0),MATCH('County Scaled Consumption '!F$2,Production_Consumption!$AA$83:$AJ$83,0)))*'CA Population'!$L794*10^6</f>
        <v>112.65163100375739</v>
      </c>
      <c r="G794" s="143">
        <f>(INDEX(Production_Consumption!$AA$83:$AJ$99,MATCH('County Scaled Consumption '!$B794,Production_Consumption!$AA$83:$AA$99,0),MATCH('County Scaled Consumption '!G$2,Production_Consumption!$AA$83:$AJ$83,0)))*'CA Population'!$L794*10^6</f>
        <v>316.76573665095697</v>
      </c>
      <c r="H794" s="143">
        <f>(INDEX(Production_Consumption!$AA$83:$AJ$99,MATCH('County Scaled Consumption '!$B794,Production_Consumption!$AA$83:$AA$99,0),MATCH('County Scaled Consumption '!H$2,Production_Consumption!$AA$83:$AJ$83,0)))*'CA Population'!$L794*10^6</f>
        <v>8.782787769092943</v>
      </c>
      <c r="I794" s="143">
        <f>(INDEX(Production_Consumption!$AA$83:$AJ$99,MATCH('County Scaled Consumption '!$B794,Production_Consumption!$AA$83:$AA$99,0),MATCH('County Scaled Consumption '!I$2,Production_Consumption!$AA$83:$AJ$83,0)))*'CA Population'!$L794*10^6</f>
        <v>166.19462892414455</v>
      </c>
      <c r="J794" s="143">
        <f>(INDEX(Production_Consumption!$AA$83:$AJ$99,MATCH('County Scaled Consumption '!$B794,Production_Consumption!$AA$83:$AA$99,0),MATCH('County Scaled Consumption '!J$2,Production_Consumption!$AA$83:$AJ$83,0)))*'CA Population'!$L794*10^6</f>
        <v>115.22287776725531</v>
      </c>
      <c r="K794" s="143">
        <f>(INDEX(Production_Consumption!$AA$83:$AJ$99,MATCH('County Scaled Consumption '!$B794,Production_Consumption!$AA$83:$AA$99,0),MATCH('County Scaled Consumption '!K$2,Production_Consumption!$AA$83:$AJ$83,0)))*'CA Population'!$L794*10^6</f>
        <v>1570.5095467173701</v>
      </c>
      <c r="L794" s="131">
        <f t="shared" si="12"/>
        <v>0</v>
      </c>
    </row>
    <row r="795" spans="1:12" x14ac:dyDescent="0.2">
      <c r="A795" s="132" t="s">
        <v>330</v>
      </c>
      <c r="B795" s="129">
        <v>2007</v>
      </c>
      <c r="C795" s="143">
        <f>(INDEX(Production_Consumption!$AA$83:$AJ$99,MATCH('County Scaled Consumption '!$B795,Production_Consumption!$AA$83:$AA$99,0),MATCH('County Scaled Consumption '!C$2,Production_Consumption!$AA$83:$AJ$83,0)))*'CA Population'!$L795*10^6</f>
        <v>187.31243385358093</v>
      </c>
      <c r="D795" s="143">
        <f>(INDEX(Production_Consumption!$AA$83:$AJ$99,MATCH('County Scaled Consumption '!$B795,Production_Consumption!$AA$83:$AA$99,0),MATCH('County Scaled Consumption '!D$2,Production_Consumption!$AA$83:$AJ$83,0)))*'CA Population'!$L795*10^6</f>
        <v>709.47659215417377</v>
      </c>
      <c r="E795" s="143">
        <f>(INDEX(Production_Consumption!$AA$83:$AJ$99,MATCH('County Scaled Consumption '!$B795,Production_Consumption!$AA$83:$AA$99,0),MATCH('County Scaled Consumption '!E$2,Production_Consumption!$AA$83:$AJ$83,0)))*'CA Population'!$L795*10^6</f>
        <v>358.26544174345418</v>
      </c>
      <c r="F795" s="143">
        <f>(INDEX(Production_Consumption!$AA$83:$AJ$99,MATCH('County Scaled Consumption '!$B795,Production_Consumption!$AA$83:$AA$99,0),MATCH('County Scaled Consumption '!F$2,Production_Consumption!$AA$83:$AJ$83,0)))*'CA Population'!$L795*10^6</f>
        <v>166.15969120075789</v>
      </c>
      <c r="G795" s="143">
        <f>(INDEX(Production_Consumption!$AA$83:$AJ$99,MATCH('County Scaled Consumption '!$B795,Production_Consumption!$AA$83:$AA$99,0),MATCH('County Scaled Consumption '!G$2,Production_Consumption!$AA$83:$AJ$83,0)))*'CA Population'!$L795*10^6</f>
        <v>467.22534344086023</v>
      </c>
      <c r="H795" s="143">
        <f>(INDEX(Production_Consumption!$AA$83:$AJ$99,MATCH('County Scaled Consumption '!$B795,Production_Consumption!$AA$83:$AA$99,0),MATCH('County Scaled Consumption '!H$2,Production_Consumption!$AA$83:$AJ$83,0)))*'CA Population'!$L795*10^6</f>
        <v>12.954497778603859</v>
      </c>
      <c r="I795" s="143">
        <f>(INDEX(Production_Consumption!$AA$83:$AJ$99,MATCH('County Scaled Consumption '!$B795,Production_Consumption!$AA$83:$AA$99,0),MATCH('County Scaled Consumption '!I$2,Production_Consumption!$AA$83:$AJ$83,0)))*'CA Population'!$L795*10^6</f>
        <v>245.1349170465125</v>
      </c>
      <c r="J795" s="143">
        <f>(INDEX(Production_Consumption!$AA$83:$AJ$99,MATCH('County Scaled Consumption '!$B795,Production_Consumption!$AA$83:$AA$99,0),MATCH('County Scaled Consumption '!J$2,Production_Consumption!$AA$83:$AJ$83,0)))*'CA Population'!$L795*10^6</f>
        <v>169.95224674937231</v>
      </c>
      <c r="K795" s="143">
        <f>(INDEX(Production_Consumption!$AA$83:$AJ$99,MATCH('County Scaled Consumption '!$B795,Production_Consumption!$AA$83:$AA$99,0),MATCH('County Scaled Consumption '!K$2,Production_Consumption!$AA$83:$AJ$83,0)))*'CA Population'!$L795*10^6</f>
        <v>2316.4811639673153</v>
      </c>
      <c r="L795" s="131">
        <f t="shared" si="12"/>
        <v>0</v>
      </c>
    </row>
    <row r="796" spans="1:12" x14ac:dyDescent="0.2">
      <c r="A796" s="132" t="s">
        <v>331</v>
      </c>
      <c r="B796" s="129">
        <v>2007</v>
      </c>
      <c r="C796" s="143">
        <f>(INDEX(Production_Consumption!$AA$83:$AJ$99,MATCH('County Scaled Consumption '!$B796,Production_Consumption!$AA$83:$AA$99,0),MATCH('County Scaled Consumption '!C$2,Production_Consumption!$AA$83:$AJ$83,0)))*'CA Population'!$L796*10^6</f>
        <v>5374.1049365874733</v>
      </c>
      <c r="D796" s="143">
        <f>(INDEX(Production_Consumption!$AA$83:$AJ$99,MATCH('County Scaled Consumption '!$B796,Production_Consumption!$AA$83:$AA$99,0),MATCH('County Scaled Consumption '!D$2,Production_Consumption!$AA$83:$AJ$83,0)))*'CA Population'!$L796*10^6</f>
        <v>20355.304652489904</v>
      </c>
      <c r="E796" s="143">
        <f>(INDEX(Production_Consumption!$AA$83:$AJ$99,MATCH('County Scaled Consumption '!$B796,Production_Consumption!$AA$83:$AA$99,0),MATCH('County Scaled Consumption '!E$2,Production_Consumption!$AA$83:$AJ$83,0)))*'CA Population'!$L796*10^6</f>
        <v>10278.848229515872</v>
      </c>
      <c r="F796" s="143">
        <f>(INDEX(Production_Consumption!$AA$83:$AJ$99,MATCH('County Scaled Consumption '!$B796,Production_Consumption!$AA$83:$AA$99,0),MATCH('County Scaled Consumption '!F$2,Production_Consumption!$AA$83:$AJ$83,0)))*'CA Population'!$L796*10^6</f>
        <v>4767.2201912760111</v>
      </c>
      <c r="G796" s="143">
        <f>(INDEX(Production_Consumption!$AA$83:$AJ$99,MATCH('County Scaled Consumption '!$B796,Production_Consumption!$AA$83:$AA$99,0),MATCH('County Scaled Consumption '!G$2,Production_Consumption!$AA$83:$AJ$83,0)))*'CA Population'!$L796*10^6</f>
        <v>13404.972499834414</v>
      </c>
      <c r="H796" s="143">
        <f>(INDEX(Production_Consumption!$AA$83:$AJ$99,MATCH('County Scaled Consumption '!$B796,Production_Consumption!$AA$83:$AA$99,0),MATCH('County Scaled Consumption '!H$2,Production_Consumption!$AA$83:$AJ$83,0)))*'CA Population'!$L796*10^6</f>
        <v>371.67223248738713</v>
      </c>
      <c r="I796" s="143">
        <f>(INDEX(Production_Consumption!$AA$83:$AJ$99,MATCH('County Scaled Consumption '!$B796,Production_Consumption!$AA$83:$AA$99,0),MATCH('County Scaled Consumption '!I$2,Production_Consumption!$AA$83:$AJ$83,0)))*'CA Population'!$L796*10^6</f>
        <v>7033.0663091986662</v>
      </c>
      <c r="J796" s="143">
        <f>(INDEX(Production_Consumption!$AA$83:$AJ$99,MATCH('County Scaled Consumption '!$B796,Production_Consumption!$AA$83:$AA$99,0),MATCH('County Scaled Consumption '!J$2,Production_Consumption!$AA$83:$AJ$83,0)))*'CA Population'!$L796*10^6</f>
        <v>4876.0308616451921</v>
      </c>
      <c r="K796" s="143">
        <f>(INDEX(Production_Consumption!$AA$83:$AJ$99,MATCH('County Scaled Consumption '!$B796,Production_Consumption!$AA$83:$AA$99,0),MATCH('County Scaled Consumption '!K$2,Production_Consumption!$AA$83:$AJ$83,0)))*'CA Population'!$L796*10^6</f>
        <v>66461.219913034918</v>
      </c>
      <c r="L796" s="131">
        <f t="shared" si="12"/>
        <v>0</v>
      </c>
    </row>
    <row r="797" spans="1:12" x14ac:dyDescent="0.2">
      <c r="A797" s="132" t="s">
        <v>332</v>
      </c>
      <c r="B797" s="129">
        <v>2007</v>
      </c>
      <c r="C797" s="143">
        <f>(INDEX(Production_Consumption!$AA$83:$AJ$99,MATCH('County Scaled Consumption '!$B797,Production_Consumption!$AA$83:$AA$99,0),MATCH('County Scaled Consumption '!C$2,Production_Consumption!$AA$83:$AJ$83,0)))*'CA Population'!$L797*10^6</f>
        <v>1750.5167145432276</v>
      </c>
      <c r="D797" s="143">
        <f>(INDEX(Production_Consumption!$AA$83:$AJ$99,MATCH('County Scaled Consumption '!$B797,Production_Consumption!$AA$83:$AA$99,0),MATCH('County Scaled Consumption '!D$2,Production_Consumption!$AA$83:$AJ$83,0)))*'CA Population'!$L797*10^6</f>
        <v>6630.3694185825507</v>
      </c>
      <c r="E797" s="143">
        <f>(INDEX(Production_Consumption!$AA$83:$AJ$99,MATCH('County Scaled Consumption '!$B797,Production_Consumption!$AA$83:$AA$99,0),MATCH('County Scaled Consumption '!E$2,Production_Consumption!$AA$83:$AJ$83,0)))*'CA Population'!$L797*10^6</f>
        <v>3348.1474300065001</v>
      </c>
      <c r="F797" s="143">
        <f>(INDEX(Production_Consumption!$AA$83:$AJ$99,MATCH('County Scaled Consumption '!$B797,Production_Consumption!$AA$83:$AA$99,0),MATCH('County Scaled Consumption '!F$2,Production_Consumption!$AA$83:$AJ$83,0)))*'CA Population'!$L797*10^6</f>
        <v>1552.8350721107636</v>
      </c>
      <c r="G797" s="143">
        <f>(INDEX(Production_Consumption!$AA$83:$AJ$99,MATCH('County Scaled Consumption '!$B797,Production_Consumption!$AA$83:$AA$99,0),MATCH('County Scaled Consumption '!G$2,Production_Consumption!$AA$83:$AJ$83,0)))*'CA Population'!$L797*10^6</f>
        <v>4366.4254226217245</v>
      </c>
      <c r="H797" s="143">
        <f>(INDEX(Production_Consumption!$AA$83:$AJ$99,MATCH('County Scaled Consumption '!$B797,Production_Consumption!$AA$83:$AA$99,0),MATCH('County Scaled Consumption '!H$2,Production_Consumption!$AA$83:$AJ$83,0)))*'CA Population'!$L797*10^6</f>
        <v>121.06545424360594</v>
      </c>
      <c r="I797" s="143">
        <f>(INDEX(Production_Consumption!$AA$83:$AJ$99,MATCH('County Scaled Consumption '!$B797,Production_Consumption!$AA$83:$AA$99,0),MATCH('County Scaled Consumption '!I$2,Production_Consumption!$AA$83:$AJ$83,0)))*'CA Population'!$L797*10^6</f>
        <v>2290.8931392323807</v>
      </c>
      <c r="J797" s="143">
        <f>(INDEX(Production_Consumption!$AA$83:$AJ$99,MATCH('County Scaled Consumption '!$B797,Production_Consumption!$AA$83:$AA$99,0),MATCH('County Scaled Consumption '!J$2,Production_Consumption!$AA$83:$AJ$83,0)))*'CA Population'!$L797*10^6</f>
        <v>1588.278164393002</v>
      </c>
      <c r="K797" s="143">
        <f>(INDEX(Production_Consumption!$AA$83:$AJ$99,MATCH('County Scaled Consumption '!$B797,Production_Consumption!$AA$83:$AA$99,0),MATCH('County Scaled Consumption '!K$2,Production_Consumption!$AA$83:$AJ$83,0)))*'CA Population'!$L797*10^6</f>
        <v>21648.530815733753</v>
      </c>
      <c r="L797" s="131">
        <f t="shared" si="12"/>
        <v>0</v>
      </c>
    </row>
    <row r="798" spans="1:12" x14ac:dyDescent="0.2">
      <c r="A798" s="132" t="s">
        <v>333</v>
      </c>
      <c r="B798" s="129">
        <v>2007</v>
      </c>
      <c r="C798" s="143">
        <f>(INDEX(Production_Consumption!$AA$83:$AJ$99,MATCH('County Scaled Consumption '!$B798,Production_Consumption!$AA$83:$AA$99,0),MATCH('County Scaled Consumption '!C$2,Production_Consumption!$AA$83:$AJ$83,0)))*'CA Population'!$L798*10^6</f>
        <v>1299.7491179426872</v>
      </c>
      <c r="D798" s="143">
        <f>(INDEX(Production_Consumption!$AA$83:$AJ$99,MATCH('County Scaled Consumption '!$B798,Production_Consumption!$AA$83:$AA$99,0),MATCH('County Scaled Consumption '!D$2,Production_Consumption!$AA$83:$AJ$83,0)))*'CA Population'!$L798*10^6</f>
        <v>4923.0131491121101</v>
      </c>
      <c r="E798" s="143">
        <f>(INDEX(Production_Consumption!$AA$83:$AJ$99,MATCH('County Scaled Consumption '!$B798,Production_Consumption!$AA$83:$AA$99,0),MATCH('County Scaled Consumption '!E$2,Production_Consumption!$AA$83:$AJ$83,0)))*'CA Population'!$L798*10^6</f>
        <v>2485.9812149971685</v>
      </c>
      <c r="F798" s="143">
        <f>(INDEX(Production_Consumption!$AA$83:$AJ$99,MATCH('County Scaled Consumption '!$B798,Production_Consumption!$AA$83:$AA$99,0),MATCH('County Scaled Consumption '!F$2,Production_Consumption!$AA$83:$AJ$83,0)))*'CA Population'!$L798*10^6</f>
        <v>1152.9715760600891</v>
      </c>
      <c r="G798" s="143">
        <f>(INDEX(Production_Consumption!$AA$83:$AJ$99,MATCH('County Scaled Consumption '!$B798,Production_Consumption!$AA$83:$AA$99,0),MATCH('County Scaled Consumption '!G$2,Production_Consumption!$AA$83:$AJ$83,0)))*'CA Population'!$L798*10^6</f>
        <v>3242.0470735670692</v>
      </c>
      <c r="H798" s="143">
        <f>(INDEX(Production_Consumption!$AA$83:$AJ$99,MATCH('County Scaled Consumption '!$B798,Production_Consumption!$AA$83:$AA$99,0),MATCH('County Scaled Consumption '!H$2,Production_Consumption!$AA$83:$AJ$83,0)))*'CA Population'!$L798*10^6</f>
        <v>89.890439810805859</v>
      </c>
      <c r="I798" s="143">
        <f>(INDEX(Production_Consumption!$AA$83:$AJ$99,MATCH('County Scaled Consumption '!$B798,Production_Consumption!$AA$83:$AA$99,0),MATCH('County Scaled Consumption '!I$2,Production_Consumption!$AA$83:$AJ$83,0)))*'CA Population'!$L798*10^6</f>
        <v>1700.9756675160909</v>
      </c>
      <c r="J798" s="143">
        <f>(INDEX(Production_Consumption!$AA$83:$AJ$99,MATCH('County Scaled Consumption '!$B798,Production_Consumption!$AA$83:$AA$99,0),MATCH('County Scaled Consumption '!J$2,Production_Consumption!$AA$83:$AJ$83,0)))*'CA Population'!$L798*10^6</f>
        <v>1179.2878788684411</v>
      </c>
      <c r="K798" s="143">
        <f>(INDEX(Production_Consumption!$AA$83:$AJ$99,MATCH('County Scaled Consumption '!$B798,Production_Consumption!$AA$83:$AA$99,0),MATCH('County Scaled Consumption '!K$2,Production_Consumption!$AA$83:$AJ$83,0)))*'CA Population'!$L798*10^6</f>
        <v>16073.916117874462</v>
      </c>
      <c r="L798" s="131">
        <f t="shared" si="12"/>
        <v>0</v>
      </c>
    </row>
    <row r="799" spans="1:12" x14ac:dyDescent="0.2">
      <c r="A799" s="132" t="s">
        <v>334</v>
      </c>
      <c r="B799" s="129">
        <v>2007</v>
      </c>
      <c r="C799" s="143">
        <f>(INDEX(Production_Consumption!$AA$83:$AJ$99,MATCH('County Scaled Consumption '!$B799,Production_Consumption!$AA$83:$AA$99,0),MATCH('County Scaled Consumption '!C$2,Production_Consumption!$AA$83:$AJ$83,0)))*'CA Population'!$L799*10^6</f>
        <v>39103.669658758219</v>
      </c>
      <c r="D799" s="143">
        <f>(INDEX(Production_Consumption!$AA$83:$AJ$99,MATCH('County Scaled Consumption '!$B799,Production_Consumption!$AA$83:$AA$99,0),MATCH('County Scaled Consumption '!D$2,Production_Consumption!$AA$83:$AJ$83,0)))*'CA Population'!$L799*10^6</f>
        <v>148111.56803346385</v>
      </c>
      <c r="E799" s="143">
        <f>(INDEX(Production_Consumption!$AA$83:$AJ$99,MATCH('County Scaled Consumption '!$B799,Production_Consumption!$AA$83:$AA$99,0),MATCH('County Scaled Consumption '!E$2,Production_Consumption!$AA$83:$AJ$83,0)))*'CA Population'!$L799*10^6</f>
        <v>74792.117084101919</v>
      </c>
      <c r="F799" s="143">
        <f>(INDEX(Production_Consumption!$AA$83:$AJ$99,MATCH('County Scaled Consumption '!$B799,Production_Consumption!$AA$83:$AA$99,0),MATCH('County Scaled Consumption '!F$2,Production_Consumption!$AA$83:$AJ$83,0)))*'CA Population'!$L799*10^6</f>
        <v>34687.786291830824</v>
      </c>
      <c r="G799" s="143">
        <f>(INDEX(Production_Consumption!$AA$83:$AJ$99,MATCH('County Scaled Consumption '!$B799,Production_Consumption!$AA$83:$AA$99,0),MATCH('County Scaled Consumption '!G$2,Production_Consumption!$AA$83:$AJ$83,0)))*'CA Population'!$L799*10^6</f>
        <v>97538.775778188821</v>
      </c>
      <c r="H799" s="143">
        <f>(INDEX(Production_Consumption!$AA$83:$AJ$99,MATCH('County Scaled Consumption '!$B799,Production_Consumption!$AA$83:$AA$99,0),MATCH('County Scaled Consumption '!H$2,Production_Consumption!$AA$83:$AJ$83,0)))*'CA Population'!$L799*10^6</f>
        <v>2704.4035001201187</v>
      </c>
      <c r="I799" s="143">
        <f>(INDEX(Production_Consumption!$AA$83:$AJ$99,MATCH('County Scaled Consumption '!$B799,Production_Consumption!$AA$83:$AA$99,0),MATCH('County Scaled Consumption '!I$2,Production_Consumption!$AA$83:$AJ$83,0)))*'CA Population'!$L799*10^6</f>
        <v>51174.791874771596</v>
      </c>
      <c r="J799" s="143">
        <f>(INDEX(Production_Consumption!$AA$83:$AJ$99,MATCH('County Scaled Consumption '!$B799,Production_Consumption!$AA$83:$AA$99,0),MATCH('County Scaled Consumption '!J$2,Production_Consumption!$AA$83:$AJ$83,0)))*'CA Population'!$L799*10^6</f>
        <v>35479.526788094052</v>
      </c>
      <c r="K799" s="143">
        <f>(INDEX(Production_Consumption!$AA$83:$AJ$99,MATCH('County Scaled Consumption '!$B799,Production_Consumption!$AA$83:$AA$99,0),MATCH('County Scaled Consumption '!K$2,Production_Consumption!$AA$83:$AJ$83,0)))*'CA Population'!$L799*10^6</f>
        <v>483592.63900932937</v>
      </c>
      <c r="L799" s="131">
        <f t="shared" si="12"/>
        <v>0</v>
      </c>
    </row>
    <row r="800" spans="1:12" x14ac:dyDescent="0.2">
      <c r="A800" s="132" t="s">
        <v>335</v>
      </c>
      <c r="B800" s="129">
        <v>2007</v>
      </c>
      <c r="C800" s="143">
        <f>(INDEX(Production_Consumption!$AA$83:$AJ$99,MATCH('County Scaled Consumption '!$B800,Production_Consumption!$AA$83:$AA$99,0),MATCH('County Scaled Consumption '!C$2,Production_Consumption!$AA$83:$AJ$83,0)))*'CA Population'!$L800*10^6</f>
        <v>4305.5312191340836</v>
      </c>
      <c r="D800" s="143">
        <f>(INDEX(Production_Consumption!$AA$83:$AJ$99,MATCH('County Scaled Consumption '!$B800,Production_Consumption!$AA$83:$AA$99,0),MATCH('County Scaled Consumption '!D$2,Production_Consumption!$AA$83:$AJ$83,0)))*'CA Population'!$L800*10^6</f>
        <v>16307.906282144857</v>
      </c>
      <c r="E800" s="143">
        <f>(INDEX(Production_Consumption!$AA$83:$AJ$99,MATCH('County Scaled Consumption '!$B800,Production_Consumption!$AA$83:$AA$99,0),MATCH('County Scaled Consumption '!E$2,Production_Consumption!$AA$83:$AJ$83,0)))*'CA Population'!$L800*10^6</f>
        <v>8235.0275015329244</v>
      </c>
      <c r="F800" s="143">
        <f>(INDEX(Production_Consumption!$AA$83:$AJ$99,MATCH('County Scaled Consumption '!$B800,Production_Consumption!$AA$83:$AA$99,0),MATCH('County Scaled Consumption '!F$2,Production_Consumption!$AA$83:$AJ$83,0)))*'CA Population'!$L800*10^6</f>
        <v>3819.3179337243732</v>
      </c>
      <c r="G800" s="143">
        <f>(INDEX(Production_Consumption!$AA$83:$AJ$99,MATCH('County Scaled Consumption '!$B800,Production_Consumption!$AA$83:$AA$99,0),MATCH('County Scaled Consumption '!G$2,Production_Consumption!$AA$83:$AJ$83,0)))*'CA Population'!$L800*10^6</f>
        <v>10739.5609633034</v>
      </c>
      <c r="H800" s="143">
        <f>(INDEX(Production_Consumption!$AA$83:$AJ$99,MATCH('County Scaled Consumption '!$B800,Production_Consumption!$AA$83:$AA$99,0),MATCH('County Scaled Consumption '!H$2,Production_Consumption!$AA$83:$AJ$83,0)))*'CA Population'!$L800*10^6</f>
        <v>297.76984616825405</v>
      </c>
      <c r="I800" s="143">
        <f>(INDEX(Production_Consumption!$AA$83:$AJ$99,MATCH('County Scaled Consumption '!$B800,Production_Consumption!$AA$83:$AA$99,0),MATCH('County Scaled Consumption '!I$2,Production_Consumption!$AA$83:$AJ$83,0)))*'CA Population'!$L800*10^6</f>
        <v>5634.6288205758974</v>
      </c>
      <c r="J800" s="143">
        <f>(INDEX(Production_Consumption!$AA$83:$AJ$99,MATCH('County Scaled Consumption '!$B800,Production_Consumption!$AA$83:$AA$99,0),MATCH('County Scaled Consumption '!J$2,Production_Consumption!$AA$83:$AJ$83,0)))*'CA Population'!$L800*10^6</f>
        <v>3906.4929598501008</v>
      </c>
      <c r="K800" s="143">
        <f>(INDEX(Production_Consumption!$AA$83:$AJ$99,MATCH('County Scaled Consumption '!$B800,Production_Consumption!$AA$83:$AA$99,0),MATCH('County Scaled Consumption '!K$2,Production_Consumption!$AA$83:$AJ$83,0)))*'CA Population'!$L800*10^6</f>
        <v>53246.235526433884</v>
      </c>
      <c r="L800" s="131">
        <f t="shared" si="12"/>
        <v>0</v>
      </c>
    </row>
    <row r="801" spans="1:12" x14ac:dyDescent="0.2">
      <c r="A801" s="132" t="s">
        <v>336</v>
      </c>
      <c r="B801" s="129">
        <v>2007</v>
      </c>
      <c r="C801" s="143">
        <f>(INDEX(Production_Consumption!$AA$83:$AJ$99,MATCH('County Scaled Consumption '!$B801,Production_Consumption!$AA$83:$AA$99,0),MATCH('County Scaled Consumption '!C$2,Production_Consumption!$AA$83:$AJ$83,0)))*'CA Population'!$L801*10^6</f>
        <v>272.79304814637294</v>
      </c>
      <c r="D801" s="143">
        <f>(INDEX(Production_Consumption!$AA$83:$AJ$99,MATCH('County Scaled Consumption '!$B801,Production_Consumption!$AA$83:$AA$99,0),MATCH('County Scaled Consumption '!D$2,Production_Consumption!$AA$83:$AJ$83,0)))*'CA Population'!$L801*10^6</f>
        <v>1033.2484511600837</v>
      </c>
      <c r="E801" s="143">
        <f>(INDEX(Production_Consumption!$AA$83:$AJ$99,MATCH('County Scaled Consumption '!$B801,Production_Consumption!$AA$83:$AA$99,0),MATCH('County Scaled Consumption '!E$2,Production_Consumption!$AA$83:$AJ$83,0)))*'CA Population'!$L801*10^6</f>
        <v>521.76099518892283</v>
      </c>
      <c r="F801" s="143">
        <f>(INDEX(Production_Consumption!$AA$83:$AJ$99,MATCH('County Scaled Consumption '!$B801,Production_Consumption!$AA$83:$AA$99,0),MATCH('County Scaled Consumption '!F$2,Production_Consumption!$AA$83:$AJ$83,0)))*'CA Population'!$L801*10^6</f>
        <v>241.9871853095793</v>
      </c>
      <c r="G801" s="143">
        <f>(INDEX(Production_Consumption!$AA$83:$AJ$99,MATCH('County Scaled Consumption '!$B801,Production_Consumption!$AA$83:$AA$99,0),MATCH('County Scaled Consumption '!G$2,Production_Consumption!$AA$83:$AJ$83,0)))*'CA Population'!$L801*10^6</f>
        <v>680.44508838157708</v>
      </c>
      <c r="H801" s="143">
        <f>(INDEX(Production_Consumption!$AA$83:$AJ$99,MATCH('County Scaled Consumption '!$B801,Production_Consumption!$AA$83:$AA$99,0),MATCH('County Scaled Consumption '!H$2,Production_Consumption!$AA$83:$AJ$83,0)))*'CA Population'!$L801*10^6</f>
        <v>18.866323305548168</v>
      </c>
      <c r="I801" s="143">
        <f>(INDEX(Production_Consumption!$AA$83:$AJ$99,MATCH('County Scaled Consumption '!$B801,Production_Consumption!$AA$83:$AA$99,0),MATCH('County Scaled Consumption '!I$2,Production_Consumption!$AA$83:$AJ$83,0)))*'CA Population'!$L801*10^6</f>
        <v>357.00300216321176</v>
      </c>
      <c r="J801" s="143">
        <f>(INDEX(Production_Consumption!$AA$83:$AJ$99,MATCH('County Scaled Consumption '!$B801,Production_Consumption!$AA$83:$AA$99,0),MATCH('County Scaled Consumption '!J$2,Production_Consumption!$AA$83:$AJ$83,0)))*'CA Population'!$L801*10^6</f>
        <v>247.51048542952583</v>
      </c>
      <c r="K801" s="143">
        <f>(INDEX(Production_Consumption!$AA$83:$AJ$99,MATCH('County Scaled Consumption '!$B801,Production_Consumption!$AA$83:$AA$99,0),MATCH('County Scaled Consumption '!K$2,Production_Consumption!$AA$83:$AJ$83,0)))*'CA Population'!$L801*10^6</f>
        <v>3373.6145790848213</v>
      </c>
      <c r="L801" s="131">
        <f t="shared" si="12"/>
        <v>0</v>
      </c>
    </row>
    <row r="802" spans="1:12" x14ac:dyDescent="0.2">
      <c r="A802" s="132" t="s">
        <v>337</v>
      </c>
      <c r="B802" s="129">
        <v>2007</v>
      </c>
      <c r="C802" s="143">
        <f>(INDEX(Production_Consumption!$AA$83:$AJ$99,MATCH('County Scaled Consumption '!$B802,Production_Consumption!$AA$83:$AA$99,0),MATCH('County Scaled Consumption '!C$2,Production_Consumption!$AA$83:$AJ$83,0)))*'CA Population'!$L802*10^6</f>
        <v>27074.610970337279</v>
      </c>
      <c r="D802" s="143">
        <f>(INDEX(Production_Consumption!$AA$83:$AJ$99,MATCH('County Scaled Consumption '!$B802,Production_Consumption!$AA$83:$AA$99,0),MATCH('County Scaled Consumption '!D$2,Production_Consumption!$AA$83:$AJ$83,0)))*'CA Population'!$L802*10^6</f>
        <v>102549.53357848155</v>
      </c>
      <c r="E802" s="143">
        <f>(INDEX(Production_Consumption!$AA$83:$AJ$99,MATCH('County Scaled Consumption '!$B802,Production_Consumption!$AA$83:$AA$99,0),MATCH('County Scaled Consumption '!E$2,Production_Consumption!$AA$83:$AJ$83,0)))*'CA Population'!$L802*10^6</f>
        <v>51784.589307628703</v>
      </c>
      <c r="F802" s="143">
        <f>(INDEX(Production_Consumption!$AA$83:$AJ$99,MATCH('County Scaled Consumption '!$B802,Production_Consumption!$AA$83:$AA$99,0),MATCH('County Scaled Consumption '!F$2,Production_Consumption!$AA$83:$AJ$83,0)))*'CA Population'!$L802*10^6</f>
        <v>24017.140270188695</v>
      </c>
      <c r="G802" s="143">
        <f>(INDEX(Production_Consumption!$AA$83:$AJ$99,MATCH('County Scaled Consumption '!$B802,Production_Consumption!$AA$83:$AA$99,0),MATCH('County Scaled Consumption '!G$2,Production_Consumption!$AA$83:$AJ$83,0)))*'CA Population'!$L802*10^6</f>
        <v>67533.927934713472</v>
      </c>
      <c r="H802" s="143">
        <f>(INDEX(Production_Consumption!$AA$83:$AJ$99,MATCH('County Scaled Consumption '!$B802,Production_Consumption!$AA$83:$AA$99,0),MATCH('County Scaled Consumption '!H$2,Production_Consumption!$AA$83:$AJ$83,0)))*'CA Population'!$L802*10^6</f>
        <v>1872.475737227162</v>
      </c>
      <c r="I802" s="143">
        <f>(INDEX(Production_Consumption!$AA$83:$AJ$99,MATCH('County Scaled Consumption '!$B802,Production_Consumption!$AA$83:$AA$99,0),MATCH('County Scaled Consumption '!I$2,Production_Consumption!$AA$83:$AJ$83,0)))*'CA Population'!$L802*10^6</f>
        <v>35432.418327702733</v>
      </c>
      <c r="J802" s="143">
        <f>(INDEX(Production_Consumption!$AA$83:$AJ$99,MATCH('County Scaled Consumption '!$B802,Production_Consumption!$AA$83:$AA$99,0),MATCH('County Scaled Consumption '!J$2,Production_Consumption!$AA$83:$AJ$83,0)))*'CA Population'!$L802*10^6</f>
        <v>24565.325801440686</v>
      </c>
      <c r="K802" s="143">
        <f>(INDEX(Production_Consumption!$AA$83:$AJ$99,MATCH('County Scaled Consumption '!$B802,Production_Consumption!$AA$83:$AA$99,0),MATCH('County Scaled Consumption '!K$2,Production_Consumption!$AA$83:$AJ$83,0)))*'CA Population'!$L802*10^6</f>
        <v>334830.02192772029</v>
      </c>
      <c r="L802" s="131">
        <f t="shared" si="12"/>
        <v>0</v>
      </c>
    </row>
    <row r="803" spans="1:12" x14ac:dyDescent="0.2">
      <c r="A803" s="132" t="s">
        <v>338</v>
      </c>
      <c r="B803" s="129">
        <v>2007</v>
      </c>
      <c r="C803" s="143">
        <f>(INDEX(Production_Consumption!$AA$83:$AJ$99,MATCH('County Scaled Consumption '!$B803,Production_Consumption!$AA$83:$AA$99,0),MATCH('County Scaled Consumption '!C$2,Production_Consumption!$AA$83:$AJ$83,0)))*'CA Population'!$L803*10^6</f>
        <v>18228.978737594451</v>
      </c>
      <c r="D803" s="143">
        <f>(INDEX(Production_Consumption!$AA$83:$AJ$99,MATCH('County Scaled Consumption '!$B803,Production_Consumption!$AA$83:$AA$99,0),MATCH('County Scaled Consumption '!D$2,Production_Consumption!$AA$83:$AJ$83,0)))*'CA Population'!$L803*10^6</f>
        <v>69045.249410986493</v>
      </c>
      <c r="E803" s="143">
        <f>(INDEX(Production_Consumption!$AA$83:$AJ$99,MATCH('County Scaled Consumption '!$B803,Production_Consumption!$AA$83:$AA$99,0),MATCH('County Scaled Consumption '!E$2,Production_Consumption!$AA$83:$AJ$83,0)))*'CA Population'!$L803*10^6</f>
        <v>34865.881487938699</v>
      </c>
      <c r="F803" s="143">
        <f>(INDEX(Production_Consumption!$AA$83:$AJ$99,MATCH('County Scaled Consumption '!$B803,Production_Consumption!$AA$83:$AA$99,0),MATCH('County Scaled Consumption '!F$2,Production_Consumption!$AA$83:$AJ$83,0)))*'CA Population'!$L803*10^6</f>
        <v>16170.424010995093</v>
      </c>
      <c r="G803" s="143">
        <f>(INDEX(Production_Consumption!$AA$83:$AJ$99,MATCH('County Scaled Consumption '!$B803,Production_Consumption!$AA$83:$AA$99,0),MATCH('County Scaled Consumption '!G$2,Production_Consumption!$AA$83:$AJ$83,0)))*'CA Population'!$L803*10^6</f>
        <v>45469.703617787258</v>
      </c>
      <c r="H803" s="143">
        <f>(INDEX(Production_Consumption!$AA$83:$AJ$99,MATCH('County Scaled Consumption '!$B803,Production_Consumption!$AA$83:$AA$99,0),MATCH('County Scaled Consumption '!H$2,Production_Consumption!$AA$83:$AJ$83,0)))*'CA Population'!$L803*10^6</f>
        <v>1260.7132356572588</v>
      </c>
      <c r="I803" s="143">
        <f>(INDEX(Production_Consumption!$AA$83:$AJ$99,MATCH('County Scaled Consumption '!$B803,Production_Consumption!$AA$83:$AA$99,0),MATCH('County Scaled Consumption '!I$2,Production_Consumption!$AA$83:$AJ$83,0)))*'CA Population'!$L803*10^6</f>
        <v>23856.180279926615</v>
      </c>
      <c r="J803" s="143">
        <f>(INDEX(Production_Consumption!$AA$83:$AJ$99,MATCH('County Scaled Consumption '!$B803,Production_Consumption!$AA$83:$AA$99,0),MATCH('County Scaled Consumption '!J$2,Production_Consumption!$AA$83:$AJ$83,0)))*'CA Population'!$L803*10^6</f>
        <v>16539.510104398156</v>
      </c>
      <c r="K803" s="143">
        <f>(INDEX(Production_Consumption!$AA$83:$AJ$99,MATCH('County Scaled Consumption '!$B803,Production_Consumption!$AA$83:$AA$99,0),MATCH('County Scaled Consumption '!K$2,Production_Consumption!$AA$83:$AJ$83,0)))*'CA Population'!$L803*10^6</f>
        <v>225436.640885284</v>
      </c>
      <c r="L803" s="131">
        <f t="shared" si="12"/>
        <v>0</v>
      </c>
    </row>
    <row r="804" spans="1:12" x14ac:dyDescent="0.2">
      <c r="A804" s="132" t="s">
        <v>339</v>
      </c>
      <c r="B804" s="129">
        <v>2007</v>
      </c>
      <c r="C804" s="143">
        <f>(INDEX(Production_Consumption!$AA$83:$AJ$99,MATCH('County Scaled Consumption '!$B804,Production_Consumption!$AA$83:$AA$99,0),MATCH('County Scaled Consumption '!C$2,Production_Consumption!$AA$83:$AJ$83,0)))*'CA Population'!$L804*10^6</f>
        <v>725.73992493206629</v>
      </c>
      <c r="D804" s="143">
        <f>(INDEX(Production_Consumption!$AA$83:$AJ$99,MATCH('County Scaled Consumption '!$B804,Production_Consumption!$AA$83:$AA$99,0),MATCH('County Scaled Consumption '!D$2,Production_Consumption!$AA$83:$AJ$83,0)))*'CA Population'!$L804*10^6</f>
        <v>2748.8591020792232</v>
      </c>
      <c r="E804" s="143">
        <f>(INDEX(Production_Consumption!$AA$83:$AJ$99,MATCH('County Scaled Consumption '!$B804,Production_Consumption!$AA$83:$AA$99,0),MATCH('County Scaled Consumption '!E$2,Production_Consumption!$AA$83:$AJ$83,0)))*'CA Population'!$L804*10^6</f>
        <v>1388.0954373797292</v>
      </c>
      <c r="F804" s="143">
        <f>(INDEX(Production_Consumption!$AA$83:$AJ$99,MATCH('County Scaled Consumption '!$B804,Production_Consumption!$AA$83:$AA$99,0),MATCH('County Scaled Consumption '!F$2,Production_Consumption!$AA$83:$AJ$83,0)))*'CA Population'!$L804*10^6</f>
        <v>643.7838606754508</v>
      </c>
      <c r="G804" s="143">
        <f>(INDEX(Production_Consumption!$AA$83:$AJ$99,MATCH('County Scaled Consumption '!$B804,Production_Consumption!$AA$83:$AA$99,0),MATCH('County Scaled Consumption '!G$2,Production_Consumption!$AA$83:$AJ$83,0)))*'CA Population'!$L804*10^6</f>
        <v>1810.2593549138617</v>
      </c>
      <c r="H804" s="143">
        <f>(INDEX(Production_Consumption!$AA$83:$AJ$99,MATCH('County Scaled Consumption '!$B804,Production_Consumption!$AA$83:$AA$99,0),MATCH('County Scaled Consumption '!H$2,Production_Consumption!$AA$83:$AJ$83,0)))*'CA Population'!$L804*10^6</f>
        <v>50.192056405212575</v>
      </c>
      <c r="I804" s="143">
        <f>(INDEX(Production_Consumption!$AA$83:$AJ$99,MATCH('County Scaled Consumption '!$B804,Production_Consumption!$AA$83:$AA$99,0),MATCH('County Scaled Consumption '!I$2,Production_Consumption!$AA$83:$AJ$83,0)))*'CA Population'!$L804*10^6</f>
        <v>949.77248779239665</v>
      </c>
      <c r="J804" s="143">
        <f>(INDEX(Production_Consumption!$AA$83:$AJ$99,MATCH('County Scaled Consumption '!$B804,Production_Consumption!$AA$83:$AA$99,0),MATCH('County Scaled Consumption '!J$2,Production_Consumption!$AA$83:$AJ$83,0)))*'CA Population'!$L804*10^6</f>
        <v>658.47807462872015</v>
      </c>
      <c r="K804" s="143">
        <f>(INDEX(Production_Consumption!$AA$83:$AJ$99,MATCH('County Scaled Consumption '!$B804,Production_Consumption!$AA$83:$AA$99,0),MATCH('County Scaled Consumption '!K$2,Production_Consumption!$AA$83:$AJ$83,0)))*'CA Population'!$L804*10^6</f>
        <v>8975.1802988066593</v>
      </c>
      <c r="L804" s="131">
        <f t="shared" si="12"/>
        <v>0</v>
      </c>
    </row>
    <row r="805" spans="1:12" x14ac:dyDescent="0.2">
      <c r="A805" s="132" t="s">
        <v>340</v>
      </c>
      <c r="B805" s="129">
        <v>2007</v>
      </c>
      <c r="C805" s="143">
        <f>(INDEX(Production_Consumption!$AA$83:$AJ$99,MATCH('County Scaled Consumption '!$B805,Production_Consumption!$AA$83:$AA$99,0),MATCH('County Scaled Consumption '!C$2,Production_Consumption!$AA$83:$AJ$83,0)))*'CA Population'!$L805*10^6</f>
        <v>26279.345403619482</v>
      </c>
      <c r="D805" s="143">
        <f>(INDEX(Production_Consumption!$AA$83:$AJ$99,MATCH('County Scaled Consumption '!$B805,Production_Consumption!$AA$83:$AA$99,0),MATCH('County Scaled Consumption '!D$2,Production_Consumption!$AA$83:$AJ$83,0)))*'CA Population'!$L805*10^6</f>
        <v>99537.33469491174</v>
      </c>
      <c r="E805" s="143">
        <f>(INDEX(Production_Consumption!$AA$83:$AJ$99,MATCH('County Scaled Consumption '!$B805,Production_Consumption!$AA$83:$AA$99,0),MATCH('County Scaled Consumption '!E$2,Production_Consumption!$AA$83:$AJ$83,0)))*'CA Population'!$L805*10^6</f>
        <v>50263.514792168484</v>
      </c>
      <c r="F805" s="143">
        <f>(INDEX(Production_Consumption!$AA$83:$AJ$99,MATCH('County Scaled Consumption '!$B805,Production_Consumption!$AA$83:$AA$99,0),MATCH('County Scaled Consumption '!F$2,Production_Consumption!$AA$83:$AJ$83,0)))*'CA Population'!$L805*10^6</f>
        <v>23311.682131239319</v>
      </c>
      <c r="G805" s="143">
        <f>(INDEX(Production_Consumption!$AA$83:$AJ$99,MATCH('County Scaled Consumption '!$B805,Production_Consumption!$AA$83:$AA$99,0),MATCH('County Scaled Consumption '!G$2,Production_Consumption!$AA$83:$AJ$83,0)))*'CA Population'!$L805*10^6</f>
        <v>65550.246339786012</v>
      </c>
      <c r="H805" s="143">
        <f>(INDEX(Production_Consumption!$AA$83:$AJ$99,MATCH('County Scaled Consumption '!$B805,Production_Consumption!$AA$83:$AA$99,0),MATCH('County Scaled Consumption '!H$2,Production_Consumption!$AA$83:$AJ$83,0)))*'CA Population'!$L805*10^6</f>
        <v>1817.4752986257449</v>
      </c>
      <c r="I805" s="143">
        <f>(INDEX(Production_Consumption!$AA$83:$AJ$99,MATCH('County Scaled Consumption '!$B805,Production_Consumption!$AA$83:$AA$99,0),MATCH('County Scaled Consumption '!I$2,Production_Consumption!$AA$83:$AJ$83,0)))*'CA Population'!$L805*10^6</f>
        <v>34391.657953622591</v>
      </c>
      <c r="J805" s="143">
        <f>(INDEX(Production_Consumption!$AA$83:$AJ$99,MATCH('County Scaled Consumption '!$B805,Production_Consumption!$AA$83:$AA$99,0),MATCH('County Scaled Consumption '!J$2,Production_Consumption!$AA$83:$AJ$83,0)))*'CA Population'!$L805*10^6</f>
        <v>23843.765747761856</v>
      </c>
      <c r="K805" s="143">
        <f>(INDEX(Production_Consumption!$AA$83:$AJ$99,MATCH('County Scaled Consumption '!$B805,Production_Consumption!$AA$83:$AA$99,0),MATCH('County Scaled Consumption '!K$2,Production_Consumption!$AA$83:$AJ$83,0)))*'CA Population'!$L805*10^6</f>
        <v>324995.02236173523</v>
      </c>
      <c r="L805" s="131">
        <f t="shared" si="12"/>
        <v>0</v>
      </c>
    </row>
    <row r="806" spans="1:12" x14ac:dyDescent="0.2">
      <c r="A806" s="132" t="s">
        <v>341</v>
      </c>
      <c r="B806" s="129">
        <v>2007</v>
      </c>
      <c r="C806" s="143">
        <f>(INDEX(Production_Consumption!$AA$83:$AJ$99,MATCH('County Scaled Consumption '!$B806,Production_Consumption!$AA$83:$AA$99,0),MATCH('County Scaled Consumption '!C$2,Production_Consumption!$AA$83:$AJ$83,0)))*'CA Population'!$L806*10^6</f>
        <v>39603.160677195308</v>
      </c>
      <c r="D806" s="143">
        <f>(INDEX(Production_Consumption!$AA$83:$AJ$99,MATCH('County Scaled Consumption '!$B806,Production_Consumption!$AA$83:$AA$99,0),MATCH('County Scaled Consumption '!D$2,Production_Consumption!$AA$83:$AJ$83,0)))*'CA Population'!$L806*10^6</f>
        <v>150003.47226150549</v>
      </c>
      <c r="E806" s="143">
        <f>(INDEX(Production_Consumption!$AA$83:$AJ$99,MATCH('County Scaled Consumption '!$B806,Production_Consumption!$AA$83:$AA$99,0),MATCH('County Scaled Consumption '!E$2,Production_Consumption!$AA$83:$AJ$83,0)))*'CA Population'!$L806*10^6</f>
        <v>75747.474754095849</v>
      </c>
      <c r="F806" s="143">
        <f>(INDEX(Production_Consumption!$AA$83:$AJ$99,MATCH('County Scaled Consumption '!$B806,Production_Consumption!$AA$83:$AA$99,0),MATCH('County Scaled Consumption '!F$2,Production_Consumption!$AA$83:$AJ$83,0)))*'CA Population'!$L806*10^6</f>
        <v>35130.870990873991</v>
      </c>
      <c r="G806" s="143">
        <f>(INDEX(Production_Consumption!$AA$83:$AJ$99,MATCH('County Scaled Consumption '!$B806,Production_Consumption!$AA$83:$AA$99,0),MATCH('County Scaled Consumption '!G$2,Production_Consumption!$AA$83:$AJ$83,0)))*'CA Population'!$L806*10^6</f>
        <v>98784.688064061513</v>
      </c>
      <c r="H806" s="143">
        <f>(INDEX(Production_Consumption!$AA$83:$AJ$99,MATCH('County Scaled Consumption '!$B806,Production_Consumption!$AA$83:$AA$99,0),MATCH('County Scaled Consumption '!H$2,Production_Consumption!$AA$83:$AJ$83,0)))*'CA Population'!$L806*10^6</f>
        <v>2738.9482185654188</v>
      </c>
      <c r="I806" s="143">
        <f>(INDEX(Production_Consumption!$AA$83:$AJ$99,MATCH('County Scaled Consumption '!$B806,Production_Consumption!$AA$83:$AA$99,0),MATCH('County Scaled Consumption '!I$2,Production_Consumption!$AA$83:$AJ$83,0)))*'CA Population'!$L806*10^6</f>
        <v>51828.473463607093</v>
      </c>
      <c r="J806" s="143">
        <f>(INDEX(Production_Consumption!$AA$83:$AJ$99,MATCH('County Scaled Consumption '!$B806,Production_Consumption!$AA$83:$AA$99,0),MATCH('County Scaled Consumption '!J$2,Production_Consumption!$AA$83:$AJ$83,0)))*'CA Population'!$L806*10^6</f>
        <v>35932.72479031996</v>
      </c>
      <c r="K806" s="143">
        <f>(INDEX(Production_Consumption!$AA$83:$AJ$99,MATCH('County Scaled Consumption '!$B806,Production_Consumption!$AA$83:$AA$99,0),MATCH('County Scaled Consumption '!K$2,Production_Consumption!$AA$83:$AJ$83,0)))*'CA Population'!$L806*10^6</f>
        <v>489769.81322022458</v>
      </c>
      <c r="L806" s="131">
        <f t="shared" si="12"/>
        <v>0</v>
      </c>
    </row>
    <row r="807" spans="1:12" x14ac:dyDescent="0.2">
      <c r="A807" s="132" t="s">
        <v>342</v>
      </c>
      <c r="B807" s="129">
        <v>2007</v>
      </c>
      <c r="C807" s="143">
        <f>(INDEX(Production_Consumption!$AA$83:$AJ$99,MATCH('County Scaled Consumption '!$B807,Production_Consumption!$AA$83:$AA$99,0),MATCH('County Scaled Consumption '!C$2,Production_Consumption!$AA$83:$AJ$83,0)))*'CA Population'!$L807*10^6</f>
        <v>10396.183480599888</v>
      </c>
      <c r="D807" s="143">
        <f>(INDEX(Production_Consumption!$AA$83:$AJ$99,MATCH('County Scaled Consumption '!$B807,Production_Consumption!$AA$83:$AA$99,0),MATCH('County Scaled Consumption '!D$2,Production_Consumption!$AA$83:$AJ$83,0)))*'CA Population'!$L807*10^6</f>
        <v>39377.251554966751</v>
      </c>
      <c r="E807" s="143">
        <f>(INDEX(Production_Consumption!$AA$83:$AJ$99,MATCH('County Scaled Consumption '!$B807,Production_Consumption!$AA$83:$AA$99,0),MATCH('County Scaled Consumption '!E$2,Production_Consumption!$AA$83:$AJ$83,0)))*'CA Population'!$L807*10^6</f>
        <v>19884.388828317577</v>
      </c>
      <c r="F807" s="143">
        <f>(INDEX(Production_Consumption!$AA$83:$AJ$99,MATCH('County Scaled Consumption '!$B807,Production_Consumption!$AA$83:$AA$99,0),MATCH('County Scaled Consumption '!F$2,Production_Consumption!$AA$83:$AJ$83,0)))*'CA Population'!$L807*10^6</f>
        <v>9222.1674838371855</v>
      </c>
      <c r="G807" s="143">
        <f>(INDEX(Production_Consumption!$AA$83:$AJ$99,MATCH('County Scaled Consumption '!$B807,Production_Consumption!$AA$83:$AA$99,0),MATCH('County Scaled Consumption '!G$2,Production_Consumption!$AA$83:$AJ$83,0)))*'CA Population'!$L807*10^6</f>
        <v>25931.863129782403</v>
      </c>
      <c r="H807" s="143">
        <f>(INDEX(Production_Consumption!$AA$83:$AJ$99,MATCH('County Scaled Consumption '!$B807,Production_Consumption!$AA$83:$AA$99,0),MATCH('County Scaled Consumption '!H$2,Production_Consumption!$AA$83:$AJ$83,0)))*'CA Population'!$L807*10^6</f>
        <v>718.99837632062611</v>
      </c>
      <c r="I807" s="143">
        <f>(INDEX(Production_Consumption!$AA$83:$AJ$99,MATCH('County Scaled Consumption '!$B807,Production_Consumption!$AA$83:$AA$99,0),MATCH('County Scaled Consumption '!I$2,Production_Consumption!$AA$83:$AJ$83,0)))*'CA Population'!$L807*10^6</f>
        <v>13605.437304334386</v>
      </c>
      <c r="J807" s="143">
        <f>(INDEX(Production_Consumption!$AA$83:$AJ$99,MATCH('County Scaled Consumption '!$B807,Production_Consumption!$AA$83:$AA$99,0),MATCH('County Scaled Consumption '!J$2,Production_Consumption!$AA$83:$AJ$83,0)))*'CA Population'!$L807*10^6</f>
        <v>9432.661269714652</v>
      </c>
      <c r="K807" s="143">
        <f>(INDEX(Production_Consumption!$AA$83:$AJ$99,MATCH('County Scaled Consumption '!$B807,Production_Consumption!$AA$83:$AA$99,0),MATCH('County Scaled Consumption '!K$2,Production_Consumption!$AA$83:$AJ$83,0)))*'CA Population'!$L807*10^6</f>
        <v>128568.95142787344</v>
      </c>
      <c r="L807" s="131">
        <f t="shared" si="12"/>
        <v>0</v>
      </c>
    </row>
    <row r="808" spans="1:12" x14ac:dyDescent="0.2">
      <c r="A808" s="132" t="s">
        <v>343</v>
      </c>
      <c r="B808" s="129">
        <v>2007</v>
      </c>
      <c r="C808" s="143">
        <f>(INDEX(Production_Consumption!$AA$83:$AJ$99,MATCH('County Scaled Consumption '!$B808,Production_Consumption!$AA$83:$AA$99,0),MATCH('County Scaled Consumption '!C$2,Production_Consumption!$AA$83:$AJ$83,0)))*'CA Population'!$L808*10^6</f>
        <v>8787.1746927459317</v>
      </c>
      <c r="D808" s="143">
        <f>(INDEX(Production_Consumption!$AA$83:$AJ$99,MATCH('County Scaled Consumption '!$B808,Production_Consumption!$AA$83:$AA$99,0),MATCH('County Scaled Consumption '!D$2,Production_Consumption!$AA$83:$AJ$83,0)))*'CA Population'!$L808*10^6</f>
        <v>33282.866638453008</v>
      </c>
      <c r="E808" s="143">
        <f>(INDEX(Production_Consumption!$AA$83:$AJ$99,MATCH('County Scaled Consumption '!$B808,Production_Consumption!$AA$83:$AA$99,0),MATCH('County Scaled Consumption '!E$2,Production_Consumption!$AA$83:$AJ$83,0)))*'CA Population'!$L808*10^6</f>
        <v>16806.898283294817</v>
      </c>
      <c r="F808" s="143">
        <f>(INDEX(Production_Consumption!$AA$83:$AJ$99,MATCH('County Scaled Consumption '!$B808,Production_Consumption!$AA$83:$AA$99,0),MATCH('County Scaled Consumption '!F$2,Production_Consumption!$AA$83:$AJ$83,0)))*'CA Population'!$L808*10^6</f>
        <v>7794.8601885932194</v>
      </c>
      <c r="G808" s="143">
        <f>(INDEX(Production_Consumption!$AA$83:$AJ$99,MATCH('County Scaled Consumption '!$B808,Production_Consumption!$AA$83:$AA$99,0),MATCH('County Scaled Consumption '!G$2,Production_Consumption!$AA$83:$AJ$83,0)))*'CA Population'!$L808*10^6</f>
        <v>21918.409948708089</v>
      </c>
      <c r="H808" s="143">
        <f>(INDEX(Production_Consumption!$AA$83:$AJ$99,MATCH('County Scaled Consumption '!$B808,Production_Consumption!$AA$83:$AA$99,0),MATCH('County Scaled Consumption '!H$2,Production_Consumption!$AA$83:$AJ$83,0)))*'CA Population'!$L808*10^6</f>
        <v>607.71958751207603</v>
      </c>
      <c r="I808" s="143">
        <f>(INDEX(Production_Consumption!$AA$83:$AJ$99,MATCH('County Scaled Consumption '!$B808,Production_Consumption!$AA$83:$AA$99,0),MATCH('County Scaled Consumption '!I$2,Production_Consumption!$AA$83:$AJ$83,0)))*'CA Population'!$L808*10^6</f>
        <v>11499.734935179309</v>
      </c>
      <c r="J808" s="143">
        <f>(INDEX(Production_Consumption!$AA$83:$AJ$99,MATCH('County Scaled Consumption '!$B808,Production_Consumption!$AA$83:$AA$99,0),MATCH('County Scaled Consumption '!J$2,Production_Consumption!$AA$83:$AJ$83,0)))*'CA Population'!$L808*10^6</f>
        <v>7972.7760239278241</v>
      </c>
      <c r="K808" s="143">
        <f>(INDEX(Production_Consumption!$AA$83:$AJ$99,MATCH('County Scaled Consumption '!$B808,Production_Consumption!$AA$83:$AA$99,0),MATCH('County Scaled Consumption '!K$2,Production_Consumption!$AA$83:$AJ$83,0)))*'CA Population'!$L808*10^6</f>
        <v>108670.44029841427</v>
      </c>
      <c r="L808" s="131">
        <f t="shared" si="12"/>
        <v>0</v>
      </c>
    </row>
    <row r="809" spans="1:12" x14ac:dyDescent="0.2">
      <c r="A809" s="132" t="s">
        <v>344</v>
      </c>
      <c r="B809" s="129">
        <v>2007</v>
      </c>
      <c r="C809" s="143">
        <f>(INDEX(Production_Consumption!$AA$83:$AJ$99,MATCH('County Scaled Consumption '!$B809,Production_Consumption!$AA$83:$AA$99,0),MATCH('County Scaled Consumption '!C$2,Production_Consumption!$AA$83:$AJ$83,0)))*'CA Population'!$L809*10^6</f>
        <v>3473.4027978904537</v>
      </c>
      <c r="D809" s="143">
        <f>(INDEX(Production_Consumption!$AA$83:$AJ$99,MATCH('County Scaled Consumption '!$B809,Production_Consumption!$AA$83:$AA$99,0),MATCH('County Scaled Consumption '!D$2,Production_Consumption!$AA$83:$AJ$83,0)))*'CA Population'!$L809*10^6</f>
        <v>13156.083285706454</v>
      </c>
      <c r="E809" s="143">
        <f>(INDEX(Production_Consumption!$AA$83:$AJ$99,MATCH('County Scaled Consumption '!$B809,Production_Consumption!$AA$83:$AA$99,0),MATCH('County Scaled Consumption '!E$2,Production_Consumption!$AA$83:$AJ$83,0)))*'CA Population'!$L809*10^6</f>
        <v>6643.446791748489</v>
      </c>
      <c r="F809" s="143">
        <f>(INDEX(Production_Consumption!$AA$83:$AJ$99,MATCH('County Scaled Consumption '!$B809,Production_Consumption!$AA$83:$AA$99,0),MATCH('County Scaled Consumption '!F$2,Production_Consumption!$AA$83:$AJ$83,0)))*'CA Population'!$L809*10^6</f>
        <v>3081.1597737524826</v>
      </c>
      <c r="G809" s="143">
        <f>(INDEX(Production_Consumption!$AA$83:$AJ$99,MATCH('County Scaled Consumption '!$B809,Production_Consumption!$AA$83:$AA$99,0),MATCH('County Scaled Consumption '!G$2,Production_Consumption!$AA$83:$AJ$83,0)))*'CA Population'!$L809*10^6</f>
        <v>8663.9300006179874</v>
      </c>
      <c r="H809" s="143">
        <f>(INDEX(Production_Consumption!$AA$83:$AJ$99,MATCH('County Scaled Consumption '!$B809,Production_Consumption!$AA$83:$AA$99,0),MATCH('County Scaled Consumption '!H$2,Production_Consumption!$AA$83:$AJ$83,0)))*'CA Population'!$L809*10^6</f>
        <v>240.21997848066562</v>
      </c>
      <c r="I809" s="143">
        <f>(INDEX(Production_Consumption!$AA$83:$AJ$99,MATCH('County Scaled Consumption '!$B809,Production_Consumption!$AA$83:$AA$99,0),MATCH('County Scaled Consumption '!I$2,Production_Consumption!$AA$83:$AJ$83,0)))*'CA Population'!$L809*10^6</f>
        <v>4545.6261990358162</v>
      </c>
      <c r="J809" s="143">
        <f>(INDEX(Production_Consumption!$AA$83:$AJ$99,MATCH('County Scaled Consumption '!$B809,Production_Consumption!$AA$83:$AA$99,0),MATCH('County Scaled Consumption '!J$2,Production_Consumption!$AA$83:$AJ$83,0)))*'CA Population'!$L809*10^6</f>
        <v>3151.4865149233838</v>
      </c>
      <c r="K809" s="143">
        <f>(INDEX(Production_Consumption!$AA$83:$AJ$99,MATCH('County Scaled Consumption '!$B809,Production_Consumption!$AA$83:$AA$99,0),MATCH('County Scaled Consumption '!K$2,Production_Consumption!$AA$83:$AJ$83,0)))*'CA Population'!$L809*10^6</f>
        <v>42955.35534215573</v>
      </c>
      <c r="L809" s="131">
        <f t="shared" si="12"/>
        <v>0</v>
      </c>
    </row>
    <row r="810" spans="1:12" x14ac:dyDescent="0.2">
      <c r="A810" s="132" t="s">
        <v>345</v>
      </c>
      <c r="B810" s="129">
        <v>2007</v>
      </c>
      <c r="C810" s="143">
        <f>(INDEX(Production_Consumption!$AA$83:$AJ$99,MATCH('County Scaled Consumption '!$B810,Production_Consumption!$AA$83:$AA$99,0),MATCH('County Scaled Consumption '!C$2,Production_Consumption!$AA$83:$AJ$83,0)))*'CA Population'!$L810*10^6</f>
        <v>9269.706949014917</v>
      </c>
      <c r="D810" s="143">
        <f>(INDEX(Production_Consumption!$AA$83:$AJ$99,MATCH('County Scaled Consumption '!$B810,Production_Consumption!$AA$83:$AA$99,0),MATCH('County Scaled Consumption '!D$2,Production_Consumption!$AA$83:$AJ$83,0)))*'CA Population'!$L810*10^6</f>
        <v>35110.5367708575</v>
      </c>
      <c r="E810" s="143">
        <f>(INDEX(Production_Consumption!$AA$83:$AJ$99,MATCH('County Scaled Consumption '!$B810,Production_Consumption!$AA$83:$AA$99,0),MATCH('County Scaled Consumption '!E$2,Production_Consumption!$AA$83:$AJ$83,0)))*'CA Population'!$L810*10^6</f>
        <v>17729.819567221999</v>
      </c>
      <c r="F810" s="143">
        <f>(INDEX(Production_Consumption!$AA$83:$AJ$99,MATCH('County Scaled Consumption '!$B810,Production_Consumption!$AA$83:$AA$99,0),MATCH('County Scaled Consumption '!F$2,Production_Consumption!$AA$83:$AJ$83,0)))*'CA Population'!$L810*10^6</f>
        <v>8222.9012376926767</v>
      </c>
      <c r="G810" s="143">
        <f>(INDEX(Production_Consumption!$AA$83:$AJ$99,MATCH('County Scaled Consumption '!$B810,Production_Consumption!$AA$83:$AA$99,0),MATCH('County Scaled Consumption '!G$2,Production_Consumption!$AA$83:$AJ$83,0)))*'CA Population'!$L810*10^6</f>
        <v>23122.020913118493</v>
      </c>
      <c r="H810" s="143">
        <f>(INDEX(Production_Consumption!$AA$83:$AJ$99,MATCH('County Scaled Consumption '!$B810,Production_Consumption!$AA$83:$AA$99,0),MATCH('County Scaled Consumption '!H$2,Production_Consumption!$AA$83:$AJ$83,0)))*'CA Population'!$L810*10^6</f>
        <v>641.09144069523165</v>
      </c>
      <c r="I810" s="143">
        <f>(INDEX(Production_Consumption!$AA$83:$AJ$99,MATCH('County Scaled Consumption '!$B810,Production_Consumption!$AA$83:$AA$99,0),MATCH('County Scaled Consumption '!I$2,Production_Consumption!$AA$83:$AJ$83,0)))*'CA Population'!$L810*10^6</f>
        <v>12131.222670292642</v>
      </c>
      <c r="J810" s="143">
        <f>(INDEX(Production_Consumption!$AA$83:$AJ$99,MATCH('County Scaled Consumption '!$B810,Production_Consumption!$AA$83:$AA$99,0),MATCH('County Scaled Consumption '!J$2,Production_Consumption!$AA$83:$AJ$83,0)))*'CA Population'!$L810*10^6</f>
        <v>8410.5870084674916</v>
      </c>
      <c r="K810" s="143">
        <f>(INDEX(Production_Consumption!$AA$83:$AJ$99,MATCH('County Scaled Consumption '!$B810,Production_Consumption!$AA$83:$AA$99,0),MATCH('County Scaled Consumption '!K$2,Production_Consumption!$AA$83:$AJ$83,0)))*'CA Population'!$L810*10^6</f>
        <v>114637.88655736094</v>
      </c>
      <c r="L810" s="131">
        <f t="shared" si="12"/>
        <v>0</v>
      </c>
    </row>
    <row r="811" spans="1:12" x14ac:dyDescent="0.2">
      <c r="A811" s="132" t="s">
        <v>346</v>
      </c>
      <c r="B811" s="129">
        <v>2007</v>
      </c>
      <c r="C811" s="143">
        <f>(INDEX(Production_Consumption!$AA$83:$AJ$99,MATCH('County Scaled Consumption '!$B811,Production_Consumption!$AA$83:$AA$99,0),MATCH('County Scaled Consumption '!C$2,Production_Consumption!$AA$83:$AJ$83,0)))*'CA Population'!$L811*10^6</f>
        <v>5477.9179199529472</v>
      </c>
      <c r="D811" s="143">
        <f>(INDEX(Production_Consumption!$AA$83:$AJ$99,MATCH('County Scaled Consumption '!$B811,Production_Consumption!$AA$83:$AA$99,0),MATCH('County Scaled Consumption '!D$2,Production_Consumption!$AA$83:$AJ$83,0)))*'CA Population'!$L811*10^6</f>
        <v>20748.513368773347</v>
      </c>
      <c r="E811" s="143">
        <f>(INDEX(Production_Consumption!$AA$83:$AJ$99,MATCH('County Scaled Consumption '!$B811,Production_Consumption!$AA$83:$AA$99,0),MATCH('County Scaled Consumption '!E$2,Production_Consumption!$AA$83:$AJ$83,0)))*'CA Population'!$L811*10^6</f>
        <v>10477.407415251562</v>
      </c>
      <c r="F811" s="143">
        <f>(INDEX(Production_Consumption!$AA$83:$AJ$99,MATCH('County Scaled Consumption '!$B811,Production_Consumption!$AA$83:$AA$99,0),MATCH('County Scaled Consumption '!F$2,Production_Consumption!$AA$83:$AJ$83,0)))*'CA Population'!$L811*10^6</f>
        <v>4859.3098241090356</v>
      </c>
      <c r="G811" s="143">
        <f>(INDEX(Production_Consumption!$AA$83:$AJ$99,MATCH('County Scaled Consumption '!$B811,Production_Consumption!$AA$83:$AA$99,0),MATCH('County Scaled Consumption '!G$2,Production_Consumption!$AA$83:$AJ$83,0)))*'CA Population'!$L811*10^6</f>
        <v>13663.919841496036</v>
      </c>
      <c r="H811" s="143">
        <f>(INDEX(Production_Consumption!$AA$83:$AJ$99,MATCH('County Scaled Consumption '!$B811,Production_Consumption!$AA$83:$AA$99,0),MATCH('County Scaled Consumption '!H$2,Production_Consumption!$AA$83:$AJ$83,0)))*'CA Population'!$L811*10^6</f>
        <v>378.85192170892333</v>
      </c>
      <c r="I811" s="143">
        <f>(INDEX(Production_Consumption!$AA$83:$AJ$99,MATCH('County Scaled Consumption '!$B811,Production_Consumption!$AA$83:$AA$99,0),MATCH('County Scaled Consumption '!I$2,Production_Consumption!$AA$83:$AJ$83,0)))*'CA Population'!$L811*10^6</f>
        <v>7168.925881049292</v>
      </c>
      <c r="J811" s="143">
        <f>(INDEX(Production_Consumption!$AA$83:$AJ$99,MATCH('County Scaled Consumption '!$B811,Production_Consumption!$AA$83:$AA$99,0),MATCH('County Scaled Consumption '!J$2,Production_Consumption!$AA$83:$AJ$83,0)))*'CA Population'!$L811*10^6</f>
        <v>4970.2224185095311</v>
      </c>
      <c r="K811" s="143">
        <f>(INDEX(Production_Consumption!$AA$83:$AJ$99,MATCH('County Scaled Consumption '!$B811,Production_Consumption!$AA$83:$AA$99,0),MATCH('County Scaled Consumption '!K$2,Production_Consumption!$AA$83:$AJ$83,0)))*'CA Population'!$L811*10^6</f>
        <v>67745.068590850671</v>
      </c>
      <c r="L811" s="131">
        <f t="shared" si="12"/>
        <v>0</v>
      </c>
    </row>
    <row r="812" spans="1:12" x14ac:dyDescent="0.2">
      <c r="A812" s="132" t="s">
        <v>347</v>
      </c>
      <c r="B812" s="129">
        <v>2007</v>
      </c>
      <c r="C812" s="143">
        <f>(INDEX(Production_Consumption!$AA$83:$AJ$99,MATCH('County Scaled Consumption '!$B812,Production_Consumption!$AA$83:$AA$99,0),MATCH('County Scaled Consumption '!C$2,Production_Consumption!$AA$83:$AJ$83,0)))*'CA Population'!$L812*10^6</f>
        <v>22784.255465947081</v>
      </c>
      <c r="D812" s="143">
        <f>(INDEX(Production_Consumption!$AA$83:$AJ$99,MATCH('County Scaled Consumption '!$B812,Production_Consumption!$AA$83:$AA$99,0),MATCH('County Scaled Consumption '!D$2,Production_Consumption!$AA$83:$AJ$83,0)))*'CA Population'!$L812*10^6</f>
        <v>86299.107807152177</v>
      </c>
      <c r="E812" s="143">
        <f>(INDEX(Production_Consumption!$AA$83:$AJ$99,MATCH('County Scaled Consumption '!$B812,Production_Consumption!$AA$83:$AA$99,0),MATCH('County Scaled Consumption '!E$2,Production_Consumption!$AA$83:$AJ$83,0)))*'CA Population'!$L812*10^6</f>
        <v>43578.587824468595</v>
      </c>
      <c r="F812" s="143">
        <f>(INDEX(Production_Consumption!$AA$83:$AJ$99,MATCH('County Scaled Consumption '!$B812,Production_Consumption!$AA$83:$AA$99,0),MATCH('County Scaled Consumption '!F$2,Production_Consumption!$AA$83:$AJ$83,0)))*'CA Population'!$L812*10^6</f>
        <v>20211.284294241053</v>
      </c>
      <c r="G812" s="143">
        <f>(INDEX(Production_Consumption!$AA$83:$AJ$99,MATCH('County Scaled Consumption '!$B812,Production_Consumption!$AA$83:$AA$99,0),MATCH('County Scaled Consumption '!G$2,Production_Consumption!$AA$83:$AJ$83,0)))*'CA Population'!$L812*10^6</f>
        <v>56832.220724027007</v>
      </c>
      <c r="H812" s="143">
        <f>(INDEX(Production_Consumption!$AA$83:$AJ$99,MATCH('County Scaled Consumption '!$B812,Production_Consumption!$AA$83:$AA$99,0),MATCH('County Scaled Consumption '!H$2,Production_Consumption!$AA$83:$AJ$83,0)))*'CA Population'!$L812*10^6</f>
        <v>1575.755441048163</v>
      </c>
      <c r="I812" s="143">
        <f>(INDEX(Production_Consumption!$AA$83:$AJ$99,MATCH('County Scaled Consumption '!$B812,Production_Consumption!$AA$83:$AA$99,0),MATCH('County Scaled Consumption '!I$2,Production_Consumption!$AA$83:$AJ$83,0)))*'CA Population'!$L812*10^6</f>
        <v>29817.649894920265</v>
      </c>
      <c r="J812" s="143">
        <f>(INDEX(Production_Consumption!$AA$83:$AJ$99,MATCH('County Scaled Consumption '!$B812,Production_Consumption!$AA$83:$AA$99,0),MATCH('County Scaled Consumption '!J$2,Production_Consumption!$AA$83:$AJ$83,0)))*'CA Population'!$L812*10^6</f>
        <v>20672.60206536121</v>
      </c>
      <c r="K812" s="143">
        <f>(INDEX(Production_Consumption!$AA$83:$AJ$99,MATCH('County Scaled Consumption '!$B812,Production_Consumption!$AA$83:$AA$99,0),MATCH('County Scaled Consumption '!K$2,Production_Consumption!$AA$83:$AJ$83,0)))*'CA Population'!$L812*10^6</f>
        <v>281771.46351716551</v>
      </c>
      <c r="L812" s="131">
        <f t="shared" si="12"/>
        <v>0</v>
      </c>
    </row>
    <row r="813" spans="1:12" x14ac:dyDescent="0.2">
      <c r="A813" s="132" t="s">
        <v>348</v>
      </c>
      <c r="B813" s="129">
        <v>2007</v>
      </c>
      <c r="C813" s="143">
        <f>(INDEX(Production_Consumption!$AA$83:$AJ$99,MATCH('County Scaled Consumption '!$B813,Production_Consumption!$AA$83:$AA$99,0),MATCH('County Scaled Consumption '!C$2,Production_Consumption!$AA$83:$AJ$83,0)))*'CA Population'!$L813*10^6</f>
        <v>3388.3580396346933</v>
      </c>
      <c r="D813" s="143">
        <f>(INDEX(Production_Consumption!$AA$83:$AJ$99,MATCH('County Scaled Consumption '!$B813,Production_Consumption!$AA$83:$AA$99,0),MATCH('County Scaled Consumption '!D$2,Production_Consumption!$AA$83:$AJ$83,0)))*'CA Population'!$L813*10^6</f>
        <v>12833.962302990287</v>
      </c>
      <c r="E813" s="143">
        <f>(INDEX(Production_Consumption!$AA$83:$AJ$99,MATCH('County Scaled Consumption '!$B813,Production_Consumption!$AA$83:$AA$99,0),MATCH('County Scaled Consumption '!E$2,Production_Consumption!$AA$83:$AJ$83,0)))*'CA Population'!$L813*10^6</f>
        <v>6480.7848837393158</v>
      </c>
      <c r="F813" s="143">
        <f>(INDEX(Production_Consumption!$AA$83:$AJ$99,MATCH('County Scaled Consumption '!$B813,Production_Consumption!$AA$83:$AA$99,0),MATCH('County Scaled Consumption '!F$2,Production_Consumption!$AA$83:$AJ$83,0)))*'CA Population'!$L813*10^6</f>
        <v>3005.7189155067013</v>
      </c>
      <c r="G813" s="143">
        <f>(INDEX(Production_Consumption!$AA$83:$AJ$99,MATCH('County Scaled Consumption '!$B813,Production_Consumption!$AA$83:$AA$99,0),MATCH('County Scaled Consumption '!G$2,Production_Consumption!$AA$83:$AJ$83,0)))*'CA Population'!$L813*10^6</f>
        <v>8451.7974391727967</v>
      </c>
      <c r="H813" s="143">
        <f>(INDEX(Production_Consumption!$AA$83:$AJ$99,MATCH('County Scaled Consumption '!$B813,Production_Consumption!$AA$83:$AA$99,0),MATCH('County Scaled Consumption '!H$2,Production_Consumption!$AA$83:$AJ$83,0)))*'CA Population'!$L813*10^6</f>
        <v>234.33829668709421</v>
      </c>
      <c r="I813" s="143">
        <f>(INDEX(Production_Consumption!$AA$83:$AJ$99,MATCH('County Scaled Consumption '!$B813,Production_Consumption!$AA$83:$AA$99,0),MATCH('County Scaled Consumption '!I$2,Production_Consumption!$AA$83:$AJ$83,0)))*'CA Population'!$L813*10^6</f>
        <v>4434.3285167016966</v>
      </c>
      <c r="J813" s="143">
        <f>(INDEX(Production_Consumption!$AA$83:$AJ$99,MATCH('County Scaled Consumption '!$B813,Production_Consumption!$AA$83:$AA$99,0),MATCH('County Scaled Consumption '!J$2,Production_Consumption!$AA$83:$AJ$83,0)))*'CA Population'!$L813*10^6</f>
        <v>3074.3237369781573</v>
      </c>
      <c r="K813" s="143">
        <f>(INDEX(Production_Consumption!$AA$83:$AJ$99,MATCH('County Scaled Consumption '!$B813,Production_Consumption!$AA$83:$AA$99,0),MATCH('County Scaled Consumption '!K$2,Production_Consumption!$AA$83:$AJ$83,0)))*'CA Population'!$L813*10^6</f>
        <v>41903.612131410744</v>
      </c>
      <c r="L813" s="131">
        <f t="shared" si="12"/>
        <v>0</v>
      </c>
    </row>
    <row r="814" spans="1:12" x14ac:dyDescent="0.2">
      <c r="A814" s="132" t="s">
        <v>349</v>
      </c>
      <c r="B814" s="129">
        <v>2007</v>
      </c>
      <c r="C814" s="143">
        <f>(INDEX(Production_Consumption!$AA$83:$AJ$99,MATCH('County Scaled Consumption '!$B814,Production_Consumption!$AA$83:$AA$99,0),MATCH('County Scaled Consumption '!C$2,Production_Consumption!$AA$83:$AJ$83,0)))*'CA Population'!$L814*10^6</f>
        <v>2318.5692083810968</v>
      </c>
      <c r="D814" s="143">
        <f>(INDEX(Production_Consumption!$AA$83:$AJ$99,MATCH('County Scaled Consumption '!$B814,Production_Consumption!$AA$83:$AA$99,0),MATCH('County Scaled Consumption '!D$2,Production_Consumption!$AA$83:$AJ$83,0)))*'CA Population'!$L814*10^6</f>
        <v>8781.9614896556632</v>
      </c>
      <c r="E814" s="143">
        <f>(INDEX(Production_Consumption!$AA$83:$AJ$99,MATCH('County Scaled Consumption '!$B814,Production_Consumption!$AA$83:$AA$99,0),MATCH('County Scaled Consumption '!E$2,Production_Consumption!$AA$83:$AJ$83,0)))*'CA Population'!$L814*10^6</f>
        <v>4434.6400533279093</v>
      </c>
      <c r="F814" s="143">
        <f>(INDEX(Production_Consumption!$AA$83:$AJ$99,MATCH('County Scaled Consumption '!$B814,Production_Consumption!$AA$83:$AA$99,0),MATCH('County Scaled Consumption '!F$2,Production_Consumption!$AA$83:$AJ$83,0)))*'CA Population'!$L814*10^6</f>
        <v>2056.7387640338629</v>
      </c>
      <c r="G814" s="143">
        <f>(INDEX(Production_Consumption!$AA$83:$AJ$99,MATCH('County Scaled Consumption '!$B814,Production_Consumption!$AA$83:$AA$99,0),MATCH('County Scaled Consumption '!G$2,Production_Consumption!$AA$83:$AJ$83,0)))*'CA Population'!$L814*10^6</f>
        <v>5783.3549668360774</v>
      </c>
      <c r="H814" s="143">
        <f>(INDEX(Production_Consumption!$AA$83:$AJ$99,MATCH('County Scaled Consumption '!$B814,Production_Consumption!$AA$83:$AA$99,0),MATCH('County Scaled Consumption '!H$2,Production_Consumption!$AA$83:$AJ$83,0)))*'CA Population'!$L814*10^6</f>
        <v>160.35187329310341</v>
      </c>
      <c r="I814" s="143">
        <f>(INDEX(Production_Consumption!$AA$83:$AJ$99,MATCH('County Scaled Consumption '!$B814,Production_Consumption!$AA$83:$AA$99,0),MATCH('County Scaled Consumption '!I$2,Production_Consumption!$AA$83:$AJ$83,0)))*'CA Population'!$L814*10^6</f>
        <v>3034.3008142608296</v>
      </c>
      <c r="J814" s="143">
        <f>(INDEX(Production_Consumption!$AA$83:$AJ$99,MATCH('County Scaled Consumption '!$B814,Production_Consumption!$AA$83:$AA$99,0),MATCH('County Scaled Consumption '!J$2,Production_Consumption!$AA$83:$AJ$83,0)))*'CA Population'!$L814*10^6</f>
        <v>2103.6833385887257</v>
      </c>
      <c r="K814" s="143">
        <f>(INDEX(Production_Consumption!$AA$83:$AJ$99,MATCH('County Scaled Consumption '!$B814,Production_Consumption!$AA$83:$AA$99,0),MATCH('County Scaled Consumption '!K$2,Production_Consumption!$AA$83:$AJ$83,0)))*'CA Population'!$L814*10^6</f>
        <v>28673.600508377265</v>
      </c>
      <c r="L814" s="131">
        <f t="shared" si="12"/>
        <v>0</v>
      </c>
    </row>
    <row r="815" spans="1:12" x14ac:dyDescent="0.2">
      <c r="A815" s="132" t="s">
        <v>350</v>
      </c>
      <c r="B815" s="129">
        <v>2007</v>
      </c>
      <c r="C815" s="143">
        <f>(INDEX(Production_Consumption!$AA$83:$AJ$99,MATCH('County Scaled Consumption '!$B815,Production_Consumption!$AA$83:$AA$99,0),MATCH('County Scaled Consumption '!C$2,Production_Consumption!$AA$83:$AJ$83,0)))*'CA Population'!$L815*10^6</f>
        <v>44.6950554336848</v>
      </c>
      <c r="D815" s="143">
        <f>(INDEX(Production_Consumption!$AA$83:$AJ$99,MATCH('County Scaled Consumption '!$B815,Production_Consumption!$AA$83:$AA$99,0),MATCH('County Scaled Consumption '!D$2,Production_Consumption!$AA$83:$AJ$83,0)))*'CA Population'!$L815*10^6</f>
        <v>169.2898595296661</v>
      </c>
      <c r="E815" s="143">
        <f>(INDEX(Production_Consumption!$AA$83:$AJ$99,MATCH('County Scaled Consumption '!$B815,Production_Consumption!$AA$83:$AA$99,0),MATCH('County Scaled Consumption '!E$2,Production_Consumption!$AA$83:$AJ$83,0)))*'CA Population'!$L815*10^6</f>
        <v>85.486550194602259</v>
      </c>
      <c r="F815" s="143">
        <f>(INDEX(Production_Consumption!$AA$83:$AJ$99,MATCH('County Scaled Consumption '!$B815,Production_Consumption!$AA$83:$AA$99,0),MATCH('County Scaled Consumption '!F$2,Production_Consumption!$AA$83:$AJ$83,0)))*'CA Population'!$L815*10^6</f>
        <v>39.647750318951118</v>
      </c>
      <c r="G815" s="143">
        <f>(INDEX(Production_Consumption!$AA$83:$AJ$99,MATCH('County Scaled Consumption '!$B815,Production_Consumption!$AA$83:$AA$99,0),MATCH('County Scaled Consumption '!G$2,Production_Consumption!$AA$83:$AJ$83,0)))*'CA Population'!$L815*10^6</f>
        <v>111.4857257230201</v>
      </c>
      <c r="H815" s="143">
        <f>(INDEX(Production_Consumption!$AA$83:$AJ$99,MATCH('County Scaled Consumption '!$B815,Production_Consumption!$AA$83:$AA$99,0),MATCH('County Scaled Consumption '!H$2,Production_Consumption!$AA$83:$AJ$83,0)))*'CA Population'!$L815*10^6</f>
        <v>3.0911028404171104</v>
      </c>
      <c r="I815" s="143">
        <f>(INDEX(Production_Consumption!$AA$83:$AJ$99,MATCH('County Scaled Consumption '!$B815,Production_Consumption!$AA$83:$AA$99,0),MATCH('County Scaled Consumption '!I$2,Production_Consumption!$AA$83:$AJ$83,0)))*'CA Population'!$L815*10^6</f>
        <v>58.492212613552276</v>
      </c>
      <c r="J815" s="143">
        <f>(INDEX(Production_Consumption!$AA$83:$AJ$99,MATCH('County Scaled Consumption '!$B815,Production_Consumption!$AA$83:$AA$99,0),MATCH('County Scaled Consumption '!J$2,Production_Consumption!$AA$83:$AJ$83,0)))*'CA Population'!$L815*10^6</f>
        <v>40.552700817929477</v>
      </c>
      <c r="K815" s="143">
        <f>(INDEX(Production_Consumption!$AA$83:$AJ$99,MATCH('County Scaled Consumption '!$B815,Production_Consumption!$AA$83:$AA$99,0),MATCH('County Scaled Consumption '!K$2,Production_Consumption!$AA$83:$AJ$83,0)))*'CA Population'!$L815*10^6</f>
        <v>552.74095747182321</v>
      </c>
      <c r="L815" s="131">
        <f t="shared" si="12"/>
        <v>0</v>
      </c>
    </row>
    <row r="816" spans="1:12" x14ac:dyDescent="0.2">
      <c r="A816" s="132" t="s">
        <v>351</v>
      </c>
      <c r="B816" s="129">
        <v>2007</v>
      </c>
      <c r="C816" s="143">
        <f>(INDEX(Production_Consumption!$AA$83:$AJ$99,MATCH('County Scaled Consumption '!$B816,Production_Consumption!$AA$83:$AA$99,0),MATCH('County Scaled Consumption '!C$2,Production_Consumption!$AA$83:$AJ$83,0)))*'CA Population'!$L816*10^6</f>
        <v>592.72458708554166</v>
      </c>
      <c r="D816" s="143">
        <f>(INDEX(Production_Consumption!$AA$83:$AJ$99,MATCH('County Scaled Consumption '!$B816,Production_Consumption!$AA$83:$AA$99,0),MATCH('County Scaled Consumption '!D$2,Production_Consumption!$AA$83:$AJ$83,0)))*'CA Population'!$L816*10^6</f>
        <v>2245.0416743832225</v>
      </c>
      <c r="E816" s="143">
        <f>(INDEX(Production_Consumption!$AA$83:$AJ$99,MATCH('County Scaled Consumption '!$B816,Production_Consumption!$AA$83:$AA$99,0),MATCH('County Scaled Consumption '!E$2,Production_Consumption!$AA$83:$AJ$83,0)))*'CA Population'!$L816*10^6</f>
        <v>1133.6820074122829</v>
      </c>
      <c r="F816" s="143">
        <f>(INDEX(Production_Consumption!$AA$83:$AJ$99,MATCH('County Scaled Consumption '!$B816,Production_Consumption!$AA$83:$AA$99,0),MATCH('County Scaled Consumption '!F$2,Production_Consumption!$AA$83:$AJ$83,0)))*'CA Population'!$L816*10^6</f>
        <v>525.78962501878527</v>
      </c>
      <c r="G816" s="143">
        <f>(INDEX(Production_Consumption!$AA$83:$AJ$99,MATCH('County Scaled Consumption '!$B816,Production_Consumption!$AA$83:$AA$99,0),MATCH('County Scaled Consumption '!G$2,Production_Consumption!$AA$83:$AJ$83,0)))*'CA Population'!$L816*10^6</f>
        <v>1478.4707190520014</v>
      </c>
      <c r="H816" s="143">
        <f>(INDEX(Production_Consumption!$AA$83:$AJ$99,MATCH('County Scaled Consumption '!$B816,Production_Consumption!$AA$83:$AA$99,0),MATCH('County Scaled Consumption '!H$2,Production_Consumption!$AA$83:$AJ$83,0)))*'CA Population'!$L816*10^6</f>
        <v>40.992737047694632</v>
      </c>
      <c r="I816" s="143">
        <f>(INDEX(Production_Consumption!$AA$83:$AJ$99,MATCH('County Scaled Consumption '!$B816,Production_Consumption!$AA$83:$AA$99,0),MATCH('County Scaled Consumption '!I$2,Production_Consumption!$AA$83:$AJ$83,0)))*'CA Population'!$L816*10^6</f>
        <v>775.69592950897913</v>
      </c>
      <c r="J816" s="143">
        <f>(INDEX(Production_Consumption!$AA$83:$AJ$99,MATCH('County Scaled Consumption '!$B816,Production_Consumption!$AA$83:$AA$99,0),MATCH('County Scaled Consumption '!J$2,Production_Consumption!$AA$83:$AJ$83,0)))*'CA Population'!$L816*10^6</f>
        <v>537.79064852429713</v>
      </c>
      <c r="K816" s="143">
        <f>(INDEX(Production_Consumption!$AA$83:$AJ$99,MATCH('County Scaled Consumption '!$B816,Production_Consumption!$AA$83:$AA$99,0),MATCH('County Scaled Consumption '!K$2,Production_Consumption!$AA$83:$AJ$83,0)))*'CA Population'!$L816*10^6</f>
        <v>7330.1879280328039</v>
      </c>
      <c r="L816" s="131">
        <f t="shared" si="12"/>
        <v>0</v>
      </c>
    </row>
    <row r="817" spans="1:12" x14ac:dyDescent="0.2">
      <c r="A817" s="132" t="s">
        <v>352</v>
      </c>
      <c r="B817" s="129">
        <v>2007</v>
      </c>
      <c r="C817" s="143">
        <f>(INDEX(Production_Consumption!$AA$83:$AJ$99,MATCH('County Scaled Consumption '!$B817,Production_Consumption!$AA$83:$AA$99,0),MATCH('County Scaled Consumption '!C$2,Production_Consumption!$AA$83:$AJ$83,0)))*'CA Population'!$L817*10^6</f>
        <v>5441.5701680163329</v>
      </c>
      <c r="D817" s="143">
        <f>(INDEX(Production_Consumption!$AA$83:$AJ$99,MATCH('County Scaled Consumption '!$B817,Production_Consumption!$AA$83:$AA$99,0),MATCH('County Scaled Consumption '!D$2,Production_Consumption!$AA$83:$AJ$83,0)))*'CA Population'!$L817*10^6</f>
        <v>20610.840291519908</v>
      </c>
      <c r="E817" s="143">
        <f>(INDEX(Production_Consumption!$AA$83:$AJ$99,MATCH('County Scaled Consumption '!$B817,Production_Consumption!$AA$83:$AA$99,0),MATCH('County Scaled Consumption '!E$2,Production_Consumption!$AA$83:$AJ$83,0)))*'CA Population'!$L817*10^6</f>
        <v>10407.886438261152</v>
      </c>
      <c r="F817" s="143">
        <f>(INDEX(Production_Consumption!$AA$83:$AJ$99,MATCH('County Scaled Consumption '!$B817,Production_Consumption!$AA$83:$AA$99,0),MATCH('County Scaled Consumption '!F$2,Production_Consumption!$AA$83:$AJ$83,0)))*'CA Population'!$L817*10^6</f>
        <v>4827.0667363792018</v>
      </c>
      <c r="G817" s="143">
        <f>(INDEX(Production_Consumption!$AA$83:$AJ$99,MATCH('County Scaled Consumption '!$B817,Production_Consumption!$AA$83:$AA$99,0),MATCH('County Scaled Consumption '!G$2,Production_Consumption!$AA$83:$AJ$83,0)))*'CA Population'!$L817*10^6</f>
        <v>13573.255326960058</v>
      </c>
      <c r="H817" s="143">
        <f>(INDEX(Production_Consumption!$AA$83:$AJ$99,MATCH('County Scaled Consumption '!$B817,Production_Consumption!$AA$83:$AA$99,0),MATCH('County Scaled Consumption '!H$2,Production_Consumption!$AA$83:$AJ$83,0)))*'CA Population'!$L817*10^6</f>
        <v>376.33811703491978</v>
      </c>
      <c r="I817" s="143">
        <f>(INDEX(Production_Consumption!$AA$83:$AJ$99,MATCH('County Scaled Consumption '!$B817,Production_Consumption!$AA$83:$AA$99,0),MATCH('County Scaled Consumption '!I$2,Production_Consumption!$AA$83:$AJ$83,0)))*'CA Population'!$L817*10^6</f>
        <v>7121.3577459687676</v>
      </c>
      <c r="J817" s="143">
        <f>(INDEX(Production_Consumption!$AA$83:$AJ$99,MATCH('County Scaled Consumption '!$B817,Production_Consumption!$AA$83:$AA$99,0),MATCH('County Scaled Consumption '!J$2,Production_Consumption!$AA$83:$AJ$83,0)))*'CA Population'!$L817*10^6</f>
        <v>4937.2433899483776</v>
      </c>
      <c r="K817" s="143">
        <f>(INDEX(Production_Consumption!$AA$83:$AJ$99,MATCH('County Scaled Consumption '!$B817,Production_Consumption!$AA$83:$AA$99,0),MATCH('County Scaled Consumption '!K$2,Production_Consumption!$AA$83:$AJ$83,0)))*'CA Population'!$L817*10^6</f>
        <v>67295.558214088713</v>
      </c>
      <c r="L817" s="131">
        <f t="shared" si="12"/>
        <v>0</v>
      </c>
    </row>
    <row r="818" spans="1:12" x14ac:dyDescent="0.2">
      <c r="A818" s="132" t="s">
        <v>353</v>
      </c>
      <c r="B818" s="129">
        <v>2007</v>
      </c>
      <c r="C818" s="143">
        <f>(INDEX(Production_Consumption!$AA$83:$AJ$99,MATCH('County Scaled Consumption '!$B818,Production_Consumption!$AA$83:$AA$99,0),MATCH('County Scaled Consumption '!C$2,Production_Consumption!$AA$83:$AJ$83,0)))*'CA Population'!$L818*10^6</f>
        <v>6227.1808631259682</v>
      </c>
      <c r="D818" s="143">
        <f>(INDEX(Production_Consumption!$AA$83:$AJ$99,MATCH('County Scaled Consumption '!$B818,Production_Consumption!$AA$83:$AA$99,0),MATCH('County Scaled Consumption '!D$2,Production_Consumption!$AA$83:$AJ$83,0)))*'CA Population'!$L818*10^6</f>
        <v>23586.469763944275</v>
      </c>
      <c r="E818" s="143">
        <f>(INDEX(Production_Consumption!$AA$83:$AJ$99,MATCH('County Scaled Consumption '!$B818,Production_Consumption!$AA$83:$AA$99,0),MATCH('County Scaled Consumption '!E$2,Production_Consumption!$AA$83:$AJ$83,0)))*'CA Population'!$L818*10^6</f>
        <v>11910.494444208294</v>
      </c>
      <c r="F818" s="143">
        <f>(INDEX(Production_Consumption!$AA$83:$AJ$99,MATCH('County Scaled Consumption '!$B818,Production_Consumption!$AA$83:$AA$99,0),MATCH('County Scaled Consumption '!F$2,Production_Consumption!$AA$83:$AJ$83,0)))*'CA Population'!$L818*10^6</f>
        <v>5523.96030515034</v>
      </c>
      <c r="G818" s="143">
        <f>(INDEX(Production_Consumption!$AA$83:$AJ$99,MATCH('County Scaled Consumption '!$B818,Production_Consumption!$AA$83:$AA$99,0),MATCH('County Scaled Consumption '!G$2,Production_Consumption!$AA$83:$AJ$83,0)))*'CA Population'!$L818*10^6</f>
        <v>15532.854160213887</v>
      </c>
      <c r="H818" s="143">
        <f>(INDEX(Production_Consumption!$AA$83:$AJ$99,MATCH('County Scaled Consumption '!$B818,Production_Consumption!$AA$83:$AA$99,0),MATCH('County Scaled Consumption '!H$2,Production_Consumption!$AA$83:$AJ$83,0)))*'CA Population'!$L818*10^6</f>
        <v>430.67082626980454</v>
      </c>
      <c r="I818" s="143">
        <f>(INDEX(Production_Consumption!$AA$83:$AJ$99,MATCH('County Scaled Consumption '!$B818,Production_Consumption!$AA$83:$AA$99,0),MATCH('County Scaled Consumption '!I$2,Production_Consumption!$AA$83:$AJ$83,0)))*'CA Population'!$L818*10^6</f>
        <v>8149.4828341681477</v>
      </c>
      <c r="J818" s="143">
        <f>(INDEX(Production_Consumption!$AA$83:$AJ$99,MATCH('County Scaled Consumption '!$B818,Production_Consumption!$AA$83:$AA$99,0),MATCH('County Scaled Consumption '!J$2,Production_Consumption!$AA$83:$AJ$83,0)))*'CA Population'!$L818*10^6</f>
        <v>5650.0433891656539</v>
      </c>
      <c r="K818" s="143">
        <f>(INDEX(Production_Consumption!$AA$83:$AJ$99,MATCH('County Scaled Consumption '!$B818,Production_Consumption!$AA$83:$AA$99,0),MATCH('County Scaled Consumption '!K$2,Production_Consumption!$AA$83:$AJ$83,0)))*'CA Population'!$L818*10^6</f>
        <v>77011.156586246361</v>
      </c>
      <c r="L818" s="131">
        <f t="shared" si="12"/>
        <v>0</v>
      </c>
    </row>
    <row r="819" spans="1:12" x14ac:dyDescent="0.2">
      <c r="A819" s="132" t="s">
        <v>354</v>
      </c>
      <c r="B819" s="129">
        <v>2007</v>
      </c>
      <c r="C819" s="143">
        <f>(INDEX(Production_Consumption!$AA$83:$AJ$99,MATCH('County Scaled Consumption '!$B819,Production_Consumption!$AA$83:$AA$99,0),MATCH('County Scaled Consumption '!C$2,Production_Consumption!$AA$83:$AJ$83,0)))*'CA Population'!$L819*10^6</f>
        <v>6682.5843830294698</v>
      </c>
      <c r="D819" s="143">
        <f>(INDEX(Production_Consumption!$AA$83:$AJ$99,MATCH('County Scaled Consumption '!$B819,Production_Consumption!$AA$83:$AA$99,0),MATCH('County Scaled Consumption '!D$2,Production_Consumption!$AA$83:$AJ$83,0)))*'CA Population'!$L819*10^6</f>
        <v>25311.385353951042</v>
      </c>
      <c r="E819" s="143">
        <f>(INDEX(Production_Consumption!$AA$83:$AJ$99,MATCH('County Scaled Consumption '!$B819,Production_Consumption!$AA$83:$AA$99,0),MATCH('County Scaled Consumption '!E$2,Production_Consumption!$AA$83:$AJ$83,0)))*'CA Population'!$L819*10^6</f>
        <v>12781.527615221856</v>
      </c>
      <c r="F819" s="143">
        <f>(INDEX(Production_Consumption!$AA$83:$AJ$99,MATCH('County Scaled Consumption '!$B819,Production_Consumption!$AA$83:$AA$99,0),MATCH('County Scaled Consumption '!F$2,Production_Consumption!$AA$83:$AJ$83,0)))*'CA Population'!$L819*10^6</f>
        <v>5927.9362008351618</v>
      </c>
      <c r="G819" s="143">
        <f>(INDEX(Production_Consumption!$AA$83:$AJ$99,MATCH('County Scaled Consumption '!$B819,Production_Consumption!$AA$83:$AA$99,0),MATCH('County Scaled Consumption '!G$2,Production_Consumption!$AA$83:$AJ$83,0)))*'CA Population'!$L819*10^6</f>
        <v>16668.796188266409</v>
      </c>
      <c r="H819" s="143">
        <f>(INDEX(Production_Consumption!$AA$83:$AJ$99,MATCH('County Scaled Consumption '!$B819,Production_Consumption!$AA$83:$AA$99,0),MATCH('County Scaled Consumption '!H$2,Production_Consumption!$AA$83:$AJ$83,0)))*'CA Population'!$L819*10^6</f>
        <v>462.16646041211607</v>
      </c>
      <c r="I819" s="143">
        <f>(INDEX(Production_Consumption!$AA$83:$AJ$99,MATCH('County Scaled Consumption '!$B819,Production_Consumption!$AA$83:$AA$99,0),MATCH('County Scaled Consumption '!I$2,Production_Consumption!$AA$83:$AJ$83,0)))*'CA Population'!$L819*10^6</f>
        <v>8745.4673172991425</v>
      </c>
      <c r="J819" s="143">
        <f>(INDEX(Production_Consumption!$AA$83:$AJ$99,MATCH('County Scaled Consumption '!$B819,Production_Consumption!$AA$83:$AA$99,0),MATCH('County Scaled Consumption '!J$2,Production_Consumption!$AA$83:$AJ$83,0)))*'CA Population'!$L819*10^6</f>
        <v>6063.2399388707981</v>
      </c>
      <c r="K819" s="143">
        <f>(INDEX(Production_Consumption!$AA$83:$AJ$99,MATCH('County Scaled Consumption '!$B819,Production_Consumption!$AA$83:$AA$99,0),MATCH('County Scaled Consumption '!K$2,Production_Consumption!$AA$83:$AJ$83,0)))*'CA Population'!$L819*10^6</f>
        <v>82643.103457885984</v>
      </c>
      <c r="L819" s="131">
        <f t="shared" si="12"/>
        <v>0</v>
      </c>
    </row>
    <row r="820" spans="1:12" x14ac:dyDescent="0.2">
      <c r="A820" s="132" t="s">
        <v>355</v>
      </c>
      <c r="B820" s="129">
        <v>2007</v>
      </c>
      <c r="C820" s="143">
        <f>(INDEX(Production_Consumption!$AA$83:$AJ$99,MATCH('County Scaled Consumption '!$B820,Production_Consumption!$AA$83:$AA$99,0),MATCH('County Scaled Consumption '!C$2,Production_Consumption!$AA$83:$AJ$83,0)))*'CA Population'!$L820*10^6</f>
        <v>1209.3420096555797</v>
      </c>
      <c r="D820" s="143">
        <f>(INDEX(Production_Consumption!$AA$83:$AJ$99,MATCH('County Scaled Consumption '!$B820,Production_Consumption!$AA$83:$AA$99,0),MATCH('County Scaled Consumption '!D$2,Production_Consumption!$AA$83:$AJ$83,0)))*'CA Population'!$L820*10^6</f>
        <v>4580.5813853767186</v>
      </c>
      <c r="E820" s="143">
        <f>(INDEX(Production_Consumption!$AA$83:$AJ$99,MATCH('County Scaled Consumption '!$B820,Production_Consumption!$AA$83:$AA$99,0),MATCH('County Scaled Consumption '!E$2,Production_Consumption!$AA$83:$AJ$83,0)))*'CA Population'!$L820*10^6</f>
        <v>2313.0629419232764</v>
      </c>
      <c r="F820" s="143">
        <f>(INDEX(Production_Consumption!$AA$83:$AJ$99,MATCH('County Scaled Consumption '!$B820,Production_Consumption!$AA$83:$AA$99,0),MATCH('County Scaled Consumption '!F$2,Production_Consumption!$AA$83:$AJ$83,0)))*'CA Population'!$L820*10^6</f>
        <v>1072.7739250750951</v>
      </c>
      <c r="G820" s="143">
        <f>(INDEX(Production_Consumption!$AA$83:$AJ$99,MATCH('County Scaled Consumption '!$B820,Production_Consumption!$AA$83:$AA$99,0),MATCH('County Scaled Consumption '!G$2,Production_Consumption!$AA$83:$AJ$83,0)))*'CA Population'!$L820*10^6</f>
        <v>3016.5388606314691</v>
      </c>
      <c r="H820" s="143">
        <f>(INDEX(Production_Consumption!$AA$83:$AJ$99,MATCH('County Scaled Consumption '!$B820,Production_Consumption!$AA$83:$AA$99,0),MATCH('County Scaled Consumption '!H$2,Production_Consumption!$AA$83:$AJ$83,0)))*'CA Population'!$L820*10^6</f>
        <v>83.63789875210162</v>
      </c>
      <c r="I820" s="143">
        <f>(INDEX(Production_Consumption!$AA$83:$AJ$99,MATCH('County Scaled Consumption '!$B820,Production_Consumption!$AA$83:$AA$99,0),MATCH('County Scaled Consumption '!I$2,Production_Consumption!$AA$83:$AJ$83,0)))*'CA Population'!$L820*10^6</f>
        <v>1582.660302462969</v>
      </c>
      <c r="J820" s="143">
        <f>(INDEX(Production_Consumption!$AA$83:$AJ$99,MATCH('County Scaled Consumption '!$B820,Production_Consumption!$AA$83:$AA$99,0),MATCH('County Scaled Consumption '!J$2,Production_Consumption!$AA$83:$AJ$83,0)))*'CA Population'!$L820*10^6</f>
        <v>1097.2597355177534</v>
      </c>
      <c r="K820" s="143">
        <f>(INDEX(Production_Consumption!$AA$83:$AJ$99,MATCH('County Scaled Consumption '!$B820,Production_Consumption!$AA$83:$AA$99,0),MATCH('County Scaled Consumption '!K$2,Production_Consumption!$AA$83:$AJ$83,0)))*'CA Population'!$L820*10^6</f>
        <v>14955.857059394961</v>
      </c>
      <c r="L820" s="131">
        <f t="shared" si="12"/>
        <v>0</v>
      </c>
    </row>
    <row r="821" spans="1:12" x14ac:dyDescent="0.2">
      <c r="A821" s="132" t="s">
        <v>356</v>
      </c>
      <c r="B821" s="129">
        <v>2007</v>
      </c>
      <c r="C821" s="143">
        <f>(INDEX(Production_Consumption!$AA$83:$AJ$99,MATCH('County Scaled Consumption '!$B821,Production_Consumption!$AA$83:$AA$99,0),MATCH('County Scaled Consumption '!C$2,Production_Consumption!$AA$83:$AJ$83,0)))*'CA Population'!$L821*10^6</f>
        <v>815.93570908000777</v>
      </c>
      <c r="D821" s="143">
        <f>(INDEX(Production_Consumption!$AA$83:$AJ$99,MATCH('County Scaled Consumption '!$B821,Production_Consumption!$AA$83:$AA$99,0),MATCH('County Scaled Consumption '!D$2,Production_Consumption!$AA$83:$AJ$83,0)))*'CA Population'!$L821*10^6</f>
        <v>3090.4904409468622</v>
      </c>
      <c r="E821" s="143">
        <f>(INDEX(Production_Consumption!$AA$83:$AJ$99,MATCH('County Scaled Consumption '!$B821,Production_Consumption!$AA$83:$AA$99,0),MATCH('County Scaled Consumption '!E$2,Production_Consumption!$AA$83:$AJ$83,0)))*'CA Population'!$L821*10^6</f>
        <v>1560.6095187269336</v>
      </c>
      <c r="F821" s="143">
        <f>(INDEX(Production_Consumption!$AA$83:$AJ$99,MATCH('County Scaled Consumption '!$B821,Production_Consumption!$AA$83:$AA$99,0),MATCH('County Scaled Consumption '!F$2,Production_Consumption!$AA$83:$AJ$83,0)))*'CA Population'!$L821*10^6</f>
        <v>723.79405184806251</v>
      </c>
      <c r="G821" s="143">
        <f>(INDEX(Production_Consumption!$AA$83:$AJ$99,MATCH('County Scaled Consumption '!$B821,Production_Consumption!$AA$83:$AA$99,0),MATCH('County Scaled Consumption '!G$2,Production_Consumption!$AA$83:$AJ$83,0)))*'CA Population'!$L821*10^6</f>
        <v>2035.2404485789048</v>
      </c>
      <c r="H821" s="143">
        <f>(INDEX(Production_Consumption!$AA$83:$AJ$99,MATCH('County Scaled Consumption '!$B821,Production_Consumption!$AA$83:$AA$99,0),MATCH('County Scaled Consumption '!H$2,Production_Consumption!$AA$83:$AJ$83,0)))*'CA Population'!$L821*10^6</f>
        <v>56.42998232046331</v>
      </c>
      <c r="I821" s="143">
        <f>(INDEX(Production_Consumption!$AA$83:$AJ$99,MATCH('County Scaled Consumption '!$B821,Production_Consumption!$AA$83:$AA$99,0),MATCH('County Scaled Consumption '!I$2,Production_Consumption!$AA$83:$AJ$83,0)))*'CA Population'!$L821*10^6</f>
        <v>1067.8112939206321</v>
      </c>
      <c r="J821" s="143">
        <f>(INDEX(Production_Consumption!$AA$83:$AJ$99,MATCH('County Scaled Consumption '!$B821,Production_Consumption!$AA$83:$AA$99,0),MATCH('County Scaled Consumption '!J$2,Production_Consumption!$AA$83:$AJ$83,0)))*'CA Population'!$L821*10^6</f>
        <v>740.31447944126182</v>
      </c>
      <c r="K821" s="143">
        <f>(INDEX(Production_Consumption!$AA$83:$AJ$99,MATCH('County Scaled Consumption '!$B821,Production_Consumption!$AA$83:$AA$99,0),MATCH('County Scaled Consumption '!K$2,Production_Consumption!$AA$83:$AJ$83,0)))*'CA Population'!$L821*10^6</f>
        <v>10090.625924863127</v>
      </c>
      <c r="L821" s="131">
        <f t="shared" si="12"/>
        <v>0</v>
      </c>
    </row>
    <row r="822" spans="1:12" x14ac:dyDescent="0.2">
      <c r="A822" s="132" t="s">
        <v>357</v>
      </c>
      <c r="B822" s="129">
        <v>2007</v>
      </c>
      <c r="C822" s="143">
        <f>(INDEX(Production_Consumption!$AA$83:$AJ$99,MATCH('County Scaled Consumption '!$B822,Production_Consumption!$AA$83:$AA$99,0),MATCH('County Scaled Consumption '!C$2,Production_Consumption!$AA$83:$AJ$83,0)))*'CA Population'!$L822*10^6</f>
        <v>182.3463165831715</v>
      </c>
      <c r="D822" s="143">
        <f>(INDEX(Production_Consumption!$AA$83:$AJ$99,MATCH('County Scaled Consumption '!$B822,Production_Consumption!$AA$83:$AA$99,0),MATCH('County Scaled Consumption '!D$2,Production_Consumption!$AA$83:$AJ$83,0)))*'CA Population'!$L822*10^6</f>
        <v>690.66660776198864</v>
      </c>
      <c r="E822" s="143">
        <f>(INDEX(Production_Consumption!$AA$83:$AJ$99,MATCH('County Scaled Consumption '!$B822,Production_Consumption!$AA$83:$AA$99,0),MATCH('County Scaled Consumption '!E$2,Production_Consumption!$AA$83:$AJ$83,0)))*'CA Population'!$L822*10^6</f>
        <v>348.76693616627614</v>
      </c>
      <c r="F822" s="143">
        <f>(INDEX(Production_Consumption!$AA$83:$AJ$99,MATCH('County Scaled Consumption '!$B822,Production_Consumption!$AA$83:$AA$99,0),MATCH('County Scaled Consumption '!F$2,Production_Consumption!$AA$83:$AJ$83,0)))*'CA Population'!$L822*10^6</f>
        <v>161.75438560976332</v>
      </c>
      <c r="G822" s="143">
        <f>(INDEX(Production_Consumption!$AA$83:$AJ$99,MATCH('County Scaled Consumption '!$B822,Production_Consumption!$AA$83:$AA$99,0),MATCH('County Scaled Consumption '!G$2,Production_Consumption!$AA$83:$AJ$83,0)))*'CA Population'!$L822*10^6</f>
        <v>454.83804058274683</v>
      </c>
      <c r="H822" s="143">
        <f>(INDEX(Production_Consumption!$AA$83:$AJ$99,MATCH('County Scaled Consumption '!$B822,Production_Consumption!$AA$83:$AA$99,0),MATCH('County Scaled Consumption '!H$2,Production_Consumption!$AA$83:$AJ$83,0)))*'CA Population'!$L822*10^6</f>
        <v>12.611041907446403</v>
      </c>
      <c r="I822" s="143">
        <f>(INDEX(Production_Consumption!$AA$83:$AJ$99,MATCH('County Scaled Consumption '!$B822,Production_Consumption!$AA$83:$AA$99,0),MATCH('County Scaled Consumption '!I$2,Production_Consumption!$AA$83:$AJ$83,0)))*'CA Population'!$L822*10^6</f>
        <v>238.63578231167335</v>
      </c>
      <c r="J822" s="143">
        <f>(INDEX(Production_Consumption!$AA$83:$AJ$99,MATCH('County Scaled Consumption '!$B822,Production_Consumption!$AA$83:$AA$99,0),MATCH('County Scaled Consumption '!J$2,Production_Consumption!$AA$83:$AJ$83,0)))*'CA Population'!$L822*10^6</f>
        <v>165.44639110293571</v>
      </c>
      <c r="K822" s="143">
        <f>(INDEX(Production_Consumption!$AA$83:$AJ$99,MATCH('County Scaled Consumption '!$B822,Production_Consumption!$AA$83:$AA$99,0),MATCH('County Scaled Consumption '!K$2,Production_Consumption!$AA$83:$AJ$83,0)))*'CA Population'!$L822*10^6</f>
        <v>2255.0655020260019</v>
      </c>
      <c r="L822" s="131">
        <f t="shared" si="12"/>
        <v>0</v>
      </c>
    </row>
    <row r="823" spans="1:12" x14ac:dyDescent="0.2">
      <c r="A823" s="132" t="s">
        <v>358</v>
      </c>
      <c r="B823" s="129">
        <v>2007</v>
      </c>
      <c r="C823" s="143">
        <f>(INDEX(Production_Consumption!$AA$83:$AJ$99,MATCH('County Scaled Consumption '!$B823,Production_Consumption!$AA$83:$AA$99,0),MATCH('County Scaled Consumption '!C$2,Production_Consumption!$AA$83:$AJ$83,0)))*'CA Population'!$L823*10^6</f>
        <v>5545.1718272426406</v>
      </c>
      <c r="D823" s="143">
        <f>(INDEX(Production_Consumption!$AA$83:$AJ$99,MATCH('County Scaled Consumption '!$B823,Production_Consumption!$AA$83:$AA$99,0),MATCH('County Scaled Consumption '!D$2,Production_Consumption!$AA$83:$AJ$83,0)))*'CA Population'!$L823*10^6</f>
        <v>21003.248582935597</v>
      </c>
      <c r="E823" s="143">
        <f>(INDEX(Production_Consumption!$AA$83:$AJ$99,MATCH('County Scaled Consumption '!$B823,Production_Consumption!$AA$83:$AA$99,0),MATCH('County Scaled Consumption '!E$2,Production_Consumption!$AA$83:$AJ$83,0)))*'CA Population'!$L823*10^6</f>
        <v>10606.041432270153</v>
      </c>
      <c r="F823" s="143">
        <f>(INDEX(Production_Consumption!$AA$83:$AJ$99,MATCH('County Scaled Consumption '!$B823,Production_Consumption!$AA$83:$AA$99,0),MATCH('County Scaled Consumption '!F$2,Production_Consumption!$AA$83:$AJ$83,0)))*'CA Population'!$L823*10^6</f>
        <v>4918.968909399845</v>
      </c>
      <c r="G823" s="143">
        <f>(INDEX(Production_Consumption!$AA$83:$AJ$99,MATCH('County Scaled Consumption '!$B823,Production_Consumption!$AA$83:$AA$99,0),MATCH('County Scaled Consumption '!G$2,Production_Consumption!$AA$83:$AJ$83,0)))*'CA Population'!$L823*10^6</f>
        <v>13831.675549351123</v>
      </c>
      <c r="H823" s="143">
        <f>(INDEX(Production_Consumption!$AA$83:$AJ$99,MATCH('County Scaled Consumption '!$B823,Production_Consumption!$AA$83:$AA$99,0),MATCH('County Scaled Consumption '!H$2,Production_Consumption!$AA$83:$AJ$83,0)))*'CA Population'!$L823*10^6</f>
        <v>383.50319111300246</v>
      </c>
      <c r="I823" s="143">
        <f>(INDEX(Production_Consumption!$AA$83:$AJ$99,MATCH('County Scaled Consumption '!$B823,Production_Consumption!$AA$83:$AA$99,0),MATCH('County Scaled Consumption '!I$2,Production_Consumption!$AA$83:$AJ$83,0)))*'CA Population'!$L823*10^6</f>
        <v>7256.9407588945069</v>
      </c>
      <c r="J823" s="143">
        <f>(INDEX(Production_Consumption!$AA$83:$AJ$99,MATCH('County Scaled Consumption '!$B823,Production_Consumption!$AA$83:$AA$99,0),MATCH('County Scaled Consumption '!J$2,Production_Consumption!$AA$83:$AJ$83,0)))*'CA Population'!$L823*10^6</f>
        <v>5031.2432082745718</v>
      </c>
      <c r="K823" s="143">
        <f>(INDEX(Production_Consumption!$AA$83:$AJ$99,MATCH('County Scaled Consumption '!$B823,Production_Consumption!$AA$83:$AA$99,0),MATCH('County Scaled Consumption '!K$2,Production_Consumption!$AA$83:$AJ$83,0)))*'CA Population'!$L823*10^6</f>
        <v>68576.793459481443</v>
      </c>
      <c r="L823" s="131">
        <f t="shared" si="12"/>
        <v>0</v>
      </c>
    </row>
    <row r="824" spans="1:12" x14ac:dyDescent="0.2">
      <c r="A824" s="132" t="s">
        <v>359</v>
      </c>
      <c r="B824" s="129">
        <v>2007</v>
      </c>
      <c r="C824" s="143">
        <f>(INDEX(Production_Consumption!$AA$83:$AJ$99,MATCH('County Scaled Consumption '!$B824,Production_Consumption!$AA$83:$AA$99,0),MATCH('County Scaled Consumption '!C$2,Production_Consumption!$AA$83:$AJ$83,0)))*'CA Population'!$L824*10^6</f>
        <v>744.21757935042478</v>
      </c>
      <c r="D824" s="143">
        <f>(INDEX(Production_Consumption!$AA$83:$AJ$99,MATCH('County Scaled Consumption '!$B824,Production_Consumption!$AA$83:$AA$99,0),MATCH('County Scaled Consumption '!D$2,Production_Consumption!$AA$83:$AJ$83,0)))*'CA Population'!$L824*10^6</f>
        <v>2818.8462514533376</v>
      </c>
      <c r="E824" s="143">
        <f>(INDEX(Production_Consumption!$AA$83:$AJ$99,MATCH('County Scaled Consumption '!$B824,Production_Consumption!$AA$83:$AA$99,0),MATCH('County Scaled Consumption '!E$2,Production_Consumption!$AA$83:$AJ$83,0)))*'CA Population'!$L824*10^6</f>
        <v>1423.4369514820487</v>
      </c>
      <c r="F824" s="143">
        <f>(INDEX(Production_Consumption!$AA$83:$AJ$99,MATCH('County Scaled Consumption '!$B824,Production_Consumption!$AA$83:$AA$99,0),MATCH('County Scaled Consumption '!F$2,Production_Consumption!$AA$83:$AJ$83,0)))*'CA Population'!$L824*10^6</f>
        <v>660.17487802066739</v>
      </c>
      <c r="G824" s="143">
        <f>(INDEX(Production_Consumption!$AA$83:$AJ$99,MATCH('County Scaled Consumption '!$B824,Production_Consumption!$AA$83:$AA$99,0),MATCH('County Scaled Consumption '!G$2,Production_Consumption!$AA$83:$AJ$83,0)))*'CA Population'!$L824*10^6</f>
        <v>1856.3493461332782</v>
      </c>
      <c r="H824" s="143">
        <f>(INDEX(Production_Consumption!$AA$83:$AJ$99,MATCH('County Scaled Consumption '!$B824,Production_Consumption!$AA$83:$AA$99,0),MATCH('County Scaled Consumption '!H$2,Production_Consumption!$AA$83:$AJ$83,0)))*'CA Population'!$L824*10^6</f>
        <v>51.46996801092876</v>
      </c>
      <c r="I824" s="143">
        <f>(INDEX(Production_Consumption!$AA$83:$AJ$99,MATCH('County Scaled Consumption '!$B824,Production_Consumption!$AA$83:$AA$99,0),MATCH('County Scaled Consumption '!I$2,Production_Consumption!$AA$83:$AJ$83,0)))*'CA Population'!$L824*10^6</f>
        <v>973.95410878718371</v>
      </c>
      <c r="J824" s="143">
        <f>(INDEX(Production_Consumption!$AA$83:$AJ$99,MATCH('County Scaled Consumption '!$B824,Production_Consumption!$AA$83:$AA$99,0),MATCH('County Scaled Consumption '!J$2,Production_Consumption!$AA$83:$AJ$83,0)))*'CA Population'!$L824*10^6</f>
        <v>675.24321305788192</v>
      </c>
      <c r="K824" s="143">
        <f>(INDEX(Production_Consumption!$AA$83:$AJ$99,MATCH('County Scaled Consumption '!$B824,Production_Consumption!$AA$83:$AA$99,0),MATCH('County Scaled Consumption '!K$2,Production_Consumption!$AA$83:$AJ$83,0)))*'CA Population'!$L824*10^6</f>
        <v>9203.6922962957487</v>
      </c>
      <c r="L824" s="131">
        <f t="shared" si="12"/>
        <v>0</v>
      </c>
    </row>
    <row r="825" spans="1:12" x14ac:dyDescent="0.2">
      <c r="A825" s="132" t="s">
        <v>360</v>
      </c>
      <c r="B825" s="129">
        <v>2007</v>
      </c>
      <c r="C825" s="143">
        <f>(INDEX(Production_Consumption!$AA$83:$AJ$99,MATCH('County Scaled Consumption '!$B825,Production_Consumption!$AA$83:$AA$99,0),MATCH('County Scaled Consumption '!C$2,Production_Consumption!$AA$83:$AJ$83,0)))*'CA Population'!$L825*10^6</f>
        <v>10613.385072386809</v>
      </c>
      <c r="D825" s="143">
        <f>(INDEX(Production_Consumption!$AA$83:$AJ$99,MATCH('County Scaled Consumption '!$B825,Production_Consumption!$AA$83:$AA$99,0),MATCH('County Scaled Consumption '!D$2,Production_Consumption!$AA$83:$AJ$83,0)))*'CA Population'!$L825*10^6</f>
        <v>40199.938239353673</v>
      </c>
      <c r="E825" s="143">
        <f>(INDEX(Production_Consumption!$AA$83:$AJ$99,MATCH('County Scaled Consumption '!$B825,Production_Consumption!$AA$83:$AA$99,0),MATCH('County Scaled Consumption '!E$2,Production_Consumption!$AA$83:$AJ$83,0)))*'CA Population'!$L825*10^6</f>
        <v>20299.822137404528</v>
      </c>
      <c r="F825" s="143">
        <f>(INDEX(Production_Consumption!$AA$83:$AJ$99,MATCH('County Scaled Consumption '!$B825,Production_Consumption!$AA$83:$AA$99,0),MATCH('County Scaled Consumption '!F$2,Production_Consumption!$AA$83:$AJ$83,0)))*'CA Population'!$L825*10^6</f>
        <v>9414.8410222518287</v>
      </c>
      <c r="G825" s="143">
        <f>(INDEX(Production_Consumption!$AA$83:$AJ$99,MATCH('County Scaled Consumption '!$B825,Production_Consumption!$AA$83:$AA$99,0),MATCH('County Scaled Consumption '!G$2,Production_Consumption!$AA$83:$AJ$83,0)))*'CA Population'!$L825*10^6</f>
        <v>26473.64290505281</v>
      </c>
      <c r="H825" s="143">
        <f>(INDEX(Production_Consumption!$AA$83:$AJ$99,MATCH('County Scaled Consumption '!$B825,Production_Consumption!$AA$83:$AA$99,0),MATCH('County Scaled Consumption '!H$2,Production_Consumption!$AA$83:$AJ$83,0)))*'CA Population'!$L825*10^6</f>
        <v>734.02000345143574</v>
      </c>
      <c r="I825" s="143">
        <f>(INDEX(Production_Consumption!$AA$83:$AJ$99,MATCH('County Scaled Consumption '!$B825,Production_Consumption!$AA$83:$AA$99,0),MATCH('County Scaled Consumption '!I$2,Production_Consumption!$AA$83:$AJ$83,0)))*'CA Population'!$L825*10^6</f>
        <v>13889.688024319572</v>
      </c>
      <c r="J825" s="143">
        <f>(INDEX(Production_Consumption!$AA$83:$AJ$99,MATCH('County Scaled Consumption '!$B825,Production_Consumption!$AA$83:$AA$99,0),MATCH('County Scaled Consumption '!J$2,Production_Consumption!$AA$83:$AJ$83,0)))*'CA Population'!$L825*10^6</f>
        <v>9629.7325359530823</v>
      </c>
      <c r="K825" s="143">
        <f>(INDEX(Production_Consumption!$AA$83:$AJ$99,MATCH('County Scaled Consumption '!$B825,Production_Consumption!$AA$83:$AA$99,0),MATCH('County Scaled Consumption '!K$2,Production_Consumption!$AA$83:$AJ$83,0)))*'CA Population'!$L825*10^6</f>
        <v>131255.06994017371</v>
      </c>
      <c r="L825" s="131">
        <f t="shared" si="12"/>
        <v>0</v>
      </c>
    </row>
    <row r="826" spans="1:12" x14ac:dyDescent="0.2">
      <c r="A826" s="132" t="s">
        <v>361</v>
      </c>
      <c r="B826" s="129">
        <v>2007</v>
      </c>
      <c r="C826" s="143">
        <f>(INDEX(Production_Consumption!$AA$83:$AJ$99,MATCH('County Scaled Consumption '!$B826,Production_Consumption!$AA$83:$AA$99,0),MATCH('County Scaled Consumption '!C$2,Production_Consumption!$AA$83:$AJ$83,0)))*'CA Population'!$L826*10^6</f>
        <v>2546.799278680764</v>
      </c>
      <c r="D826" s="143">
        <f>(INDEX(Production_Consumption!$AA$83:$AJ$99,MATCH('County Scaled Consumption '!$B826,Production_Consumption!$AA$83:$AA$99,0),MATCH('County Scaled Consumption '!D$2,Production_Consumption!$AA$83:$AJ$83,0)))*'CA Population'!$L826*10^6</f>
        <v>9646.4203468284268</v>
      </c>
      <c r="E826" s="143">
        <f>(INDEX(Production_Consumption!$AA$83:$AJ$99,MATCH('County Scaled Consumption '!$B826,Production_Consumption!$AA$83:$AA$99,0),MATCH('County Scaled Consumption '!E$2,Production_Consumption!$AA$83:$AJ$83,0)))*'CA Population'!$L826*10^6</f>
        <v>4871.1671181514102</v>
      </c>
      <c r="F826" s="143">
        <f>(INDEX(Production_Consumption!$AA$83:$AJ$99,MATCH('County Scaled Consumption '!$B826,Production_Consumption!$AA$83:$AA$99,0),MATCH('County Scaled Consumption '!F$2,Production_Consumption!$AA$83:$AJ$83,0)))*'CA Population'!$L826*10^6</f>
        <v>2259.1953614072304</v>
      </c>
      <c r="G826" s="143">
        <f>(INDEX(Production_Consumption!$AA$83:$AJ$99,MATCH('County Scaled Consumption '!$B826,Production_Consumption!$AA$83:$AA$99,0),MATCH('County Scaled Consumption '!G$2,Production_Consumption!$AA$83:$AJ$83,0)))*'CA Population'!$L826*10^6</f>
        <v>6352.6437790387336</v>
      </c>
      <c r="H826" s="143">
        <f>(INDEX(Production_Consumption!$AA$83:$AJ$99,MATCH('County Scaled Consumption '!$B826,Production_Consumption!$AA$83:$AA$99,0),MATCH('County Scaled Consumption '!H$2,Production_Consumption!$AA$83:$AJ$83,0)))*'CA Population'!$L826*10^6</f>
        <v>176.13622822289295</v>
      </c>
      <c r="I826" s="143">
        <f>(INDEX(Production_Consumption!$AA$83:$AJ$99,MATCH('County Scaled Consumption '!$B826,Production_Consumption!$AA$83:$AA$99,0),MATCH('County Scaled Consumption '!I$2,Production_Consumption!$AA$83:$AJ$83,0)))*'CA Population'!$L826*10^6</f>
        <v>3332.9844531385434</v>
      </c>
      <c r="J826" s="143">
        <f>(INDEX(Production_Consumption!$AA$83:$AJ$99,MATCH('County Scaled Consumption '!$B826,Production_Consumption!$AA$83:$AA$99,0),MATCH('County Scaled Consumption '!J$2,Production_Consumption!$AA$83:$AJ$83,0)))*'CA Population'!$L826*10^6</f>
        <v>2310.760959786664</v>
      </c>
      <c r="K826" s="143">
        <f>(INDEX(Production_Consumption!$AA$83:$AJ$99,MATCH('County Scaled Consumption '!$B826,Production_Consumption!$AA$83:$AA$99,0),MATCH('County Scaled Consumption '!K$2,Production_Consumption!$AA$83:$AJ$83,0)))*'CA Population'!$L826*10^6</f>
        <v>31496.107525254662</v>
      </c>
      <c r="L826" s="131">
        <f t="shared" si="12"/>
        <v>0</v>
      </c>
    </row>
    <row r="827" spans="1:12" x14ac:dyDescent="0.2">
      <c r="A827" s="132" t="s">
        <v>362</v>
      </c>
      <c r="B827" s="129">
        <v>2007</v>
      </c>
      <c r="C827" s="143">
        <f>(INDEX(Production_Consumption!$AA$83:$AJ$99,MATCH('County Scaled Consumption '!$B827,Production_Consumption!$AA$83:$AA$99,0),MATCH('County Scaled Consumption '!C$2,Production_Consumption!$AA$83:$AJ$83,0)))*'CA Population'!$L827*10^6</f>
        <v>920.83172865870893</v>
      </c>
      <c r="D827" s="143">
        <f>(INDEX(Production_Consumption!$AA$83:$AJ$99,MATCH('County Scaled Consumption '!$B827,Production_Consumption!$AA$83:$AA$99,0),MATCH('County Scaled Consumption '!D$2,Production_Consumption!$AA$83:$AJ$83,0)))*'CA Population'!$L827*10^6</f>
        <v>3487.8013346775383</v>
      </c>
      <c r="E827" s="143">
        <f>(INDEX(Production_Consumption!$AA$83:$AJ$99,MATCH('County Scaled Consumption '!$B827,Production_Consumption!$AA$83:$AA$99,0),MATCH('County Scaled Consumption '!E$2,Production_Consumption!$AA$83:$AJ$83,0)))*'CA Population'!$L827*10^6</f>
        <v>1761.2401870619012</v>
      </c>
      <c r="F827" s="143">
        <f>(INDEX(Production_Consumption!$AA$83:$AJ$99,MATCH('County Scaled Consumption '!$B827,Production_Consumption!$AA$83:$AA$99,0),MATCH('County Scaled Consumption '!F$2,Production_Consumption!$AA$83:$AJ$83,0)))*'CA Population'!$L827*10^6</f>
        <v>816.84441621954863</v>
      </c>
      <c r="G827" s="143">
        <f>(INDEX(Production_Consumption!$AA$83:$AJ$99,MATCH('County Scaled Consumption '!$B827,Production_Consumption!$AA$83:$AA$99,0),MATCH('County Scaled Consumption '!G$2,Production_Consumption!$AA$83:$AJ$83,0)))*'CA Population'!$L827*10^6</f>
        <v>2296.8892765021392</v>
      </c>
      <c r="H827" s="143">
        <f>(INDEX(Production_Consumption!$AA$83:$AJ$99,MATCH('County Scaled Consumption '!$B827,Production_Consumption!$AA$83:$AA$99,0),MATCH('County Scaled Consumption '!H$2,Production_Consumption!$AA$83:$AJ$83,0)))*'CA Population'!$L827*10^6</f>
        <v>63.684574152198735</v>
      </c>
      <c r="I827" s="143">
        <f>(INDEX(Production_Consumption!$AA$83:$AJ$99,MATCH('County Scaled Consumption '!$B827,Production_Consumption!$AA$83:$AA$99,0),MATCH('County Scaled Consumption '!I$2,Production_Consumption!$AA$83:$AJ$83,0)))*'CA Population'!$L827*10^6</f>
        <v>1205.0882302613036</v>
      </c>
      <c r="J827" s="143">
        <f>(INDEX(Production_Consumption!$AA$83:$AJ$99,MATCH('County Scaled Consumption '!$B827,Production_Consumption!$AA$83:$AA$99,0),MATCH('County Scaled Consumption '!J$2,Production_Consumption!$AA$83:$AJ$83,0)))*'CA Population'!$L827*10^6</f>
        <v>835.48869631360094</v>
      </c>
      <c r="K827" s="143">
        <f>(INDEX(Production_Consumption!$AA$83:$AJ$99,MATCH('County Scaled Consumption '!$B827,Production_Consumption!$AA$83:$AA$99,0),MATCH('County Scaled Consumption '!K$2,Production_Consumption!$AA$83:$AJ$83,0)))*'CA Population'!$L827*10^6</f>
        <v>11387.868443846939</v>
      </c>
      <c r="L827" s="131">
        <f t="shared" si="12"/>
        <v>0</v>
      </c>
    </row>
    <row r="828" spans="1:12" x14ac:dyDescent="0.2">
      <c r="A828" s="132" t="s">
        <v>363</v>
      </c>
      <c r="B828" s="129">
        <v>2007</v>
      </c>
      <c r="C828" s="143">
        <f>(INDEX(Production_Consumption!$AA$83:$AJ$99,MATCH('County Scaled Consumption '!$B828,Production_Consumption!$AA$83:$AA$99,0),MATCH('County Scaled Consumption '!C$2,Production_Consumption!$AA$83:$AJ$83,0)))*'CA Population'!$L828*10^6</f>
        <v>480758.13728964725</v>
      </c>
      <c r="D828" s="143">
        <f>(INDEX(Production_Consumption!$AA$83:$AJ$99,MATCH('County Scaled Consumption '!$B828,Production_Consumption!$AA$83:$AA$99,0),MATCH('County Scaled Consumption '!D$2,Production_Consumption!$AA$83:$AJ$83,0)))*'CA Population'!$L828*10^6</f>
        <v>1820950.3655334981</v>
      </c>
      <c r="E828" s="143">
        <f>(INDEX(Production_Consumption!$AA$83:$AJ$99,MATCH('County Scaled Consumption '!$B828,Production_Consumption!$AA$83:$AA$99,0),MATCH('County Scaled Consumption '!E$2,Production_Consumption!$AA$83:$AJ$83,0)))*'CA Population'!$L828*10^6</f>
        <v>919527.99333370524</v>
      </c>
      <c r="F828" s="143">
        <f>(INDEX(Production_Consumption!$AA$83:$AJ$99,MATCH('County Scaled Consumption '!$B828,Production_Consumption!$AA$83:$AA$99,0),MATCH('County Scaled Consumption '!F$2,Production_Consumption!$AA$83:$AJ$83,0)))*'CA Population'!$L828*10^6</f>
        <v>426467.27710955002</v>
      </c>
      <c r="G828" s="143">
        <f>(INDEX(Production_Consumption!$AA$83:$AJ$99,MATCH('County Scaled Consumption '!$B828,Production_Consumption!$AA$83:$AA$99,0),MATCH('County Scaled Consumption '!G$2,Production_Consumption!$AA$83:$AJ$83,0)))*'CA Population'!$L828*10^6</f>
        <v>1199185.6663542544</v>
      </c>
      <c r="H828" s="143">
        <f>(INDEX(Production_Consumption!$AA$83:$AJ$99,MATCH('County Scaled Consumption '!$B828,Production_Consumption!$AA$83:$AA$99,0),MATCH('County Scaled Consumption '!H$2,Production_Consumption!$AA$83:$AJ$83,0)))*'CA Population'!$L828*10^6</f>
        <v>33249.15540007758</v>
      </c>
      <c r="I828" s="143">
        <f>(INDEX(Production_Consumption!$AA$83:$AJ$99,MATCH('County Scaled Consumption '!$B828,Production_Consumption!$AA$83:$AA$99,0),MATCH('County Scaled Consumption '!I$2,Production_Consumption!$AA$83:$AJ$83,0)))*'CA Population'!$L828*10^6</f>
        <v>629165.95379917731</v>
      </c>
      <c r="J828" s="143">
        <f>(INDEX(Production_Consumption!$AA$83:$AJ$99,MATCH('County Scaled Consumption '!$B828,Production_Consumption!$AA$83:$AA$99,0),MATCH('County Scaled Consumption '!J$2,Production_Consumption!$AA$83:$AJ$83,0)))*'CA Population'!$L828*10^6</f>
        <v>436201.29157729552</v>
      </c>
      <c r="K828" s="143">
        <f>(INDEX(Production_Consumption!$AA$83:$AJ$99,MATCH('County Scaled Consumption '!$B828,Production_Consumption!$AA$83:$AA$99,0),MATCH('County Scaled Consumption '!K$2,Production_Consumption!$AA$83:$AJ$83,0)))*'CA Population'!$L828*10^6</f>
        <v>5945505.8403972052</v>
      </c>
      <c r="L828" s="131">
        <f t="shared" si="12"/>
        <v>0</v>
      </c>
    </row>
    <row r="829" spans="1:12" x14ac:dyDescent="0.2">
      <c r="A829" s="132" t="s">
        <v>305</v>
      </c>
      <c r="B829" s="129">
        <v>2006</v>
      </c>
      <c r="C829" s="143">
        <f>(INDEX(Production_Consumption!$AA$83:$AJ$99,MATCH('County Scaled Consumption '!$B829,Production_Consumption!$AA$83:$AA$99,0),MATCH('County Scaled Consumption '!C$2,Production_Consumption!$AA$83:$AJ$83,0)))*'CA Population'!$L829*10^6</f>
        <v>19627.40614131837</v>
      </c>
      <c r="D829" s="143">
        <f>(INDEX(Production_Consumption!$AA$83:$AJ$99,MATCH('County Scaled Consumption '!$B829,Production_Consumption!$AA$83:$AA$99,0),MATCH('County Scaled Consumption '!D$2,Production_Consumption!$AA$83:$AJ$83,0)))*'CA Population'!$L829*10^6</f>
        <v>76300.625403514292</v>
      </c>
      <c r="E829" s="143">
        <f>(INDEX(Production_Consumption!$AA$83:$AJ$99,MATCH('County Scaled Consumption '!$B829,Production_Consumption!$AA$83:$AA$99,0),MATCH('County Scaled Consumption '!E$2,Production_Consumption!$AA$83:$AJ$83,0)))*'CA Population'!$L829*10^6</f>
        <v>37493.60110206547</v>
      </c>
      <c r="F829" s="143">
        <f>(INDEX(Production_Consumption!$AA$83:$AJ$99,MATCH('County Scaled Consumption '!$B829,Production_Consumption!$AA$83:$AA$99,0),MATCH('County Scaled Consumption '!F$2,Production_Consumption!$AA$83:$AJ$83,0)))*'CA Population'!$L829*10^6</f>
        <v>8922.8413154640057</v>
      </c>
      <c r="G829" s="143">
        <f>(INDEX(Production_Consumption!$AA$83:$AJ$99,MATCH('County Scaled Consumption '!$B829,Production_Consumption!$AA$83:$AA$99,0),MATCH('County Scaled Consumption '!G$2,Production_Consumption!$AA$83:$AJ$83,0)))*'CA Population'!$L829*10^6</f>
        <v>49695.47051024696</v>
      </c>
      <c r="H829" s="143">
        <f>(INDEX(Production_Consumption!$AA$83:$AJ$99,MATCH('County Scaled Consumption '!$B829,Production_Consumption!$AA$83:$AA$99,0),MATCH('County Scaled Consumption '!H$2,Production_Consumption!$AA$83:$AJ$83,0)))*'CA Population'!$L829*10^6</f>
        <v>1377.1552626341281</v>
      </c>
      <c r="I829" s="143">
        <f>(INDEX(Production_Consumption!$AA$83:$AJ$99,MATCH('County Scaled Consumption '!$B829,Production_Consumption!$AA$83:$AA$99,0),MATCH('County Scaled Consumption '!I$2,Production_Consumption!$AA$83:$AJ$83,0)))*'CA Population'!$L829*10^6</f>
        <v>25118.712899388931</v>
      </c>
      <c r="J829" s="143">
        <f>(INDEX(Production_Consumption!$AA$83:$AJ$99,MATCH('County Scaled Consumption '!$B829,Production_Consumption!$AA$83:$AA$99,0),MATCH('County Scaled Consumption '!J$2,Production_Consumption!$AA$83:$AJ$83,0)))*'CA Population'!$L829*10^6</f>
        <v>17420.784708823583</v>
      </c>
      <c r="K829" s="143">
        <f>(INDEX(Production_Consumption!$AA$83:$AJ$99,MATCH('County Scaled Consumption '!$B829,Production_Consumption!$AA$83:$AA$99,0),MATCH('County Scaled Consumption '!K$2,Production_Consumption!$AA$83:$AJ$83,0)))*'CA Population'!$L829*10^6</f>
        <v>235956.59734345577</v>
      </c>
      <c r="L829" s="131">
        <f t="shared" si="12"/>
        <v>0</v>
      </c>
    </row>
    <row r="830" spans="1:12" x14ac:dyDescent="0.2">
      <c r="A830" s="132" t="s">
        <v>306</v>
      </c>
      <c r="B830" s="129">
        <v>2006</v>
      </c>
      <c r="C830" s="143">
        <f>(INDEX(Production_Consumption!$AA$83:$AJ$99,MATCH('County Scaled Consumption '!$B830,Production_Consumption!$AA$83:$AA$99,0),MATCH('County Scaled Consumption '!C$2,Production_Consumption!$AA$83:$AJ$83,0)))*'CA Population'!$L830*10^6</f>
        <v>16.53545124055676</v>
      </c>
      <c r="D830" s="143">
        <f>(INDEX(Production_Consumption!$AA$83:$AJ$99,MATCH('County Scaled Consumption '!$B830,Production_Consumption!$AA$83:$AA$99,0),MATCH('County Scaled Consumption '!D$2,Production_Consumption!$AA$83:$AJ$83,0)))*'CA Population'!$L830*10^6</f>
        <v>64.280795022008505</v>
      </c>
      <c r="E830" s="143">
        <f>(INDEX(Production_Consumption!$AA$83:$AJ$99,MATCH('County Scaled Consumption '!$B830,Production_Consumption!$AA$83:$AA$99,0),MATCH('County Scaled Consumption '!E$2,Production_Consumption!$AA$83:$AJ$83,0)))*'CA Population'!$L830*10^6</f>
        <v>31.58713934955265</v>
      </c>
      <c r="F830" s="143">
        <f>(INDEX(Production_Consumption!$AA$83:$AJ$99,MATCH('County Scaled Consumption '!$B830,Production_Consumption!$AA$83:$AA$99,0),MATCH('County Scaled Consumption '!F$2,Production_Consumption!$AA$83:$AJ$83,0)))*'CA Population'!$L830*10^6</f>
        <v>7.5172035691706522</v>
      </c>
      <c r="G830" s="143">
        <f>(INDEX(Production_Consumption!$AA$83:$AJ$99,MATCH('County Scaled Consumption '!$B830,Production_Consumption!$AA$83:$AA$99,0),MATCH('County Scaled Consumption '!G$2,Production_Consumption!$AA$83:$AJ$83,0)))*'CA Population'!$L830*10^6</f>
        <v>41.866817427741836</v>
      </c>
      <c r="H830" s="143">
        <f>(INDEX(Production_Consumption!$AA$83:$AJ$99,MATCH('County Scaled Consumption '!$B830,Production_Consumption!$AA$83:$AA$99,0),MATCH('County Scaled Consumption '!H$2,Production_Consumption!$AA$83:$AJ$83,0)))*'CA Population'!$L830*10^6</f>
        <v>1.1602085131373954</v>
      </c>
      <c r="I830" s="143">
        <f>(INDEX(Production_Consumption!$AA$83:$AJ$99,MATCH('County Scaled Consumption '!$B830,Production_Consumption!$AA$83:$AA$99,0),MATCH('County Scaled Consumption '!I$2,Production_Consumption!$AA$83:$AJ$83,0)))*'CA Population'!$L830*10^6</f>
        <v>21.161698564897115</v>
      </c>
      <c r="J830" s="143">
        <f>(INDEX(Production_Consumption!$AA$83:$AJ$99,MATCH('County Scaled Consumption '!$B830,Production_Consumption!$AA$83:$AA$99,0),MATCH('County Scaled Consumption '!J$2,Production_Consumption!$AA$83:$AJ$83,0)))*'CA Population'!$L830*10^6</f>
        <v>14.676444459901523</v>
      </c>
      <c r="K830" s="143">
        <f>(INDEX(Production_Consumption!$AA$83:$AJ$99,MATCH('County Scaled Consumption '!$B830,Production_Consumption!$AA$83:$AA$99,0),MATCH('County Scaled Consumption '!K$2,Production_Consumption!$AA$83:$AJ$83,0)))*'CA Population'!$L830*10^6</f>
        <v>198.78575814696646</v>
      </c>
      <c r="L830" s="131">
        <f t="shared" si="12"/>
        <v>0</v>
      </c>
    </row>
    <row r="831" spans="1:12" x14ac:dyDescent="0.2">
      <c r="A831" s="132" t="s">
        <v>307</v>
      </c>
      <c r="B831" s="129">
        <v>2006</v>
      </c>
      <c r="C831" s="143">
        <f>(INDEX(Production_Consumption!$AA$83:$AJ$99,MATCH('County Scaled Consumption '!$B831,Production_Consumption!$AA$83:$AA$99,0),MATCH('County Scaled Consumption '!C$2,Production_Consumption!$AA$83:$AJ$83,0)))*'CA Population'!$L831*10^6</f>
        <v>507.91483871460184</v>
      </c>
      <c r="D831" s="143">
        <f>(INDEX(Production_Consumption!$AA$83:$AJ$99,MATCH('County Scaled Consumption '!$B831,Production_Consumption!$AA$83:$AA$99,0),MATCH('County Scaled Consumption '!D$2,Production_Consumption!$AA$83:$AJ$83,0)))*'CA Population'!$L831*10^6</f>
        <v>1974.4952321573603</v>
      </c>
      <c r="E831" s="143">
        <f>(INDEX(Production_Consumption!$AA$83:$AJ$99,MATCH('County Scaled Consumption '!$B831,Production_Consumption!$AA$83:$AA$99,0),MATCH('County Scaled Consumption '!E$2,Production_Consumption!$AA$83:$AJ$83,0)))*'CA Population'!$L831*10^6</f>
        <v>970.25333961454612</v>
      </c>
      <c r="F831" s="143">
        <f>(INDEX(Production_Consumption!$AA$83:$AJ$99,MATCH('County Scaled Consumption '!$B831,Production_Consumption!$AA$83:$AA$99,0),MATCH('County Scaled Consumption '!F$2,Production_Consumption!$AA$83:$AJ$83,0)))*'CA Population'!$L831*10^6</f>
        <v>230.90384307477677</v>
      </c>
      <c r="G831" s="143">
        <f>(INDEX(Production_Consumption!$AA$83:$AJ$99,MATCH('County Scaled Consumption '!$B831,Production_Consumption!$AA$83:$AA$99,0),MATCH('County Scaled Consumption '!G$2,Production_Consumption!$AA$83:$AJ$83,0)))*'CA Population'!$L831*10^6</f>
        <v>1286.0113408425602</v>
      </c>
      <c r="H831" s="143">
        <f>(INDEX(Production_Consumption!$AA$83:$AJ$99,MATCH('County Scaled Consumption '!$B831,Production_Consumption!$AA$83:$AA$99,0),MATCH('County Scaled Consumption '!H$2,Production_Consumption!$AA$83:$AJ$83,0)))*'CA Population'!$L831*10^6</f>
        <v>35.637800943716272</v>
      </c>
      <c r="I831" s="143">
        <f>(INDEX(Production_Consumption!$AA$83:$AJ$99,MATCH('County Scaled Consumption '!$B831,Production_Consumption!$AA$83:$AA$99,0),MATCH('County Scaled Consumption '!I$2,Production_Consumption!$AA$83:$AJ$83,0)))*'CA Population'!$L831*10^6</f>
        <v>650.01798603198176</v>
      </c>
      <c r="J831" s="143">
        <f>(INDEX(Production_Consumption!$AA$83:$AJ$99,MATCH('County Scaled Consumption '!$B831,Production_Consumption!$AA$83:$AA$99,0),MATCH('County Scaled Consumption '!J$2,Production_Consumption!$AA$83:$AJ$83,0)))*'CA Population'!$L831*10^6</f>
        <v>450.81224650653678</v>
      </c>
      <c r="K831" s="143">
        <f>(INDEX(Production_Consumption!$AA$83:$AJ$99,MATCH('County Scaled Consumption '!$B831,Production_Consumption!$AA$83:$AA$99,0),MATCH('County Scaled Consumption '!K$2,Production_Consumption!$AA$83:$AJ$83,0)))*'CA Population'!$L831*10^6</f>
        <v>6106.0466278860804</v>
      </c>
      <c r="L831" s="131">
        <f t="shared" si="12"/>
        <v>0</v>
      </c>
    </row>
    <row r="832" spans="1:12" x14ac:dyDescent="0.2">
      <c r="A832" s="132" t="s">
        <v>308</v>
      </c>
      <c r="B832" s="129">
        <v>2006</v>
      </c>
      <c r="C832" s="143">
        <f>(INDEX(Production_Consumption!$AA$83:$AJ$99,MATCH('County Scaled Consumption '!$B832,Production_Consumption!$AA$83:$AA$99,0),MATCH('County Scaled Consumption '!C$2,Production_Consumption!$AA$83:$AJ$83,0)))*'CA Population'!$L832*10^6</f>
        <v>2881.4902815220216</v>
      </c>
      <c r="D832" s="143">
        <f>(INDEX(Production_Consumption!$AA$83:$AJ$99,MATCH('County Scaled Consumption '!$B832,Production_Consumption!$AA$83:$AA$99,0),MATCH('County Scaled Consumption '!D$2,Production_Consumption!$AA$83:$AJ$83,0)))*'CA Population'!$L832*10^6</f>
        <v>11201.658996164775</v>
      </c>
      <c r="E832" s="143">
        <f>(INDEX(Production_Consumption!$AA$83:$AJ$99,MATCH('County Scaled Consumption '!$B832,Production_Consumption!$AA$83:$AA$99,0),MATCH('County Scaled Consumption '!E$2,Production_Consumption!$AA$83:$AJ$83,0)))*'CA Population'!$L832*10^6</f>
        <v>5504.4179764248847</v>
      </c>
      <c r="F832" s="143">
        <f>(INDEX(Production_Consumption!$AA$83:$AJ$99,MATCH('County Scaled Consumption '!$B832,Production_Consumption!$AA$83:$AA$99,0),MATCH('County Scaled Consumption '!F$2,Production_Consumption!$AA$83:$AJ$83,0)))*'CA Population'!$L832*10^6</f>
        <v>1309.9581446958173</v>
      </c>
      <c r="G832" s="143">
        <f>(INDEX(Production_Consumption!$AA$83:$AJ$99,MATCH('County Scaled Consumption '!$B832,Production_Consumption!$AA$83:$AA$99,0),MATCH('County Scaled Consumption '!G$2,Production_Consumption!$AA$83:$AJ$83,0)))*'CA Population'!$L832*10^6</f>
        <v>7295.7686960729661</v>
      </c>
      <c r="H832" s="143">
        <f>(INDEX(Production_Consumption!$AA$83:$AJ$99,MATCH('County Scaled Consumption '!$B832,Production_Consumption!$AA$83:$AA$99,0),MATCH('County Scaled Consumption '!H$2,Production_Consumption!$AA$83:$AJ$83,0)))*'CA Population'!$L832*10^6</f>
        <v>202.17951760184039</v>
      </c>
      <c r="I832" s="143">
        <f>(INDEX(Production_Consumption!$AA$83:$AJ$99,MATCH('County Scaled Consumption '!$B832,Production_Consumption!$AA$83:$AA$99,0),MATCH('County Scaled Consumption '!I$2,Production_Consumption!$AA$83:$AJ$83,0)))*'CA Population'!$L832*10^6</f>
        <v>3687.6664487806502</v>
      </c>
      <c r="J832" s="143">
        <f>(INDEX(Production_Consumption!$AA$83:$AJ$99,MATCH('County Scaled Consumption '!$B832,Production_Consumption!$AA$83:$AA$99,0),MATCH('County Scaled Consumption '!J$2,Production_Consumption!$AA$83:$AJ$83,0)))*'CA Population'!$L832*10^6</f>
        <v>2557.5372249157936</v>
      </c>
      <c r="K832" s="143">
        <f>(INDEX(Production_Consumption!$AA$83:$AJ$99,MATCH('County Scaled Consumption '!$B832,Production_Consumption!$AA$83:$AA$99,0),MATCH('County Scaled Consumption '!K$2,Production_Consumption!$AA$83:$AJ$83,0)))*'CA Population'!$L832*10^6</f>
        <v>34640.677286178747</v>
      </c>
      <c r="L832" s="131">
        <f t="shared" si="12"/>
        <v>0</v>
      </c>
    </row>
    <row r="833" spans="1:12" x14ac:dyDescent="0.2">
      <c r="A833" s="132" t="s">
        <v>309</v>
      </c>
      <c r="B833" s="129">
        <v>2006</v>
      </c>
      <c r="C833" s="143">
        <f>(INDEX(Production_Consumption!$AA$83:$AJ$99,MATCH('County Scaled Consumption '!$B833,Production_Consumption!$AA$83:$AA$99,0),MATCH('County Scaled Consumption '!C$2,Production_Consumption!$AA$83:$AJ$83,0)))*'CA Population'!$L833*10^6</f>
        <v>604.56401435035616</v>
      </c>
      <c r="D833" s="143">
        <f>(INDEX(Production_Consumption!$AA$83:$AJ$99,MATCH('County Scaled Consumption '!$B833,Production_Consumption!$AA$83:$AA$99,0),MATCH('County Scaled Consumption '!D$2,Production_Consumption!$AA$83:$AJ$83,0)))*'CA Population'!$L833*10^6</f>
        <v>2350.2143920222006</v>
      </c>
      <c r="E833" s="143">
        <f>(INDEX(Production_Consumption!$AA$83:$AJ$99,MATCH('County Scaled Consumption '!$B833,Production_Consumption!$AA$83:$AA$99,0),MATCH('County Scaled Consumption '!E$2,Production_Consumption!$AA$83:$AJ$83,0)))*'CA Population'!$L833*10^6</f>
        <v>1154.8791435562089</v>
      </c>
      <c r="F833" s="143">
        <f>(INDEX(Production_Consumption!$AA$83:$AJ$99,MATCH('County Scaled Consumption '!$B833,Production_Consumption!$AA$83:$AA$99,0),MATCH('County Scaled Consumption '!F$2,Production_Consumption!$AA$83:$AJ$83,0)))*'CA Population'!$L833*10^6</f>
        <v>274.84165387152825</v>
      </c>
      <c r="G833" s="143">
        <f>(INDEX(Production_Consumption!$AA$83:$AJ$99,MATCH('County Scaled Consumption '!$B833,Production_Consumption!$AA$83:$AA$99,0),MATCH('County Scaled Consumption '!G$2,Production_Consumption!$AA$83:$AJ$83,0)))*'CA Population'!$L833*10^6</f>
        <v>1530.7215293954571</v>
      </c>
      <c r="H833" s="143">
        <f>(INDEX(Production_Consumption!$AA$83:$AJ$99,MATCH('County Scaled Consumption '!$B833,Production_Consumption!$AA$83:$AA$99,0),MATCH('County Scaled Consumption '!H$2,Production_Consumption!$AA$83:$AJ$83,0)))*'CA Population'!$L833*10^6</f>
        <v>42.419182033896774</v>
      </c>
      <c r="I833" s="143">
        <f>(INDEX(Production_Consumption!$AA$83:$AJ$99,MATCH('County Scaled Consumption '!$B833,Production_Consumption!$AA$83:$AA$99,0),MATCH('County Scaled Consumption '!I$2,Production_Consumption!$AA$83:$AJ$83,0)))*'CA Population'!$L833*10^6</f>
        <v>773.70742707567013</v>
      </c>
      <c r="J833" s="143">
        <f>(INDEX(Production_Consumption!$AA$83:$AJ$99,MATCH('County Scaled Consumption '!$B833,Production_Consumption!$AA$83:$AA$99,0),MATCH('County Scaled Consumption '!J$2,Production_Consumption!$AA$83:$AJ$83,0)))*'CA Population'!$L833*10^6</f>
        <v>536.59558786672414</v>
      </c>
      <c r="K833" s="143">
        <f>(INDEX(Production_Consumption!$AA$83:$AJ$99,MATCH('County Scaled Consumption '!$B833,Production_Consumption!$AA$83:$AA$99,0),MATCH('County Scaled Consumption '!K$2,Production_Consumption!$AA$83:$AJ$83,0)))*'CA Population'!$L833*10^6</f>
        <v>7267.942930172042</v>
      </c>
      <c r="L833" s="131">
        <f t="shared" si="12"/>
        <v>0</v>
      </c>
    </row>
    <row r="834" spans="1:12" x14ac:dyDescent="0.2">
      <c r="A834" s="132" t="s">
        <v>310</v>
      </c>
      <c r="B834" s="129">
        <v>2006</v>
      </c>
      <c r="C834" s="143">
        <f>(INDEX(Production_Consumption!$AA$83:$AJ$99,MATCH('County Scaled Consumption '!$B834,Production_Consumption!$AA$83:$AA$99,0),MATCH('County Scaled Consumption '!C$2,Production_Consumption!$AA$83:$AJ$83,0)))*'CA Population'!$L834*10^6</f>
        <v>278.21702010186777</v>
      </c>
      <c r="D834" s="143">
        <f>(INDEX(Production_Consumption!$AA$83:$AJ$99,MATCH('County Scaled Consumption '!$B834,Production_Consumption!$AA$83:$AA$99,0),MATCH('County Scaled Consumption '!D$2,Production_Consumption!$AA$83:$AJ$83,0)))*'CA Population'!$L834*10^6</f>
        <v>1081.5556818272844</v>
      </c>
      <c r="E834" s="143">
        <f>(INDEX(Production_Consumption!$AA$83:$AJ$99,MATCH('County Scaled Consumption '!$B834,Production_Consumption!$AA$83:$AA$99,0),MATCH('County Scaled Consumption '!E$2,Production_Consumption!$AA$83:$AJ$83,0)))*'CA Population'!$L834*10^6</f>
        <v>531.46900290330916</v>
      </c>
      <c r="F834" s="143">
        <f>(INDEX(Production_Consumption!$AA$83:$AJ$99,MATCH('County Scaled Consumption '!$B834,Production_Consumption!$AA$83:$AA$99,0),MATCH('County Scaled Consumption '!F$2,Production_Consumption!$AA$83:$AJ$83,0)))*'CA Population'!$L834*10^6</f>
        <v>126.48061102706043</v>
      </c>
      <c r="G834" s="143">
        <f>(INDEX(Production_Consumption!$AA$83:$AJ$99,MATCH('County Scaled Consumption '!$B834,Production_Consumption!$AA$83:$AA$99,0),MATCH('County Scaled Consumption '!G$2,Production_Consumption!$AA$83:$AJ$83,0)))*'CA Population'!$L834*10^6</f>
        <v>704.4295929055686</v>
      </c>
      <c r="H834" s="143">
        <f>(INDEX(Production_Consumption!$AA$83:$AJ$99,MATCH('County Scaled Consumption '!$B834,Production_Consumption!$AA$83:$AA$99,0),MATCH('County Scaled Consumption '!H$2,Production_Consumption!$AA$83:$AJ$83,0)))*'CA Population'!$L834*10^6</f>
        <v>19.521073270150215</v>
      </c>
      <c r="I834" s="143">
        <f>(INDEX(Production_Consumption!$AA$83:$AJ$99,MATCH('County Scaled Consumption '!$B834,Production_Consumption!$AA$83:$AA$99,0),MATCH('County Scaled Consumption '!I$2,Production_Consumption!$AA$83:$AJ$83,0)))*'CA Population'!$L834*10^6</f>
        <v>356.05588437642234</v>
      </c>
      <c r="J834" s="143">
        <f>(INDEX(Production_Consumption!$AA$83:$AJ$99,MATCH('County Scaled Consumption '!$B834,Production_Consumption!$AA$83:$AA$99,0),MATCH('County Scaled Consumption '!J$2,Production_Consumption!$AA$83:$AJ$83,0)))*'CA Population'!$L834*10^6</f>
        <v>246.93832565689829</v>
      </c>
      <c r="K834" s="143">
        <f>(INDEX(Production_Consumption!$AA$83:$AJ$99,MATCH('County Scaled Consumption '!$B834,Production_Consumption!$AA$83:$AA$99,0),MATCH('County Scaled Consumption '!K$2,Production_Consumption!$AA$83:$AJ$83,0)))*'CA Population'!$L834*10^6</f>
        <v>3344.6671920685617</v>
      </c>
      <c r="L834" s="131">
        <f t="shared" si="12"/>
        <v>0</v>
      </c>
    </row>
    <row r="835" spans="1:12" x14ac:dyDescent="0.2">
      <c r="A835" s="132" t="s">
        <v>311</v>
      </c>
      <c r="B835" s="129">
        <v>2006</v>
      </c>
      <c r="C835" s="143">
        <f>(INDEX(Production_Consumption!$AA$83:$AJ$99,MATCH('County Scaled Consumption '!$B835,Production_Consumption!$AA$83:$AA$99,0),MATCH('County Scaled Consumption '!C$2,Production_Consumption!$AA$83:$AJ$83,0)))*'CA Population'!$L835*10^6</f>
        <v>13517.852183847655</v>
      </c>
      <c r="D835" s="143">
        <f>(INDEX(Production_Consumption!$AA$83:$AJ$99,MATCH('County Scaled Consumption '!$B835,Production_Consumption!$AA$83:$AA$99,0),MATCH('County Scaled Consumption '!D$2,Production_Consumption!$AA$83:$AJ$83,0)))*'CA Population'!$L835*10^6</f>
        <v>52550.019514221822</v>
      </c>
      <c r="E835" s="143">
        <f>(INDEX(Production_Consumption!$AA$83:$AJ$99,MATCH('County Scaled Consumption '!$B835,Production_Consumption!$AA$83:$AA$99,0),MATCH('County Scaled Consumption '!E$2,Production_Consumption!$AA$83:$AJ$83,0)))*'CA Population'!$L835*10^6</f>
        <v>25822.71716846558</v>
      </c>
      <c r="F835" s="143">
        <f>(INDEX(Production_Consumption!$AA$83:$AJ$99,MATCH('County Scaled Consumption '!$B835,Production_Consumption!$AA$83:$AA$99,0),MATCH('County Scaled Consumption '!F$2,Production_Consumption!$AA$83:$AJ$83,0)))*'CA Population'!$L835*10^6</f>
        <v>6145.3688324334707</v>
      </c>
      <c r="G835" s="143">
        <f>(INDEX(Production_Consumption!$AA$83:$AJ$99,MATCH('County Scaled Consumption '!$B835,Production_Consumption!$AA$83:$AA$99,0),MATCH('County Scaled Consumption '!G$2,Production_Consumption!$AA$83:$AJ$83,0)))*'CA Population'!$L835*10^6</f>
        <v>34226.429092436141</v>
      </c>
      <c r="H835" s="143">
        <f>(INDEX(Production_Consumption!$AA$83:$AJ$99,MATCH('County Scaled Consumption '!$B835,Production_Consumption!$AA$83:$AA$99,0),MATCH('County Scaled Consumption '!H$2,Production_Consumption!$AA$83:$AJ$83,0)))*'CA Population'!$L835*10^6</f>
        <v>948.47893503902378</v>
      </c>
      <c r="I835" s="143">
        <f>(INDEX(Production_Consumption!$AA$83:$AJ$99,MATCH('County Scaled Consumption '!$B835,Production_Consumption!$AA$83:$AA$99,0),MATCH('County Scaled Consumption '!I$2,Production_Consumption!$AA$83:$AJ$83,0)))*'CA Population'!$L835*10^6</f>
        <v>17299.843167133818</v>
      </c>
      <c r="J835" s="143">
        <f>(INDEX(Production_Consumption!$AA$83:$AJ$99,MATCH('County Scaled Consumption '!$B835,Production_Consumption!$AA$83:$AA$99,0),MATCH('County Scaled Consumption '!J$2,Production_Consumption!$AA$83:$AJ$83,0)))*'CA Population'!$L835*10^6</f>
        <v>11998.100560255323</v>
      </c>
      <c r="K835" s="143">
        <f>(INDEX(Production_Consumption!$AA$83:$AJ$99,MATCH('County Scaled Consumption '!$B835,Production_Consumption!$AA$83:$AA$99,0),MATCH('County Scaled Consumption '!K$2,Production_Consumption!$AA$83:$AJ$83,0)))*'CA Population'!$L835*10^6</f>
        <v>162508.80945383283</v>
      </c>
      <c r="L835" s="131">
        <f t="shared" si="12"/>
        <v>0</v>
      </c>
    </row>
    <row r="836" spans="1:12" x14ac:dyDescent="0.2">
      <c r="A836" s="132" t="s">
        <v>312</v>
      </c>
      <c r="B836" s="129">
        <v>2006</v>
      </c>
      <c r="C836" s="143">
        <f>(INDEX(Production_Consumption!$AA$83:$AJ$99,MATCH('County Scaled Consumption '!$B836,Production_Consumption!$AA$83:$AA$99,0),MATCH('County Scaled Consumption '!C$2,Production_Consumption!$AA$83:$AJ$83,0)))*'CA Population'!$L836*10^6</f>
        <v>379.77851323278736</v>
      </c>
      <c r="D836" s="143">
        <f>(INDEX(Production_Consumption!$AA$83:$AJ$99,MATCH('County Scaled Consumption '!$B836,Production_Consumption!$AA$83:$AA$99,0),MATCH('County Scaled Consumption '!D$2,Production_Consumption!$AA$83:$AJ$83,0)))*'CA Population'!$L836*10^6</f>
        <v>1476.3712467067796</v>
      </c>
      <c r="E836" s="143">
        <f>(INDEX(Production_Consumption!$AA$83:$AJ$99,MATCH('County Scaled Consumption '!$B836,Production_Consumption!$AA$83:$AA$99,0),MATCH('County Scaled Consumption '!E$2,Production_Consumption!$AA$83:$AJ$83,0)))*'CA Population'!$L836*10^6</f>
        <v>725.47864856732281</v>
      </c>
      <c r="F836" s="143">
        <f>(INDEX(Production_Consumption!$AA$83:$AJ$99,MATCH('County Scaled Consumption '!$B836,Production_Consumption!$AA$83:$AA$99,0),MATCH('County Scaled Consumption '!F$2,Production_Consumption!$AA$83:$AJ$83,0)))*'CA Population'!$L836*10^6</f>
        <v>172.65161703997788</v>
      </c>
      <c r="G836" s="143">
        <f>(INDEX(Production_Consumption!$AA$83:$AJ$99,MATCH('County Scaled Consumption '!$B836,Production_Consumption!$AA$83:$AA$99,0),MATCH('County Scaled Consumption '!G$2,Production_Consumption!$AA$83:$AJ$83,0)))*'CA Population'!$L836*10^6</f>
        <v>961.57748858391471</v>
      </c>
      <c r="H836" s="143">
        <f>(INDEX(Production_Consumption!$AA$83:$AJ$99,MATCH('County Scaled Consumption '!$B836,Production_Consumption!$AA$83:$AA$99,0),MATCH('County Scaled Consumption '!H$2,Production_Consumption!$AA$83:$AJ$83,0)))*'CA Population'!$L836*10^6</f>
        <v>26.647126694590693</v>
      </c>
      <c r="I836" s="143">
        <f>(INDEX(Production_Consumption!$AA$83:$AJ$99,MATCH('County Scaled Consumption '!$B836,Production_Consumption!$AA$83:$AA$99,0),MATCH('County Scaled Consumption '!I$2,Production_Consumption!$AA$83:$AJ$83,0)))*'CA Population'!$L836*10^6</f>
        <v>486.03199885740969</v>
      </c>
      <c r="J836" s="143">
        <f>(INDEX(Production_Consumption!$AA$83:$AJ$99,MATCH('County Scaled Consumption '!$B836,Production_Consumption!$AA$83:$AA$99,0),MATCH('County Scaled Consumption '!J$2,Production_Consumption!$AA$83:$AJ$83,0)))*'CA Population'!$L836*10^6</f>
        <v>337.08171464072524</v>
      </c>
      <c r="K836" s="143">
        <f>(INDEX(Production_Consumption!$AA$83:$AJ$99,MATCH('County Scaled Consumption '!$B836,Production_Consumption!$AA$83:$AA$99,0),MATCH('County Scaled Consumption '!K$2,Production_Consumption!$AA$83:$AJ$83,0)))*'CA Population'!$L836*10^6</f>
        <v>4565.6183543235084</v>
      </c>
      <c r="L836" s="131">
        <f t="shared" ref="L836:L899" si="13">K836-SUM(C836:J836)</f>
        <v>0</v>
      </c>
    </row>
    <row r="837" spans="1:12" x14ac:dyDescent="0.2">
      <c r="A837" s="132" t="s">
        <v>313</v>
      </c>
      <c r="B837" s="129">
        <v>2006</v>
      </c>
      <c r="C837" s="143">
        <f>(INDEX(Production_Consumption!$AA$83:$AJ$99,MATCH('County Scaled Consumption '!$B837,Production_Consumption!$AA$83:$AA$99,0),MATCH('County Scaled Consumption '!C$2,Production_Consumption!$AA$83:$AJ$83,0)))*'CA Population'!$L837*10^6</f>
        <v>2338.2899709637318</v>
      </c>
      <c r="D837" s="143">
        <f>(INDEX(Production_Consumption!$AA$83:$AJ$99,MATCH('County Scaled Consumption '!$B837,Production_Consumption!$AA$83:$AA$99,0),MATCH('County Scaled Consumption '!D$2,Production_Consumption!$AA$83:$AJ$83,0)))*'CA Population'!$L837*10^6</f>
        <v>9089.9931389158082</v>
      </c>
      <c r="E837" s="143">
        <f>(INDEX(Production_Consumption!$AA$83:$AJ$99,MATCH('County Scaled Consumption '!$B837,Production_Consumption!$AA$83:$AA$99,0),MATCH('County Scaled Consumption '!E$2,Production_Consumption!$AA$83:$AJ$83,0)))*'CA Population'!$L837*10^6</f>
        <v>4466.7599376626322</v>
      </c>
      <c r="F837" s="143">
        <f>(INDEX(Production_Consumption!$AA$83:$AJ$99,MATCH('County Scaled Consumption '!$B837,Production_Consumption!$AA$83:$AA$99,0),MATCH('County Scaled Consumption '!F$2,Production_Consumption!$AA$83:$AJ$83,0)))*'CA Population'!$L837*10^6</f>
        <v>1063.0131261475428</v>
      </c>
      <c r="G837" s="143">
        <f>(INDEX(Production_Consumption!$AA$83:$AJ$99,MATCH('County Scaled Consumption '!$B837,Production_Consumption!$AA$83:$AA$99,0),MATCH('County Scaled Consumption '!G$2,Production_Consumption!$AA$83:$AJ$83,0)))*'CA Population'!$L837*10^6</f>
        <v>5920.4165573265636</v>
      </c>
      <c r="H837" s="143">
        <f>(INDEX(Production_Consumption!$AA$83:$AJ$99,MATCH('County Scaled Consumption '!$B837,Production_Consumption!$AA$83:$AA$99,0),MATCH('County Scaled Consumption '!H$2,Production_Consumption!$AA$83:$AJ$83,0)))*'CA Population'!$L837*10^6</f>
        <v>164.06591456312557</v>
      </c>
      <c r="I837" s="143">
        <f>(INDEX(Production_Consumption!$AA$83:$AJ$99,MATCH('County Scaled Consumption '!$B837,Production_Consumption!$AA$83:$AA$99,0),MATCH('County Scaled Consumption '!I$2,Production_Consumption!$AA$83:$AJ$83,0)))*'CA Population'!$L837*10^6</f>
        <v>2992.4909095610756</v>
      </c>
      <c r="J837" s="143">
        <f>(INDEX(Production_Consumption!$AA$83:$AJ$99,MATCH('County Scaled Consumption '!$B837,Production_Consumption!$AA$83:$AA$99,0),MATCH('County Scaled Consumption '!J$2,Production_Consumption!$AA$83:$AJ$83,0)))*'CA Population'!$L837*10^6</f>
        <v>2075.4064942492882</v>
      </c>
      <c r="K837" s="143">
        <f>(INDEX(Production_Consumption!$AA$83:$AJ$99,MATCH('County Scaled Consumption '!$B837,Production_Consumption!$AA$83:$AA$99,0),MATCH('County Scaled Consumption '!K$2,Production_Consumption!$AA$83:$AJ$83,0)))*'CA Population'!$L837*10^6</f>
        <v>28110.436049389773</v>
      </c>
      <c r="L837" s="131">
        <f t="shared" si="13"/>
        <v>0</v>
      </c>
    </row>
    <row r="838" spans="1:12" x14ac:dyDescent="0.2">
      <c r="A838" s="132" t="s">
        <v>314</v>
      </c>
      <c r="B838" s="129">
        <v>2006</v>
      </c>
      <c r="C838" s="143">
        <f>(INDEX(Production_Consumption!$AA$83:$AJ$99,MATCH('County Scaled Consumption '!$B838,Production_Consumption!$AA$83:$AA$99,0),MATCH('County Scaled Consumption '!C$2,Production_Consumption!$AA$83:$AJ$83,0)))*'CA Population'!$L838*10^6</f>
        <v>11799.332936857292</v>
      </c>
      <c r="D838" s="143">
        <f>(INDEX(Production_Consumption!$AA$83:$AJ$99,MATCH('County Scaled Consumption '!$B838,Production_Consumption!$AA$83:$AA$99,0),MATCH('County Scaled Consumption '!D$2,Production_Consumption!$AA$83:$AJ$83,0)))*'CA Population'!$L838*10^6</f>
        <v>45869.356141321659</v>
      </c>
      <c r="E838" s="143">
        <f>(INDEX(Production_Consumption!$AA$83:$AJ$99,MATCH('County Scaled Consumption '!$B838,Production_Consumption!$AA$83:$AA$99,0),MATCH('County Scaled Consumption '!E$2,Production_Consumption!$AA$83:$AJ$83,0)))*'CA Population'!$L838*10^6</f>
        <v>22539.885261439547</v>
      </c>
      <c r="F838" s="143">
        <f>(INDEX(Production_Consumption!$AA$83:$AJ$99,MATCH('County Scaled Consumption '!$B838,Production_Consumption!$AA$83:$AA$99,0),MATCH('County Scaled Consumption '!F$2,Production_Consumption!$AA$83:$AJ$83,0)))*'CA Population'!$L838*10^6</f>
        <v>5364.1105027255335</v>
      </c>
      <c r="G838" s="143">
        <f>(INDEX(Production_Consumption!$AA$83:$AJ$99,MATCH('County Scaled Consumption '!$B838,Production_Consumption!$AA$83:$AA$99,0),MATCH('County Scaled Consumption '!G$2,Production_Consumption!$AA$83:$AJ$83,0)))*'CA Population'!$L838*10^6</f>
        <v>29875.23658410375</v>
      </c>
      <c r="H838" s="143">
        <f>(INDEX(Production_Consumption!$AA$83:$AJ$99,MATCH('County Scaled Consumption '!$B838,Production_Consumption!$AA$83:$AA$99,0),MATCH('County Scaled Consumption '!H$2,Production_Consumption!$AA$83:$AJ$83,0)))*'CA Population'!$L838*10^6</f>
        <v>827.89917998169801</v>
      </c>
      <c r="I838" s="143">
        <f>(INDEX(Production_Consumption!$AA$83:$AJ$99,MATCH('County Scaled Consumption '!$B838,Production_Consumption!$AA$83:$AA$99,0),MATCH('County Scaled Consumption '!I$2,Production_Consumption!$AA$83:$AJ$83,0)))*'CA Population'!$L838*10^6</f>
        <v>15100.520889578629</v>
      </c>
      <c r="J838" s="143">
        <f>(INDEX(Production_Consumption!$AA$83:$AJ$99,MATCH('County Scaled Consumption '!$B838,Production_Consumption!$AA$83:$AA$99,0),MATCH('County Scaled Consumption '!J$2,Production_Consumption!$AA$83:$AJ$83,0)))*'CA Population'!$L838*10^6</f>
        <v>10472.78674118856</v>
      </c>
      <c r="K838" s="143">
        <f>(INDEX(Production_Consumption!$AA$83:$AJ$99,MATCH('County Scaled Consumption '!$B838,Production_Consumption!$AA$83:$AA$99,0),MATCH('County Scaled Consumption '!K$2,Production_Consumption!$AA$83:$AJ$83,0)))*'CA Population'!$L838*10^6</f>
        <v>141849.12823719668</v>
      </c>
      <c r="L838" s="131">
        <f t="shared" si="13"/>
        <v>0</v>
      </c>
    </row>
    <row r="839" spans="1:12" x14ac:dyDescent="0.2">
      <c r="A839" s="132" t="s">
        <v>315</v>
      </c>
      <c r="B839" s="129">
        <v>2006</v>
      </c>
      <c r="C839" s="143">
        <f>(INDEX(Production_Consumption!$AA$83:$AJ$99,MATCH('County Scaled Consumption '!$B839,Production_Consumption!$AA$83:$AA$99,0),MATCH('County Scaled Consumption '!C$2,Production_Consumption!$AA$83:$AJ$83,0)))*'CA Population'!$L839*10^6</f>
        <v>370.81286272248548</v>
      </c>
      <c r="D839" s="143">
        <f>(INDEX(Production_Consumption!$AA$83:$AJ$99,MATCH('County Scaled Consumption '!$B839,Production_Consumption!$AA$83:$AA$99,0),MATCH('County Scaled Consumption '!D$2,Production_Consumption!$AA$83:$AJ$83,0)))*'CA Population'!$L839*10^6</f>
        <v>1441.5176987565349</v>
      </c>
      <c r="E839" s="143">
        <f>(INDEX(Production_Consumption!$AA$83:$AJ$99,MATCH('County Scaled Consumption '!$B839,Production_Consumption!$AA$83:$AA$99,0),MATCH('County Scaled Consumption '!E$2,Production_Consumption!$AA$83:$AJ$83,0)))*'CA Population'!$L839*10^6</f>
        <v>708.35185547844208</v>
      </c>
      <c r="F839" s="143">
        <f>(INDEX(Production_Consumption!$AA$83:$AJ$99,MATCH('County Scaled Consumption '!$B839,Production_Consumption!$AA$83:$AA$99,0),MATCH('County Scaled Consumption '!F$2,Production_Consumption!$AA$83:$AJ$83,0)))*'CA Population'!$L839*10^6</f>
        <v>168.57573068916133</v>
      </c>
      <c r="G839" s="143">
        <f>(INDEX(Production_Consumption!$AA$83:$AJ$99,MATCH('County Scaled Consumption '!$B839,Production_Consumption!$AA$83:$AA$99,0),MATCH('County Scaled Consumption '!G$2,Production_Consumption!$AA$83:$AJ$83,0)))*'CA Population'!$L839*10^6</f>
        <v>938.87697393965209</v>
      </c>
      <c r="H839" s="143">
        <f>(INDEX(Production_Consumption!$AA$83:$AJ$99,MATCH('County Scaled Consumption '!$B839,Production_Consumption!$AA$83:$AA$99,0),MATCH('County Scaled Consumption '!H$2,Production_Consumption!$AA$83:$AJ$83,0)))*'CA Population'!$L839*10^6</f>
        <v>26.018052598181782</v>
      </c>
      <c r="I839" s="143">
        <f>(INDEX(Production_Consumption!$AA$83:$AJ$99,MATCH('County Scaled Consumption '!$B839,Production_Consumption!$AA$83:$AA$99,0),MATCH('County Scaled Consumption '!I$2,Production_Consumption!$AA$83:$AJ$83,0)))*'CA Population'!$L839*10^6</f>
        <v>474.55796099917006</v>
      </c>
      <c r="J839" s="143">
        <f>(INDEX(Production_Consumption!$AA$83:$AJ$99,MATCH('County Scaled Consumption '!$B839,Production_Consumption!$AA$83:$AA$99,0),MATCH('County Scaled Consumption '!J$2,Production_Consumption!$AA$83:$AJ$83,0)))*'CA Population'!$L839*10^6</f>
        <v>329.12403209266171</v>
      </c>
      <c r="K839" s="143">
        <f>(INDEX(Production_Consumption!$AA$83:$AJ$99,MATCH('County Scaled Consumption '!$B839,Production_Consumption!$AA$83:$AA$99,0),MATCH('County Scaled Consumption '!K$2,Production_Consumption!$AA$83:$AJ$83,0)))*'CA Population'!$L839*10^6</f>
        <v>4457.8351672762892</v>
      </c>
      <c r="L839" s="131">
        <f t="shared" si="13"/>
        <v>0</v>
      </c>
    </row>
    <row r="840" spans="1:12" x14ac:dyDescent="0.2">
      <c r="A840" s="132" t="s">
        <v>316</v>
      </c>
      <c r="B840" s="129">
        <v>2006</v>
      </c>
      <c r="C840" s="143">
        <f>(INDEX(Production_Consumption!$AA$83:$AJ$99,MATCH('County Scaled Consumption '!$B840,Production_Consumption!$AA$83:$AA$99,0),MATCH('County Scaled Consumption '!C$2,Production_Consumption!$AA$83:$AJ$83,0)))*'CA Population'!$L840*10^6</f>
        <v>1771.091781494634</v>
      </c>
      <c r="D840" s="143">
        <f>(INDEX(Production_Consumption!$AA$83:$AJ$99,MATCH('County Scaled Consumption '!$B840,Production_Consumption!$AA$83:$AA$99,0),MATCH('County Scaled Consumption '!D$2,Production_Consumption!$AA$83:$AJ$83,0)))*'CA Population'!$L840*10^6</f>
        <v>6885.0366473329523</v>
      </c>
      <c r="E840" s="143">
        <f>(INDEX(Production_Consumption!$AA$83:$AJ$99,MATCH('County Scaled Consumption '!$B840,Production_Consumption!$AA$83:$AA$99,0),MATCH('County Scaled Consumption '!E$2,Production_Consumption!$AA$83:$AJ$83,0)))*'CA Population'!$L840*10^6</f>
        <v>3383.2595245846337</v>
      </c>
      <c r="F840" s="143">
        <f>(INDEX(Production_Consumption!$AA$83:$AJ$99,MATCH('County Scaled Consumption '!$B840,Production_Consumption!$AA$83:$AA$99,0),MATCH('County Scaled Consumption '!F$2,Production_Consumption!$AA$83:$AJ$83,0)))*'CA Population'!$L840*10^6</f>
        <v>805.15839982193256</v>
      </c>
      <c r="G840" s="143">
        <f>(INDEX(Production_Consumption!$AA$83:$AJ$99,MATCH('County Scaled Consumption '!$B840,Production_Consumption!$AA$83:$AA$99,0),MATCH('County Scaled Consumption '!G$2,Production_Consumption!$AA$83:$AJ$83,0)))*'CA Population'!$L840*10^6</f>
        <v>4484.3031608197698</v>
      </c>
      <c r="H840" s="143">
        <f>(INDEX(Production_Consumption!$AA$83:$AJ$99,MATCH('County Scaled Consumption '!$B840,Production_Consumption!$AA$83:$AA$99,0),MATCH('County Scaled Consumption '!H$2,Production_Consumption!$AA$83:$AJ$83,0)))*'CA Population'!$L840*10^6</f>
        <v>124.26850241605875</v>
      </c>
      <c r="I840" s="143">
        <f>(INDEX(Production_Consumption!$AA$83:$AJ$99,MATCH('County Scaled Consumption '!$B840,Production_Consumption!$AA$83:$AA$99,0),MATCH('County Scaled Consumption '!I$2,Production_Consumption!$AA$83:$AJ$83,0)))*'CA Population'!$L840*10^6</f>
        <v>2266.6034246969916</v>
      </c>
      <c r="J840" s="143">
        <f>(INDEX(Production_Consumption!$AA$83:$AJ$99,MATCH('County Scaled Consumption '!$B840,Production_Consumption!$AA$83:$AA$99,0),MATCH('County Scaled Consumption '!J$2,Production_Consumption!$AA$83:$AJ$83,0)))*'CA Population'!$L840*10^6</f>
        <v>1571.9758587984456</v>
      </c>
      <c r="K840" s="143">
        <f>(INDEX(Production_Consumption!$AA$83:$AJ$99,MATCH('County Scaled Consumption '!$B840,Production_Consumption!$AA$83:$AA$99,0),MATCH('County Scaled Consumption '!K$2,Production_Consumption!$AA$83:$AJ$83,0)))*'CA Population'!$L840*10^6</f>
        <v>21291.697299965417</v>
      </c>
      <c r="L840" s="131">
        <f t="shared" si="13"/>
        <v>0</v>
      </c>
    </row>
    <row r="841" spans="1:12" x14ac:dyDescent="0.2">
      <c r="A841" s="132" t="s">
        <v>317</v>
      </c>
      <c r="B841" s="129">
        <v>2006</v>
      </c>
      <c r="C841" s="143">
        <f>(INDEX(Production_Consumption!$AA$83:$AJ$99,MATCH('County Scaled Consumption '!$B841,Production_Consumption!$AA$83:$AA$99,0),MATCH('County Scaled Consumption '!C$2,Production_Consumption!$AA$83:$AJ$83,0)))*'CA Population'!$L841*10^6</f>
        <v>2148.6423037323461</v>
      </c>
      <c r="D841" s="143">
        <f>(INDEX(Production_Consumption!$AA$83:$AJ$99,MATCH('County Scaled Consumption '!$B841,Production_Consumption!$AA$83:$AA$99,0),MATCH('County Scaled Consumption '!D$2,Production_Consumption!$AA$83:$AJ$83,0)))*'CA Population'!$L841*10^6</f>
        <v>8352.7466830221565</v>
      </c>
      <c r="E841" s="143">
        <f>(INDEX(Production_Consumption!$AA$83:$AJ$99,MATCH('County Scaled Consumption '!$B841,Production_Consumption!$AA$83:$AA$99,0),MATCH('County Scaled Consumption '!E$2,Production_Consumption!$AA$83:$AJ$83,0)))*'CA Population'!$L841*10^6</f>
        <v>4104.482113791546</v>
      </c>
      <c r="F841" s="143">
        <f>(INDEX(Production_Consumption!$AA$83:$AJ$99,MATCH('County Scaled Consumption '!$B841,Production_Consumption!$AA$83:$AA$99,0),MATCH('County Scaled Consumption '!F$2,Production_Consumption!$AA$83:$AJ$83,0)))*'CA Population'!$L841*10^6</f>
        <v>976.79714690048002</v>
      </c>
      <c r="G841" s="143">
        <f>(INDEX(Production_Consumption!$AA$83:$AJ$99,MATCH('County Scaled Consumption '!$B841,Production_Consumption!$AA$83:$AA$99,0),MATCH('County Scaled Consumption '!G$2,Production_Consumption!$AA$83:$AJ$83,0)))*'CA Population'!$L841*10^6</f>
        <v>5440.2395035489726</v>
      </c>
      <c r="H841" s="143">
        <f>(INDEX(Production_Consumption!$AA$83:$AJ$99,MATCH('County Scaled Consumption '!$B841,Production_Consumption!$AA$83:$AA$99,0),MATCH('County Scaled Consumption '!H$2,Production_Consumption!$AA$83:$AJ$83,0)))*'CA Population'!$L841*10^6</f>
        <v>150.75930231423646</v>
      </c>
      <c r="I841" s="143">
        <f>(INDEX(Production_Consumption!$AA$83:$AJ$99,MATCH('County Scaled Consumption '!$B841,Production_Consumption!$AA$83:$AA$99,0),MATCH('County Scaled Consumption '!I$2,Production_Consumption!$AA$83:$AJ$83,0)))*'CA Population'!$L841*10^6</f>
        <v>2749.7840907932218</v>
      </c>
      <c r="J841" s="143">
        <f>(INDEX(Production_Consumption!$AA$83:$AJ$99,MATCH('County Scaled Consumption '!$B841,Production_Consumption!$AA$83:$AA$99,0),MATCH('County Scaled Consumption '!J$2,Production_Consumption!$AA$83:$AJ$83,0)))*'CA Population'!$L841*10^6</f>
        <v>1907.0800655005803</v>
      </c>
      <c r="K841" s="143">
        <f>(INDEX(Production_Consumption!$AA$83:$AJ$99,MATCH('County Scaled Consumption '!$B841,Production_Consumption!$AA$83:$AA$99,0),MATCH('County Scaled Consumption '!K$2,Production_Consumption!$AA$83:$AJ$83,0)))*'CA Population'!$L841*10^6</f>
        <v>25830.531209603541</v>
      </c>
      <c r="L841" s="131">
        <f t="shared" si="13"/>
        <v>0</v>
      </c>
    </row>
    <row r="842" spans="1:12" x14ac:dyDescent="0.2">
      <c r="A842" s="132" t="s">
        <v>318</v>
      </c>
      <c r="B842" s="129">
        <v>2006</v>
      </c>
      <c r="C842" s="143">
        <f>(INDEX(Production_Consumption!$AA$83:$AJ$99,MATCH('County Scaled Consumption '!$B842,Production_Consumption!$AA$83:$AA$99,0),MATCH('County Scaled Consumption '!C$2,Production_Consumption!$AA$83:$AJ$83,0)))*'CA Population'!$L842*10^6</f>
        <v>247.52174657333424</v>
      </c>
      <c r="D842" s="143">
        <f>(INDEX(Production_Consumption!$AA$83:$AJ$99,MATCH('County Scaled Consumption '!$B842,Production_Consumption!$AA$83:$AA$99,0),MATCH('County Scaled Consumption '!D$2,Production_Consumption!$AA$83:$AJ$83,0)))*'CA Population'!$L842*10^6</f>
        <v>962.22923847068239</v>
      </c>
      <c r="E842" s="143">
        <f>(INDEX(Production_Consumption!$AA$83:$AJ$99,MATCH('County Scaled Consumption '!$B842,Production_Consumption!$AA$83:$AA$99,0),MATCH('County Scaled Consumption '!E$2,Production_Consumption!$AA$83:$AJ$83,0)))*'CA Population'!$L842*10^6</f>
        <v>472.83281159452105</v>
      </c>
      <c r="F842" s="143">
        <f>(INDEX(Production_Consumption!$AA$83:$AJ$99,MATCH('County Scaled Consumption '!$B842,Production_Consumption!$AA$83:$AA$99,0),MATCH('County Scaled Consumption '!F$2,Production_Consumption!$AA$83:$AJ$83,0)))*'CA Population'!$L842*10^6</f>
        <v>112.52619173916003</v>
      </c>
      <c r="G842" s="143">
        <f>(INDEX(Production_Consumption!$AA$83:$AJ$99,MATCH('County Scaled Consumption '!$B842,Production_Consumption!$AA$83:$AA$99,0),MATCH('County Scaled Consumption '!G$2,Production_Consumption!$AA$83:$AJ$83,0)))*'CA Population'!$L842*10^6</f>
        <v>626.71091477468735</v>
      </c>
      <c r="H842" s="143">
        <f>(INDEX(Production_Consumption!$AA$83:$AJ$99,MATCH('County Scaled Consumption '!$B842,Production_Consumption!$AA$83:$AA$99,0),MATCH('County Scaled Consumption '!H$2,Production_Consumption!$AA$83:$AJ$83,0)))*'CA Population'!$L842*10^6</f>
        <v>17.367342044870004</v>
      </c>
      <c r="I842" s="143">
        <f>(INDEX(Production_Consumption!$AA$83:$AJ$99,MATCH('County Scaled Consumption '!$B842,Production_Consumption!$AA$83:$AA$99,0),MATCH('County Scaled Consumption '!I$2,Production_Consumption!$AA$83:$AJ$83,0)))*'CA Population'!$L842*10^6</f>
        <v>316.77276374499399</v>
      </c>
      <c r="J842" s="143">
        <f>(INDEX(Production_Consumption!$AA$83:$AJ$99,MATCH('County Scaled Consumption '!$B842,Production_Consumption!$AA$83:$AA$99,0),MATCH('County Scaled Consumption '!J$2,Production_Consumption!$AA$83:$AJ$83,0)))*'CA Population'!$L842*10^6</f>
        <v>219.69398435836354</v>
      </c>
      <c r="K842" s="143">
        <f>(INDEX(Production_Consumption!$AA$83:$AJ$99,MATCH('County Scaled Consumption '!$B842,Production_Consumption!$AA$83:$AA$99,0),MATCH('County Scaled Consumption '!K$2,Production_Consumption!$AA$83:$AJ$83,0)))*'CA Population'!$L842*10^6</f>
        <v>2975.6549933006127</v>
      </c>
      <c r="L842" s="131">
        <f t="shared" si="13"/>
        <v>0</v>
      </c>
    </row>
    <row r="843" spans="1:12" x14ac:dyDescent="0.2">
      <c r="A843" s="132" t="s">
        <v>319</v>
      </c>
      <c r="B843" s="129">
        <v>2006</v>
      </c>
      <c r="C843" s="143">
        <f>(INDEX(Production_Consumption!$AA$83:$AJ$99,MATCH('County Scaled Consumption '!$B843,Production_Consumption!$AA$83:$AA$99,0),MATCH('County Scaled Consumption '!C$2,Production_Consumption!$AA$83:$AJ$83,0)))*'CA Population'!$L843*10^6</f>
        <v>10389.175696564809</v>
      </c>
      <c r="D843" s="143">
        <f>(INDEX(Production_Consumption!$AA$83:$AJ$99,MATCH('County Scaled Consumption '!$B843,Production_Consumption!$AA$83:$AA$99,0),MATCH('County Scaled Consumption '!D$2,Production_Consumption!$AA$83:$AJ$83,0)))*'CA Population'!$L843*10^6</f>
        <v>40387.435678835995</v>
      </c>
      <c r="E843" s="143">
        <f>(INDEX(Production_Consumption!$AA$83:$AJ$99,MATCH('County Scaled Consumption '!$B843,Production_Consumption!$AA$83:$AA$99,0),MATCH('County Scaled Consumption '!E$2,Production_Consumption!$AA$83:$AJ$83,0)))*'CA Population'!$L843*10^6</f>
        <v>19846.107353241412</v>
      </c>
      <c r="F843" s="143">
        <f>(INDEX(Production_Consumption!$AA$83:$AJ$99,MATCH('County Scaled Consumption '!$B843,Production_Consumption!$AA$83:$AA$99,0),MATCH('County Scaled Consumption '!F$2,Production_Consumption!$AA$83:$AJ$83,0)))*'CA Population'!$L843*10^6</f>
        <v>4723.0370366553352</v>
      </c>
      <c r="G843" s="143">
        <f>(INDEX(Production_Consumption!$AA$83:$AJ$99,MATCH('County Scaled Consumption '!$B843,Production_Consumption!$AA$83:$AA$99,0),MATCH('County Scaled Consumption '!G$2,Production_Consumption!$AA$83:$AJ$83,0)))*'CA Population'!$L843*10^6</f>
        <v>26304.799051747323</v>
      </c>
      <c r="H843" s="143">
        <f>(INDEX(Production_Consumption!$AA$83:$AJ$99,MATCH('County Scaled Consumption '!$B843,Production_Consumption!$AA$83:$AA$99,0),MATCH('County Scaled Consumption '!H$2,Production_Consumption!$AA$83:$AJ$83,0)))*'CA Population'!$L843*10^6</f>
        <v>728.95561858454414</v>
      </c>
      <c r="I843" s="143">
        <f>(INDEX(Production_Consumption!$AA$83:$AJ$99,MATCH('County Scaled Consumption '!$B843,Production_Consumption!$AA$83:$AA$99,0),MATCH('County Scaled Consumption '!I$2,Production_Consumption!$AA$83:$AJ$83,0)))*'CA Population'!$L843*10^6</f>
        <v>13295.833372192688</v>
      </c>
      <c r="J843" s="143">
        <f>(INDEX(Production_Consumption!$AA$83:$AJ$99,MATCH('County Scaled Consumption '!$B843,Production_Consumption!$AA$83:$AA$99,0),MATCH('County Scaled Consumption '!J$2,Production_Consumption!$AA$83:$AJ$83,0)))*'CA Population'!$L843*10^6</f>
        <v>9221.1671684417961</v>
      </c>
      <c r="K843" s="143">
        <f>(INDEX(Production_Consumption!$AA$83:$AJ$99,MATCH('County Scaled Consumption '!$B843,Production_Consumption!$AA$83:$AA$99,0),MATCH('County Scaled Consumption '!K$2,Production_Consumption!$AA$83:$AJ$83,0)))*'CA Population'!$L843*10^6</f>
        <v>124896.5109762639</v>
      </c>
      <c r="L843" s="131">
        <f t="shared" si="13"/>
        <v>0</v>
      </c>
    </row>
    <row r="844" spans="1:12" x14ac:dyDescent="0.2">
      <c r="A844" s="132" t="s">
        <v>320</v>
      </c>
      <c r="B844" s="129">
        <v>2006</v>
      </c>
      <c r="C844" s="143">
        <f>(INDEX(Production_Consumption!$AA$83:$AJ$99,MATCH('County Scaled Consumption '!$B844,Production_Consumption!$AA$83:$AA$99,0),MATCH('County Scaled Consumption '!C$2,Production_Consumption!$AA$83:$AJ$83,0)))*'CA Population'!$L844*10^6</f>
        <v>1960.1623185285</v>
      </c>
      <c r="D844" s="143">
        <f>(INDEX(Production_Consumption!$AA$83:$AJ$99,MATCH('County Scaled Consumption '!$B844,Production_Consumption!$AA$83:$AA$99,0),MATCH('County Scaled Consumption '!D$2,Production_Consumption!$AA$83:$AJ$83,0)))*'CA Population'!$L844*10^6</f>
        <v>7620.0395365172335</v>
      </c>
      <c r="E844" s="143">
        <f>(INDEX(Production_Consumption!$AA$83:$AJ$99,MATCH('County Scaled Consumption '!$B844,Production_Consumption!$AA$83:$AA$99,0),MATCH('County Scaled Consumption '!E$2,Production_Consumption!$AA$83:$AJ$83,0)))*'CA Population'!$L844*10^6</f>
        <v>3744.4348752479032</v>
      </c>
      <c r="F844" s="143">
        <f>(INDEX(Production_Consumption!$AA$83:$AJ$99,MATCH('County Scaled Consumption '!$B844,Production_Consumption!$AA$83:$AA$99,0),MATCH('County Scaled Consumption '!F$2,Production_Consumption!$AA$83:$AJ$83,0)))*'CA Population'!$L844*10^6</f>
        <v>891.1120091392271</v>
      </c>
      <c r="G844" s="143">
        <f>(INDEX(Production_Consumption!$AA$83:$AJ$99,MATCH('County Scaled Consumption '!$B844,Production_Consumption!$AA$83:$AA$99,0),MATCH('County Scaled Consumption '!G$2,Production_Consumption!$AA$83:$AJ$83,0)))*'CA Population'!$L844*10^6</f>
        <v>4963.0189539241528</v>
      </c>
      <c r="H844" s="143">
        <f>(INDEX(Production_Consumption!$AA$83:$AJ$99,MATCH('County Scaled Consumption '!$B844,Production_Consumption!$AA$83:$AA$99,0),MATCH('County Scaled Consumption '!H$2,Production_Consumption!$AA$83:$AJ$83,0)))*'CA Population'!$L844*10^6</f>
        <v>137.53462037431078</v>
      </c>
      <c r="I844" s="143">
        <f>(INDEX(Production_Consumption!$AA$83:$AJ$99,MATCH('County Scaled Consumption '!$B844,Production_Consumption!$AA$83:$AA$99,0),MATCH('County Scaled Consumption '!I$2,Production_Consumption!$AA$83:$AJ$83,0)))*'CA Population'!$L844*10^6</f>
        <v>2508.5716452194802</v>
      </c>
      <c r="J844" s="143">
        <f>(INDEX(Production_Consumption!$AA$83:$AJ$99,MATCH('County Scaled Consumption '!$B844,Production_Consumption!$AA$83:$AA$99,0),MATCH('County Scaled Consumption '!J$2,Production_Consumption!$AA$83:$AJ$83,0)))*'CA Population'!$L844*10^6</f>
        <v>1739.7900415148686</v>
      </c>
      <c r="K844" s="143">
        <f>(INDEX(Production_Consumption!$AA$83:$AJ$99,MATCH('County Scaled Consumption '!$B844,Production_Consumption!$AA$83:$AA$99,0),MATCH('County Scaled Consumption '!K$2,Production_Consumption!$AA$83:$AJ$83,0)))*'CA Population'!$L844*10^6</f>
        <v>23564.66400046568</v>
      </c>
      <c r="L844" s="131">
        <f t="shared" si="13"/>
        <v>0</v>
      </c>
    </row>
    <row r="845" spans="1:12" x14ac:dyDescent="0.2">
      <c r="A845" s="132" t="s">
        <v>321</v>
      </c>
      <c r="B845" s="129">
        <v>2006</v>
      </c>
      <c r="C845" s="143">
        <f>(INDEX(Production_Consumption!$AA$83:$AJ$99,MATCH('County Scaled Consumption '!$B845,Production_Consumption!$AA$83:$AA$99,0),MATCH('County Scaled Consumption '!C$2,Production_Consumption!$AA$83:$AJ$83,0)))*'CA Population'!$L845*10^6</f>
        <v>851.58916052117354</v>
      </c>
      <c r="D845" s="143">
        <f>(INDEX(Production_Consumption!$AA$83:$AJ$99,MATCH('County Scaled Consumption '!$B845,Production_Consumption!$AA$83:$AA$99,0),MATCH('County Scaled Consumption '!D$2,Production_Consumption!$AA$83:$AJ$83,0)))*'CA Population'!$L845*10^6</f>
        <v>3310.5131196034231</v>
      </c>
      <c r="E845" s="143">
        <f>(INDEX(Production_Consumption!$AA$83:$AJ$99,MATCH('County Scaled Consumption '!$B845,Production_Consumption!$AA$83:$AA$99,0),MATCH('County Scaled Consumption '!E$2,Production_Consumption!$AA$83:$AJ$83,0)))*'CA Population'!$L845*10^6</f>
        <v>1626.7633154137711</v>
      </c>
      <c r="F845" s="143">
        <f>(INDEX(Production_Consumption!$AA$83:$AJ$99,MATCH('County Scaled Consumption '!$B845,Production_Consumption!$AA$83:$AA$99,0),MATCH('County Scaled Consumption '!F$2,Production_Consumption!$AA$83:$AJ$83,0)))*'CA Population'!$L845*10^6</f>
        <v>387.14208543856222</v>
      </c>
      <c r="G845" s="143">
        <f>(INDEX(Production_Consumption!$AA$83:$AJ$99,MATCH('County Scaled Consumption '!$B845,Production_Consumption!$AA$83:$AA$99,0),MATCH('County Scaled Consumption '!G$2,Production_Consumption!$AA$83:$AJ$83,0)))*'CA Population'!$L845*10^6</f>
        <v>2156.1750803350583</v>
      </c>
      <c r="H845" s="143">
        <f>(INDEX(Production_Consumption!$AA$83:$AJ$99,MATCH('County Scaled Consumption '!$B845,Production_Consumption!$AA$83:$AA$99,0),MATCH('County Scaled Consumption '!H$2,Production_Consumption!$AA$83:$AJ$83,0)))*'CA Population'!$L845*10^6</f>
        <v>59.751680154265088</v>
      </c>
      <c r="I845" s="143">
        <f>(INDEX(Production_Consumption!$AA$83:$AJ$99,MATCH('County Scaled Consumption '!$B845,Production_Consumption!$AA$83:$AA$99,0),MATCH('County Scaled Consumption '!I$2,Production_Consumption!$AA$83:$AJ$83,0)))*'CA Population'!$L845*10^6</f>
        <v>1089.8446527955821</v>
      </c>
      <c r="J845" s="143">
        <f>(INDEX(Production_Consumption!$AA$83:$AJ$99,MATCH('County Scaled Consumption '!$B845,Production_Consumption!$AA$83:$AA$99,0),MATCH('County Scaled Consumption '!J$2,Production_Consumption!$AA$83:$AJ$83,0)))*'CA Population'!$L845*10^6</f>
        <v>755.84880238335359</v>
      </c>
      <c r="K845" s="143">
        <f>(INDEX(Production_Consumption!$AA$83:$AJ$99,MATCH('County Scaled Consumption '!$B845,Production_Consumption!$AA$83:$AA$99,0),MATCH('County Scaled Consumption '!K$2,Production_Consumption!$AA$83:$AJ$83,0)))*'CA Population'!$L845*10^6</f>
        <v>10237.62789664519</v>
      </c>
      <c r="L845" s="131">
        <f t="shared" si="13"/>
        <v>0</v>
      </c>
    </row>
    <row r="846" spans="1:12" x14ac:dyDescent="0.2">
      <c r="A846" s="132" t="s">
        <v>322</v>
      </c>
      <c r="B846" s="129">
        <v>2006</v>
      </c>
      <c r="C846" s="143">
        <f>(INDEX(Production_Consumption!$AA$83:$AJ$99,MATCH('County Scaled Consumption '!$B846,Production_Consumption!$AA$83:$AA$99,0),MATCH('County Scaled Consumption '!C$2,Production_Consumption!$AA$83:$AJ$83,0)))*'CA Population'!$L846*10^6</f>
        <v>466.65674040821261</v>
      </c>
      <c r="D846" s="143">
        <f>(INDEX(Production_Consumption!$AA$83:$AJ$99,MATCH('County Scaled Consumption '!$B846,Production_Consumption!$AA$83:$AA$99,0),MATCH('County Scaled Consumption '!D$2,Production_Consumption!$AA$83:$AJ$83,0)))*'CA Population'!$L846*10^6</f>
        <v>1814.106300422251</v>
      </c>
      <c r="E846" s="143">
        <f>(INDEX(Production_Consumption!$AA$83:$AJ$99,MATCH('County Scaled Consumption '!$B846,Production_Consumption!$AA$83:$AA$99,0),MATCH('County Scaled Consumption '!E$2,Production_Consumption!$AA$83:$AJ$83,0)))*'CA Population'!$L846*10^6</f>
        <v>891.43932471152266</v>
      </c>
      <c r="F846" s="143">
        <f>(INDEX(Production_Consumption!$AA$83:$AJ$99,MATCH('County Scaled Consumption '!$B846,Production_Consumption!$AA$83:$AA$99,0),MATCH('County Scaled Consumption '!F$2,Production_Consumption!$AA$83:$AJ$83,0)))*'CA Population'!$L846*10^6</f>
        <v>212.14744390949218</v>
      </c>
      <c r="G846" s="143">
        <f>(INDEX(Production_Consumption!$AA$83:$AJ$99,MATCH('County Scaled Consumption '!$B846,Production_Consumption!$AA$83:$AA$99,0),MATCH('County Scaled Consumption '!G$2,Production_Consumption!$AA$83:$AJ$83,0)))*'CA Population'!$L846*10^6</f>
        <v>1181.5481941113276</v>
      </c>
      <c r="H846" s="143">
        <f>(INDEX(Production_Consumption!$AA$83:$AJ$99,MATCH('County Scaled Consumption '!$B846,Production_Consumption!$AA$83:$AA$99,0),MATCH('County Scaled Consumption '!H$2,Production_Consumption!$AA$83:$AJ$83,0)))*'CA Population'!$L846*10^6</f>
        <v>32.742930027008192</v>
      </c>
      <c r="I846" s="143">
        <f>(INDEX(Production_Consumption!$AA$83:$AJ$99,MATCH('County Scaled Consumption '!$B846,Production_Consumption!$AA$83:$AA$99,0),MATCH('County Scaled Consumption '!I$2,Production_Consumption!$AA$83:$AJ$83,0)))*'CA Population'!$L846*10^6</f>
        <v>597.21679984002253</v>
      </c>
      <c r="J846" s="143">
        <f>(INDEX(Production_Consumption!$AA$83:$AJ$99,MATCH('County Scaled Consumption '!$B846,Production_Consumption!$AA$83:$AA$99,0),MATCH('County Scaled Consumption '!J$2,Production_Consumption!$AA$83:$AJ$83,0)))*'CA Population'!$L846*10^6</f>
        <v>414.19261154733437</v>
      </c>
      <c r="K846" s="143">
        <f>(INDEX(Production_Consumption!$AA$83:$AJ$99,MATCH('County Scaled Consumption '!$B846,Production_Consumption!$AA$83:$AA$99,0),MATCH('County Scaled Consumption '!K$2,Production_Consumption!$AA$83:$AJ$83,0)))*'CA Population'!$L846*10^6</f>
        <v>5610.0503449771722</v>
      </c>
      <c r="L846" s="131">
        <f t="shared" si="13"/>
        <v>0</v>
      </c>
    </row>
    <row r="847" spans="1:12" x14ac:dyDescent="0.2">
      <c r="A847" s="132" t="s">
        <v>323</v>
      </c>
      <c r="B847" s="129">
        <v>2006</v>
      </c>
      <c r="C847" s="143">
        <f>(INDEX(Production_Consumption!$AA$83:$AJ$99,MATCH('County Scaled Consumption '!$B847,Production_Consumption!$AA$83:$AA$99,0),MATCH('County Scaled Consumption '!C$2,Production_Consumption!$AA$83:$AJ$83,0)))*'CA Population'!$L847*10^6</f>
        <v>131513.32901362065</v>
      </c>
      <c r="D847" s="143">
        <f>(INDEX(Production_Consumption!$AA$83:$AJ$99,MATCH('County Scaled Consumption '!$B847,Production_Consumption!$AA$83:$AA$99,0),MATCH('County Scaled Consumption '!D$2,Production_Consumption!$AA$83:$AJ$83,0)))*'CA Population'!$L847*10^6</f>
        <v>511251.92908263608</v>
      </c>
      <c r="E847" s="143">
        <f>(INDEX(Production_Consumption!$AA$83:$AJ$99,MATCH('County Scaled Consumption '!$B847,Production_Consumption!$AA$83:$AA$99,0),MATCH('County Scaled Consumption '!E$2,Production_Consumption!$AA$83:$AJ$83,0)))*'CA Population'!$L847*10^6</f>
        <v>251225.67200875055</v>
      </c>
      <c r="F847" s="143">
        <f>(INDEX(Production_Consumption!$AA$83:$AJ$99,MATCH('County Scaled Consumption '!$B847,Production_Consumption!$AA$83:$AA$99,0),MATCH('County Scaled Consumption '!F$2,Production_Consumption!$AA$83:$AJ$83,0)))*'CA Population'!$L847*10^6</f>
        <v>59787.450119892586</v>
      </c>
      <c r="G847" s="143">
        <f>(INDEX(Production_Consumption!$AA$83:$AJ$99,MATCH('County Scaled Consumption '!$B847,Production_Consumption!$AA$83:$AA$99,0),MATCH('County Scaled Consumption '!G$2,Production_Consumption!$AA$83:$AJ$83,0)))*'CA Population'!$L847*10^6</f>
        <v>332984.23218249023</v>
      </c>
      <c r="H847" s="143">
        <f>(INDEX(Production_Consumption!$AA$83:$AJ$99,MATCH('County Scaled Consumption '!$B847,Production_Consumption!$AA$83:$AA$99,0),MATCH('County Scaled Consumption '!H$2,Production_Consumption!$AA$83:$AJ$83,0)))*'CA Population'!$L847*10^6</f>
        <v>9227.6214112862817</v>
      </c>
      <c r="I847" s="143">
        <f>(INDEX(Production_Consumption!$AA$83:$AJ$99,MATCH('County Scaled Consumption '!$B847,Production_Consumption!$AA$83:$AA$99,0),MATCH('County Scaled Consumption '!I$2,Production_Consumption!$AA$83:$AJ$83,0)))*'CA Population'!$L847*10^6</f>
        <v>168307.80033546101</v>
      </c>
      <c r="J847" s="143">
        <f>(INDEX(Production_Consumption!$AA$83:$AJ$99,MATCH('County Scaled Consumption '!$B847,Production_Consumption!$AA$83:$AA$99,0),MATCH('County Scaled Consumption '!J$2,Production_Consumption!$AA$83:$AJ$83,0)))*'CA Population'!$L847*10^6</f>
        <v>116727.87400388895</v>
      </c>
      <c r="K847" s="143">
        <f>(INDEX(Production_Consumption!$AA$83:$AJ$99,MATCH('County Scaled Consumption '!$B847,Production_Consumption!$AA$83:$AA$99,0),MATCH('County Scaled Consumption '!K$2,Production_Consumption!$AA$83:$AJ$83,0)))*'CA Population'!$L847*10^6</f>
        <v>1581025.9081580264</v>
      </c>
      <c r="L847" s="131">
        <f t="shared" si="13"/>
        <v>0</v>
      </c>
    </row>
    <row r="848" spans="1:12" x14ac:dyDescent="0.2">
      <c r="A848" s="132" t="s">
        <v>324</v>
      </c>
      <c r="B848" s="129">
        <v>2006</v>
      </c>
      <c r="C848" s="143">
        <f>(INDEX(Production_Consumption!$AA$83:$AJ$99,MATCH('County Scaled Consumption '!$B848,Production_Consumption!$AA$83:$AA$99,0),MATCH('County Scaled Consumption '!C$2,Production_Consumption!$AA$83:$AJ$83,0)))*'CA Population'!$L848*10^6</f>
        <v>1901.7513738865332</v>
      </c>
      <c r="D848" s="143">
        <f>(INDEX(Production_Consumption!$AA$83:$AJ$99,MATCH('County Scaled Consumption '!$B848,Production_Consumption!$AA$83:$AA$99,0),MATCH('County Scaled Consumption '!D$2,Production_Consumption!$AA$83:$AJ$83,0)))*'CA Population'!$L848*10^6</f>
        <v>7392.9697151407881</v>
      </c>
      <c r="E848" s="143">
        <f>(INDEX(Production_Consumption!$AA$83:$AJ$99,MATCH('County Scaled Consumption '!$B848,Production_Consumption!$AA$83:$AA$99,0),MATCH('County Scaled Consumption '!E$2,Production_Consumption!$AA$83:$AJ$83,0)))*'CA Population'!$L848*10^6</f>
        <v>3632.8543310520809</v>
      </c>
      <c r="F848" s="143">
        <f>(INDEX(Production_Consumption!$AA$83:$AJ$99,MATCH('County Scaled Consumption '!$B848,Production_Consumption!$AA$83:$AA$99,0),MATCH('County Scaled Consumption '!F$2,Production_Consumption!$AA$83:$AJ$83,0)))*'CA Population'!$L848*10^6</f>
        <v>864.55773159618263</v>
      </c>
      <c r="G848" s="143">
        <f>(INDEX(Production_Consumption!$AA$83:$AJ$99,MATCH('County Scaled Consumption '!$B848,Production_Consumption!$AA$83:$AA$99,0),MATCH('County Scaled Consumption '!G$2,Production_Consumption!$AA$83:$AJ$83,0)))*'CA Population'!$L848*10^6</f>
        <v>4815.1257806729091</v>
      </c>
      <c r="H848" s="143">
        <f>(INDEX(Production_Consumption!$AA$83:$AJ$99,MATCH('County Scaled Consumption '!$B848,Production_Consumption!$AA$83:$AA$99,0),MATCH('County Scaled Consumption '!H$2,Production_Consumption!$AA$83:$AJ$83,0)))*'CA Population'!$L848*10^6</f>
        <v>133.4362214707605</v>
      </c>
      <c r="I848" s="143">
        <f>(INDEX(Production_Consumption!$AA$83:$AJ$99,MATCH('County Scaled Consumption '!$B848,Production_Consumption!$AA$83:$AA$99,0),MATCH('County Scaled Consumption '!I$2,Production_Consumption!$AA$83:$AJ$83,0)))*'CA Population'!$L848*10^6</f>
        <v>2433.8186321071162</v>
      </c>
      <c r="J848" s="143">
        <f>(INDEX(Production_Consumption!$AA$83:$AJ$99,MATCH('County Scaled Consumption '!$B848,Production_Consumption!$AA$83:$AA$99,0),MATCH('County Scaled Consumption '!J$2,Production_Consumption!$AA$83:$AJ$83,0)))*'CA Population'!$L848*10^6</f>
        <v>1687.9459779682034</v>
      </c>
      <c r="K848" s="143">
        <f>(INDEX(Production_Consumption!$AA$83:$AJ$99,MATCH('County Scaled Consumption '!$B848,Production_Consumption!$AA$83:$AA$99,0),MATCH('County Scaled Consumption '!K$2,Production_Consumption!$AA$83:$AJ$83,0)))*'CA Population'!$L848*10^6</f>
        <v>22862.459763894574</v>
      </c>
      <c r="L848" s="131">
        <f t="shared" si="13"/>
        <v>0</v>
      </c>
    </row>
    <row r="849" spans="1:12" x14ac:dyDescent="0.2">
      <c r="A849" s="132" t="s">
        <v>325</v>
      </c>
      <c r="B849" s="129">
        <v>2006</v>
      </c>
      <c r="C849" s="143">
        <f>(INDEX(Production_Consumption!$AA$83:$AJ$99,MATCH('County Scaled Consumption '!$B849,Production_Consumption!$AA$83:$AA$99,0),MATCH('County Scaled Consumption '!C$2,Production_Consumption!$AA$83:$AJ$83,0)))*'CA Population'!$L849*10^6</f>
        <v>3314.7271570041094</v>
      </c>
      <c r="D849" s="143">
        <f>(INDEX(Production_Consumption!$AA$83:$AJ$99,MATCH('County Scaled Consumption '!$B849,Production_Consumption!$AA$83:$AA$99,0),MATCH('County Scaled Consumption '!D$2,Production_Consumption!$AA$83:$AJ$83,0)))*'CA Population'!$L849*10^6</f>
        <v>12885.847131323391</v>
      </c>
      <c r="E849" s="143">
        <f>(INDEX(Production_Consumption!$AA$83:$AJ$99,MATCH('County Scaled Consumption '!$B849,Production_Consumption!$AA$83:$AA$99,0),MATCH('County Scaled Consumption '!E$2,Production_Consumption!$AA$83:$AJ$83,0)))*'CA Population'!$L849*10^6</f>
        <v>6332.0164107302508</v>
      </c>
      <c r="F849" s="143">
        <f>(INDEX(Production_Consumption!$AA$83:$AJ$99,MATCH('County Scaled Consumption '!$B849,Production_Consumption!$AA$83:$AA$99,0),MATCH('County Scaled Consumption '!F$2,Production_Consumption!$AA$83:$AJ$83,0)))*'CA Population'!$L849*10^6</f>
        <v>1506.9125391838529</v>
      </c>
      <c r="G849" s="143">
        <f>(INDEX(Production_Consumption!$AA$83:$AJ$99,MATCH('County Scaled Consumption '!$B849,Production_Consumption!$AA$83:$AA$99,0),MATCH('County Scaled Consumption '!G$2,Production_Consumption!$AA$83:$AJ$83,0)))*'CA Population'!$L849*10^6</f>
        <v>8392.6997023636159</v>
      </c>
      <c r="H849" s="143">
        <f>(INDEX(Production_Consumption!$AA$83:$AJ$99,MATCH('County Scaled Consumption '!$B849,Production_Consumption!$AA$83:$AA$99,0),MATCH('County Scaled Consumption '!H$2,Production_Consumption!$AA$83:$AJ$83,0)))*'CA Population'!$L849*10^6</f>
        <v>232.57754568265372</v>
      </c>
      <c r="I849" s="143">
        <f>(INDEX(Production_Consumption!$AA$83:$AJ$99,MATCH('County Scaled Consumption '!$B849,Production_Consumption!$AA$83:$AA$99,0),MATCH('County Scaled Consumption '!I$2,Production_Consumption!$AA$83:$AJ$83,0)))*'CA Population'!$L849*10^6</f>
        <v>4242.1132572029846</v>
      </c>
      <c r="J849" s="143">
        <f>(INDEX(Production_Consumption!$AA$83:$AJ$99,MATCH('County Scaled Consumption '!$B849,Production_Consumption!$AA$83:$AA$99,0),MATCH('County Scaled Consumption '!J$2,Production_Consumption!$AA$83:$AJ$83,0)))*'CA Population'!$L849*10^6</f>
        <v>2942.067217384269</v>
      </c>
      <c r="K849" s="143">
        <f>(INDEX(Production_Consumption!$AA$83:$AJ$99,MATCH('County Scaled Consumption '!$B849,Production_Consumption!$AA$83:$AA$99,0),MATCH('County Scaled Consumption '!K$2,Production_Consumption!$AA$83:$AJ$83,0)))*'CA Population'!$L849*10^6</f>
        <v>39848.960960875134</v>
      </c>
      <c r="L849" s="131">
        <f t="shared" si="13"/>
        <v>0</v>
      </c>
    </row>
    <row r="850" spans="1:12" x14ac:dyDescent="0.2">
      <c r="A850" s="132" t="s">
        <v>326</v>
      </c>
      <c r="B850" s="129">
        <v>2006</v>
      </c>
      <c r="C850" s="143">
        <f>(INDEX(Production_Consumption!$AA$83:$AJ$99,MATCH('County Scaled Consumption '!$B850,Production_Consumption!$AA$83:$AA$99,0),MATCH('County Scaled Consumption '!C$2,Production_Consumption!$AA$83:$AJ$83,0)))*'CA Population'!$L850*10^6</f>
        <v>243.60262988320224</v>
      </c>
      <c r="D850" s="143">
        <f>(INDEX(Production_Consumption!$AA$83:$AJ$99,MATCH('County Scaled Consumption '!$B850,Production_Consumption!$AA$83:$AA$99,0),MATCH('County Scaled Consumption '!D$2,Production_Consumption!$AA$83:$AJ$83,0)))*'CA Population'!$L850*10^6</f>
        <v>946.99385523494675</v>
      </c>
      <c r="E850" s="143">
        <f>(INDEX(Production_Consumption!$AA$83:$AJ$99,MATCH('County Scaled Consumption '!$B850,Production_Consumption!$AA$83:$AA$99,0),MATCH('County Scaled Consumption '!E$2,Production_Consumption!$AA$83:$AJ$83,0)))*'CA Population'!$L850*10^6</f>
        <v>465.34624934608809</v>
      </c>
      <c r="F850" s="143">
        <f>(INDEX(Production_Consumption!$AA$83:$AJ$99,MATCH('County Scaled Consumption '!$B850,Production_Consumption!$AA$83:$AA$99,0),MATCH('County Scaled Consumption '!F$2,Production_Consumption!$AA$83:$AJ$83,0)))*'CA Population'!$L850*10^6</f>
        <v>110.7445168672462</v>
      </c>
      <c r="G850" s="143">
        <f>(INDEX(Production_Consumption!$AA$83:$AJ$99,MATCH('County Scaled Consumption '!$B850,Production_Consumption!$AA$83:$AA$99,0),MATCH('County Scaled Consumption '!G$2,Production_Consumption!$AA$83:$AJ$83,0)))*'CA Population'!$L850*10^6</f>
        <v>616.78793531941096</v>
      </c>
      <c r="H850" s="143">
        <f>(INDEX(Production_Consumption!$AA$83:$AJ$99,MATCH('County Scaled Consumption '!$B850,Production_Consumption!$AA$83:$AA$99,0),MATCH('County Scaled Consumption '!H$2,Production_Consumption!$AA$83:$AJ$83,0)))*'CA Population'!$L850*10^6</f>
        <v>17.092357559613411</v>
      </c>
      <c r="I850" s="143">
        <f>(INDEX(Production_Consumption!$AA$83:$AJ$99,MATCH('County Scaled Consumption '!$B850,Production_Consumption!$AA$83:$AA$99,0),MATCH('County Scaled Consumption '!I$2,Production_Consumption!$AA$83:$AJ$83,0)))*'CA Population'!$L850*10^6</f>
        <v>311.75716635785932</v>
      </c>
      <c r="J850" s="143">
        <f>(INDEX(Production_Consumption!$AA$83:$AJ$99,MATCH('County Scaled Consumption '!$B850,Production_Consumption!$AA$83:$AA$99,0),MATCH('County Scaled Consumption '!J$2,Production_Consumption!$AA$83:$AJ$83,0)))*'CA Population'!$L850*10^6</f>
        <v>216.21547641819208</v>
      </c>
      <c r="K850" s="143">
        <f>(INDEX(Production_Consumption!$AA$83:$AJ$99,MATCH('County Scaled Consumption '!$B850,Production_Consumption!$AA$83:$AA$99,0),MATCH('County Scaled Consumption '!K$2,Production_Consumption!$AA$83:$AJ$83,0)))*'CA Population'!$L850*10^6</f>
        <v>2928.5401869865591</v>
      </c>
      <c r="L850" s="131">
        <f t="shared" si="13"/>
        <v>0</v>
      </c>
    </row>
    <row r="851" spans="1:12" x14ac:dyDescent="0.2">
      <c r="A851" s="132" t="s">
        <v>327</v>
      </c>
      <c r="B851" s="129">
        <v>2006</v>
      </c>
      <c r="C851" s="143">
        <f>(INDEX(Production_Consumption!$AA$83:$AJ$99,MATCH('County Scaled Consumption '!$B851,Production_Consumption!$AA$83:$AA$99,0),MATCH('County Scaled Consumption '!C$2,Production_Consumption!$AA$83:$AJ$83,0)))*'CA Population'!$L851*10^6</f>
        <v>1178.4461768046792</v>
      </c>
      <c r="D851" s="143">
        <f>(INDEX(Production_Consumption!$AA$83:$AJ$99,MATCH('County Scaled Consumption '!$B851,Production_Consumption!$AA$83:$AA$99,0),MATCH('County Scaled Consumption '!D$2,Production_Consumption!$AA$83:$AJ$83,0)))*'CA Population'!$L851*10^6</f>
        <v>4581.1545166577844</v>
      </c>
      <c r="E851" s="143">
        <f>(INDEX(Production_Consumption!$AA$83:$AJ$99,MATCH('County Scaled Consumption '!$B851,Production_Consumption!$AA$83:$AA$99,0),MATCH('County Scaled Consumption '!E$2,Production_Consumption!$AA$83:$AJ$83,0)))*'CA Population'!$L851*10^6</f>
        <v>2251.1477347154396</v>
      </c>
      <c r="F851" s="143">
        <f>(INDEX(Production_Consumption!$AA$83:$AJ$99,MATCH('County Scaled Consumption '!$B851,Production_Consumption!$AA$83:$AA$99,0),MATCH('County Scaled Consumption '!F$2,Production_Consumption!$AA$83:$AJ$83,0)))*'CA Population'!$L851*10^6</f>
        <v>535.73499008142983</v>
      </c>
      <c r="G851" s="143">
        <f>(INDEX(Production_Consumption!$AA$83:$AJ$99,MATCH('County Scaled Consumption '!$B851,Production_Consumption!$AA$83:$AA$99,0),MATCH('County Scaled Consumption '!G$2,Production_Consumption!$AA$83:$AJ$83,0)))*'CA Population'!$L851*10^6</f>
        <v>2983.758363466387</v>
      </c>
      <c r="H851" s="143">
        <f>(INDEX(Production_Consumption!$AA$83:$AJ$99,MATCH('County Scaled Consumption '!$B851,Production_Consumption!$AA$83:$AA$99,0),MATCH('County Scaled Consumption '!H$2,Production_Consumption!$AA$83:$AJ$83,0)))*'CA Population'!$L851*10^6</f>
        <v>82.68557457020259</v>
      </c>
      <c r="I851" s="143">
        <f>(INDEX(Production_Consumption!$AA$83:$AJ$99,MATCH('County Scaled Consumption '!$B851,Production_Consumption!$AA$83:$AA$99,0),MATCH('County Scaled Consumption '!I$2,Production_Consumption!$AA$83:$AJ$83,0)))*'CA Population'!$L851*10^6</f>
        <v>1508.1489102232927</v>
      </c>
      <c r="J851" s="143">
        <f>(INDEX(Production_Consumption!$AA$83:$AJ$99,MATCH('County Scaled Consumption '!$B851,Production_Consumption!$AA$83:$AA$99,0),MATCH('County Scaled Consumption '!J$2,Production_Consumption!$AA$83:$AJ$83,0)))*'CA Population'!$L851*10^6</f>
        <v>1045.9587471333389</v>
      </c>
      <c r="K851" s="143">
        <f>(INDEX(Production_Consumption!$AA$83:$AJ$99,MATCH('County Scaled Consumption '!$B851,Production_Consumption!$AA$83:$AA$99,0),MATCH('County Scaled Consumption '!K$2,Production_Consumption!$AA$83:$AJ$83,0)))*'CA Population'!$L851*10^6</f>
        <v>14167.035013652556</v>
      </c>
      <c r="L851" s="131">
        <f t="shared" si="13"/>
        <v>0</v>
      </c>
    </row>
    <row r="852" spans="1:12" x14ac:dyDescent="0.2">
      <c r="A852" s="132" t="s">
        <v>328</v>
      </c>
      <c r="B852" s="129">
        <v>2006</v>
      </c>
      <c r="C852" s="143">
        <f>(INDEX(Production_Consumption!$AA$83:$AJ$99,MATCH('County Scaled Consumption '!$B852,Production_Consumption!$AA$83:$AA$99,0),MATCH('County Scaled Consumption '!C$2,Production_Consumption!$AA$83:$AJ$83,0)))*'CA Population'!$L852*10^6</f>
        <v>3262.4230551498481</v>
      </c>
      <c r="D852" s="143">
        <f>(INDEX(Production_Consumption!$AA$83:$AJ$99,MATCH('County Scaled Consumption '!$B852,Production_Consumption!$AA$83:$AA$99,0),MATCH('County Scaled Consumption '!D$2,Production_Consumption!$AA$83:$AJ$83,0)))*'CA Population'!$L852*10^6</f>
        <v>12682.517376290301</v>
      </c>
      <c r="E852" s="143">
        <f>(INDEX(Production_Consumption!$AA$83:$AJ$99,MATCH('County Scaled Consumption '!$B852,Production_Consumption!$AA$83:$AA$99,0),MATCH('County Scaled Consumption '!E$2,Production_Consumption!$AA$83:$AJ$83,0)))*'CA Population'!$L852*10^6</f>
        <v>6232.1015714078421</v>
      </c>
      <c r="F852" s="143">
        <f>(INDEX(Production_Consumption!$AA$83:$AJ$99,MATCH('County Scaled Consumption '!$B852,Production_Consumption!$AA$83:$AA$99,0),MATCH('County Scaled Consumption '!F$2,Production_Consumption!$AA$83:$AJ$83,0)))*'CA Population'!$L852*10^6</f>
        <v>1483.1345015953318</v>
      </c>
      <c r="G852" s="143">
        <f>(INDEX(Production_Consumption!$AA$83:$AJ$99,MATCH('County Scaled Consumption '!$B852,Production_Consumption!$AA$83:$AA$99,0),MATCH('County Scaled Consumption '!G$2,Production_Consumption!$AA$83:$AJ$83,0)))*'CA Population'!$L852*10^6</f>
        <v>8260.2687060032986</v>
      </c>
      <c r="H852" s="143">
        <f>(INDEX(Production_Consumption!$AA$83:$AJ$99,MATCH('County Scaled Consumption '!$B852,Production_Consumption!$AA$83:$AA$99,0),MATCH('County Scaled Consumption '!H$2,Production_Consumption!$AA$83:$AJ$83,0)))*'CA Population'!$L852*10^6</f>
        <v>228.90763287770534</v>
      </c>
      <c r="I852" s="143">
        <f>(INDEX(Production_Consumption!$AA$83:$AJ$99,MATCH('County Scaled Consumption '!$B852,Production_Consumption!$AA$83:$AA$99,0),MATCH('County Scaled Consumption '!I$2,Production_Consumption!$AA$83:$AJ$83,0)))*'CA Population'!$L852*10^6</f>
        <v>4175.1756441287926</v>
      </c>
      <c r="J852" s="143">
        <f>(INDEX(Production_Consumption!$AA$83:$AJ$99,MATCH('County Scaled Consumption '!$B852,Production_Consumption!$AA$83:$AA$99,0),MATCH('County Scaled Consumption '!J$2,Production_Consumption!$AA$83:$AJ$83,0)))*'CA Population'!$L852*10^6</f>
        <v>2895.6434316210903</v>
      </c>
      <c r="K852" s="143">
        <f>(INDEX(Production_Consumption!$AA$83:$AJ$99,MATCH('County Scaled Consumption '!$B852,Production_Consumption!$AA$83:$AA$99,0),MATCH('County Scaled Consumption '!K$2,Production_Consumption!$AA$83:$AJ$83,0)))*'CA Population'!$L852*10^6</f>
        <v>39220.171919074208</v>
      </c>
      <c r="L852" s="131">
        <f t="shared" si="13"/>
        <v>0</v>
      </c>
    </row>
    <row r="853" spans="1:12" x14ac:dyDescent="0.2">
      <c r="A853" s="132" t="s">
        <v>329</v>
      </c>
      <c r="B853" s="129">
        <v>2006</v>
      </c>
      <c r="C853" s="143">
        <f>(INDEX(Production_Consumption!$AA$83:$AJ$99,MATCH('County Scaled Consumption '!$B853,Production_Consumption!$AA$83:$AA$99,0),MATCH('County Scaled Consumption '!C$2,Production_Consumption!$AA$83:$AJ$83,0)))*'CA Population'!$L853*10^6</f>
        <v>129.03557485934473</v>
      </c>
      <c r="D853" s="143">
        <f>(INDEX(Production_Consumption!$AA$83:$AJ$99,MATCH('County Scaled Consumption '!$B853,Production_Consumption!$AA$83:$AA$99,0),MATCH('County Scaled Consumption '!D$2,Production_Consumption!$AA$83:$AJ$83,0)))*'CA Population'!$L853*10^6</f>
        <v>501.61977543960211</v>
      </c>
      <c r="E853" s="143">
        <f>(INDEX(Production_Consumption!$AA$83:$AJ$99,MATCH('County Scaled Consumption '!$B853,Production_Consumption!$AA$83:$AA$99,0),MATCH('County Scaled Consumption '!E$2,Production_Consumption!$AA$83:$AJ$83,0)))*'CA Population'!$L853*10^6</f>
        <v>246.49249813847337</v>
      </c>
      <c r="F853" s="143">
        <f>(INDEX(Production_Consumption!$AA$83:$AJ$99,MATCH('County Scaled Consumption '!$B853,Production_Consumption!$AA$83:$AA$99,0),MATCH('County Scaled Consumption '!F$2,Production_Consumption!$AA$83:$AJ$83,0)))*'CA Population'!$L853*10^6</f>
        <v>58.66103499513526</v>
      </c>
      <c r="G853" s="143">
        <f>(INDEX(Production_Consumption!$AA$83:$AJ$99,MATCH('County Scaled Consumption '!$B853,Production_Consumption!$AA$83:$AA$99,0),MATCH('County Scaled Consumption '!G$2,Production_Consumption!$AA$83:$AJ$83,0)))*'CA Population'!$L853*10^6</f>
        <v>326.71070028434252</v>
      </c>
      <c r="H853" s="143">
        <f>(INDEX(Production_Consumption!$AA$83:$AJ$99,MATCH('County Scaled Consumption '!$B853,Production_Consumption!$AA$83:$AA$99,0),MATCH('County Scaled Consumption '!H$2,Production_Consumption!$AA$83:$AJ$83,0)))*'CA Population'!$L853*10^6</f>
        <v>9.0537700043043152</v>
      </c>
      <c r="I853" s="143">
        <f>(INDEX(Production_Consumption!$AA$83:$AJ$99,MATCH('County Scaled Consumption '!$B853,Production_Consumption!$AA$83:$AA$99,0),MATCH('County Scaled Consumption '!I$2,Production_Consumption!$AA$83:$AJ$83,0)))*'CA Population'!$L853*10^6</f>
        <v>165.13682630107215</v>
      </c>
      <c r="J853" s="143">
        <f>(INDEX(Production_Consumption!$AA$83:$AJ$99,MATCH('County Scaled Consumption '!$B853,Production_Consumption!$AA$83:$AA$99,0),MATCH('County Scaled Consumption '!J$2,Production_Consumption!$AA$83:$AJ$83,0)))*'CA Population'!$L853*10^6</f>
        <v>114.52868266030295</v>
      </c>
      <c r="K853" s="143">
        <f>(INDEX(Production_Consumption!$AA$83:$AJ$99,MATCH('County Scaled Consumption '!$B853,Production_Consumption!$AA$83:$AA$99,0),MATCH('County Scaled Consumption '!K$2,Production_Consumption!$AA$83:$AJ$83,0)))*'CA Population'!$L853*10^6</f>
        <v>1551.2388626825775</v>
      </c>
      <c r="L853" s="131">
        <f t="shared" si="13"/>
        <v>0</v>
      </c>
    </row>
    <row r="854" spans="1:12" x14ac:dyDescent="0.2">
      <c r="A854" s="132" t="s">
        <v>330</v>
      </c>
      <c r="B854" s="129">
        <v>2006</v>
      </c>
      <c r="C854" s="143">
        <f>(INDEX(Production_Consumption!$AA$83:$AJ$99,MATCH('County Scaled Consumption '!$B854,Production_Consumption!$AA$83:$AA$99,0),MATCH('County Scaled Consumption '!C$2,Production_Consumption!$AA$83:$AJ$83,0)))*'CA Population'!$L854*10^6</f>
        <v>187.56731419381555</v>
      </c>
      <c r="D854" s="143">
        <f>(INDEX(Production_Consumption!$AA$83:$AJ$99,MATCH('County Scaled Consumption '!$B854,Production_Consumption!$AA$83:$AA$99,0),MATCH('County Scaled Consumption '!D$2,Production_Consumption!$AA$83:$AJ$83,0)))*'CA Population'!$L854*10^6</f>
        <v>729.15918054591623</v>
      </c>
      <c r="E854" s="143">
        <f>(INDEX(Production_Consumption!$AA$83:$AJ$99,MATCH('County Scaled Consumption '!$B854,Production_Consumption!$AA$83:$AA$99,0),MATCH('County Scaled Consumption '!E$2,Production_Consumption!$AA$83:$AJ$83,0)))*'CA Population'!$L854*10^6</f>
        <v>358.30379254058306</v>
      </c>
      <c r="F854" s="143">
        <f>(INDEX(Production_Consumption!$AA$83:$AJ$99,MATCH('County Scaled Consumption '!$B854,Production_Consumption!$AA$83:$AA$99,0),MATCH('County Scaled Consumption '!F$2,Production_Consumption!$AA$83:$AJ$83,0)))*'CA Population'!$L854*10^6</f>
        <v>85.270227174642741</v>
      </c>
      <c r="G854" s="143">
        <f>(INDEX(Production_Consumption!$AA$83:$AJ$99,MATCH('County Scaled Consumption '!$B854,Production_Consumption!$AA$83:$AA$99,0),MATCH('County Scaled Consumption '!G$2,Production_Consumption!$AA$83:$AJ$83,0)))*'CA Population'!$L854*10^6</f>
        <v>474.90971879276964</v>
      </c>
      <c r="H854" s="143">
        <f>(INDEX(Production_Consumption!$AA$83:$AJ$99,MATCH('County Scaled Consumption '!$B854,Production_Consumption!$AA$83:$AA$99,0),MATCH('County Scaled Consumption '!H$2,Production_Consumption!$AA$83:$AJ$83,0)))*'CA Population'!$L854*10^6</f>
        <v>13.16064445705771</v>
      </c>
      <c r="I854" s="143">
        <f>(INDEX(Production_Consumption!$AA$83:$AJ$99,MATCH('County Scaled Consumption '!$B854,Production_Consumption!$AA$83:$AA$99,0),MATCH('County Scaled Consumption '!I$2,Production_Consumption!$AA$83:$AJ$83,0)))*'CA Population'!$L854*10^6</f>
        <v>240.04442974386137</v>
      </c>
      <c r="J854" s="143">
        <f>(INDEX(Production_Consumption!$AA$83:$AJ$99,MATCH('County Scaled Consumption '!$B854,Production_Consumption!$AA$83:$AA$99,0),MATCH('County Scaled Consumption '!J$2,Production_Consumption!$AA$83:$AJ$83,0)))*'CA Population'!$L854*10^6</f>
        <v>166.4799604927953</v>
      </c>
      <c r="K854" s="143">
        <f>(INDEX(Production_Consumption!$AA$83:$AJ$99,MATCH('County Scaled Consumption '!$B854,Production_Consumption!$AA$83:$AA$99,0),MATCH('County Scaled Consumption '!K$2,Production_Consumption!$AA$83:$AJ$83,0)))*'CA Population'!$L854*10^6</f>
        <v>2254.8952679414419</v>
      </c>
      <c r="L854" s="131">
        <f t="shared" si="13"/>
        <v>0</v>
      </c>
    </row>
    <row r="855" spans="1:12" x14ac:dyDescent="0.2">
      <c r="A855" s="132" t="s">
        <v>331</v>
      </c>
      <c r="B855" s="129">
        <v>2006</v>
      </c>
      <c r="C855" s="143">
        <f>(INDEX(Production_Consumption!$AA$83:$AJ$99,MATCH('County Scaled Consumption '!$B855,Production_Consumption!$AA$83:$AA$99,0),MATCH('County Scaled Consumption '!C$2,Production_Consumption!$AA$83:$AJ$83,0)))*'CA Population'!$L855*10^6</f>
        <v>5461.7320215714008</v>
      </c>
      <c r="D855" s="143">
        <f>(INDEX(Production_Consumption!$AA$83:$AJ$99,MATCH('County Scaled Consumption '!$B855,Production_Consumption!$AA$83:$AA$99,0),MATCH('County Scaled Consumption '!D$2,Production_Consumption!$AA$83:$AJ$83,0)))*'CA Population'!$L855*10^6</f>
        <v>21232.22834600733</v>
      </c>
      <c r="E855" s="143">
        <f>(INDEX(Production_Consumption!$AA$83:$AJ$99,MATCH('County Scaled Consumption '!$B855,Production_Consumption!$AA$83:$AA$99,0),MATCH('County Scaled Consumption '!E$2,Production_Consumption!$AA$83:$AJ$83,0)))*'CA Population'!$L855*10^6</f>
        <v>10433.370577281014</v>
      </c>
      <c r="F855" s="143">
        <f>(INDEX(Production_Consumption!$AA$83:$AJ$99,MATCH('County Scaled Consumption '!$B855,Production_Consumption!$AA$83:$AA$99,0),MATCH('County Scaled Consumption '!F$2,Production_Consumption!$AA$83:$AJ$83,0)))*'CA Population'!$L855*10^6</f>
        <v>2482.9652876789442</v>
      </c>
      <c r="G855" s="143">
        <f>(INDEX(Production_Consumption!$AA$83:$AJ$99,MATCH('County Scaled Consumption '!$B855,Production_Consumption!$AA$83:$AA$99,0),MATCH('County Scaled Consumption '!G$2,Production_Consumption!$AA$83:$AJ$83,0)))*'CA Population'!$L855*10^6</f>
        <v>13828.793303537439</v>
      </c>
      <c r="H855" s="143">
        <f>(INDEX(Production_Consumption!$AA$83:$AJ$99,MATCH('County Scaled Consumption '!$B855,Production_Consumption!$AA$83:$AA$99,0),MATCH('County Scaled Consumption '!H$2,Production_Consumption!$AA$83:$AJ$83,0)))*'CA Population'!$L855*10^6</f>
        <v>383.22195721880354</v>
      </c>
      <c r="I855" s="143">
        <f>(INDEX(Production_Consumption!$AA$83:$AJ$99,MATCH('County Scaled Consumption '!$B855,Production_Consumption!$AA$83:$AA$99,0),MATCH('County Scaled Consumption '!I$2,Production_Consumption!$AA$83:$AJ$83,0)))*'CA Population'!$L855*10^6</f>
        <v>6989.8017901837729</v>
      </c>
      <c r="J855" s="143">
        <f>(INDEX(Production_Consumption!$AA$83:$AJ$99,MATCH('County Scaled Consumption '!$B855,Production_Consumption!$AA$83:$AA$99,0),MATCH('County Scaled Consumption '!J$2,Production_Consumption!$AA$83:$AJ$83,0)))*'CA Population'!$L855*10^6</f>
        <v>4847.6939336769692</v>
      </c>
      <c r="K855" s="143">
        <f>(INDEX(Production_Consumption!$AA$83:$AJ$99,MATCH('County Scaled Consumption '!$B855,Production_Consumption!$AA$83:$AA$99,0),MATCH('County Scaled Consumption '!K$2,Production_Consumption!$AA$83:$AJ$83,0)))*'CA Population'!$L855*10^6</f>
        <v>65659.807217155685</v>
      </c>
      <c r="L855" s="131">
        <f t="shared" si="13"/>
        <v>0</v>
      </c>
    </row>
    <row r="856" spans="1:12" x14ac:dyDescent="0.2">
      <c r="A856" s="132" t="s">
        <v>332</v>
      </c>
      <c r="B856" s="129">
        <v>2006</v>
      </c>
      <c r="C856" s="143">
        <f>(INDEX(Production_Consumption!$AA$83:$AJ$99,MATCH('County Scaled Consumption '!$B856,Production_Consumption!$AA$83:$AA$99,0),MATCH('County Scaled Consumption '!C$2,Production_Consumption!$AA$83:$AJ$83,0)))*'CA Population'!$L856*10^6</f>
        <v>1762.6629962843504</v>
      </c>
      <c r="D856" s="143">
        <f>(INDEX(Production_Consumption!$AA$83:$AJ$99,MATCH('County Scaled Consumption '!$B856,Production_Consumption!$AA$83:$AA$99,0),MATCH('County Scaled Consumption '!D$2,Production_Consumption!$AA$83:$AJ$83,0)))*'CA Population'!$L856*10^6</f>
        <v>6852.2701381821244</v>
      </c>
      <c r="E856" s="143">
        <f>(INDEX(Production_Consumption!$AA$83:$AJ$99,MATCH('County Scaled Consumption '!$B856,Production_Consumption!$AA$83:$AA$99,0),MATCH('County Scaled Consumption '!E$2,Production_Consumption!$AA$83:$AJ$83,0)))*'CA Population'!$L856*10^6</f>
        <v>3367.1582879681409</v>
      </c>
      <c r="F856" s="143">
        <f>(INDEX(Production_Consumption!$AA$83:$AJ$99,MATCH('County Scaled Consumption '!$B856,Production_Consumption!$AA$83:$AA$99,0),MATCH('County Scaled Consumption '!F$2,Production_Consumption!$AA$83:$AJ$83,0)))*'CA Population'!$L856*10^6</f>
        <v>801.32657852206319</v>
      </c>
      <c r="G856" s="143">
        <f>(INDEX(Production_Consumption!$AA$83:$AJ$99,MATCH('County Scaled Consumption '!$B856,Production_Consumption!$AA$83:$AA$99,0),MATCH('County Scaled Consumption '!G$2,Production_Consumption!$AA$83:$AJ$83,0)))*'CA Population'!$L856*10^6</f>
        <v>4462.9619584296552</v>
      </c>
      <c r="H856" s="143">
        <f>(INDEX(Production_Consumption!$AA$83:$AJ$99,MATCH('County Scaled Consumption '!$B856,Production_Consumption!$AA$83:$AA$99,0),MATCH('County Scaled Consumption '!H$2,Production_Consumption!$AA$83:$AJ$83,0)))*'CA Population'!$L856*10^6</f>
        <v>123.67709742721925</v>
      </c>
      <c r="I856" s="143">
        <f>(INDEX(Production_Consumption!$AA$83:$AJ$99,MATCH('County Scaled Consumption '!$B856,Production_Consumption!$AA$83:$AA$99,0),MATCH('County Scaled Consumption '!I$2,Production_Consumption!$AA$83:$AJ$83,0)))*'CA Population'!$L856*10^6</f>
        <v>2255.8164549739759</v>
      </c>
      <c r="J856" s="143">
        <f>(INDEX(Production_Consumption!$AA$83:$AJ$99,MATCH('County Scaled Consumption '!$B856,Production_Consumption!$AA$83:$AA$99,0),MATCH('County Scaled Consumption '!J$2,Production_Consumption!$AA$83:$AJ$83,0)))*'CA Population'!$L856*10^6</f>
        <v>1564.4946841873921</v>
      </c>
      <c r="K856" s="143">
        <f>(INDEX(Production_Consumption!$AA$83:$AJ$99,MATCH('County Scaled Consumption '!$B856,Production_Consumption!$AA$83:$AA$99,0),MATCH('County Scaled Consumption '!K$2,Production_Consumption!$AA$83:$AJ$83,0)))*'CA Population'!$L856*10^6</f>
        <v>21190.368195974923</v>
      </c>
      <c r="L856" s="131">
        <f t="shared" si="13"/>
        <v>0</v>
      </c>
    </row>
    <row r="857" spans="1:12" x14ac:dyDescent="0.2">
      <c r="A857" s="132" t="s">
        <v>333</v>
      </c>
      <c r="B857" s="129">
        <v>2006</v>
      </c>
      <c r="C857" s="143">
        <f>(INDEX(Production_Consumption!$AA$83:$AJ$99,MATCH('County Scaled Consumption '!$B857,Production_Consumption!$AA$83:$AA$99,0),MATCH('County Scaled Consumption '!C$2,Production_Consumption!$AA$83:$AJ$83,0)))*'CA Population'!$L857*10^6</f>
        <v>1316.2326560543186</v>
      </c>
      <c r="D857" s="143">
        <f>(INDEX(Production_Consumption!$AA$83:$AJ$99,MATCH('County Scaled Consumption '!$B857,Production_Consumption!$AA$83:$AA$99,0),MATCH('County Scaled Consumption '!D$2,Production_Consumption!$AA$83:$AJ$83,0)))*'CA Population'!$L857*10^6</f>
        <v>5116.7930245278658</v>
      </c>
      <c r="E857" s="143">
        <f>(INDEX(Production_Consumption!$AA$83:$AJ$99,MATCH('County Scaled Consumption '!$B857,Production_Consumption!$AA$83:$AA$99,0),MATCH('County Scaled Consumption '!E$2,Production_Consumption!$AA$83:$AJ$83,0)))*'CA Population'!$L857*10^6</f>
        <v>2514.356803353839</v>
      </c>
      <c r="F857" s="143">
        <f>(INDEX(Production_Consumption!$AA$83:$AJ$99,MATCH('County Scaled Consumption '!$B857,Production_Consumption!$AA$83:$AA$99,0),MATCH('County Scaled Consumption '!F$2,Production_Consumption!$AA$83:$AJ$83,0)))*'CA Population'!$L857*10^6</f>
        <v>598.37428540700284</v>
      </c>
      <c r="G857" s="143">
        <f>(INDEX(Production_Consumption!$AA$83:$AJ$99,MATCH('County Scaled Consumption '!$B857,Production_Consumption!$AA$83:$AA$99,0),MATCH('County Scaled Consumption '!G$2,Production_Consumption!$AA$83:$AJ$83,0)))*'CA Population'!$L857*10^6</f>
        <v>3332.6258534933336</v>
      </c>
      <c r="H857" s="143">
        <f>(INDEX(Production_Consumption!$AA$83:$AJ$99,MATCH('County Scaled Consumption '!$B857,Production_Consumption!$AA$83:$AA$99,0),MATCH('County Scaled Consumption '!H$2,Production_Consumption!$AA$83:$AJ$83,0)))*'CA Population'!$L857*10^6</f>
        <v>92.353351027888053</v>
      </c>
      <c r="I857" s="143">
        <f>(INDEX(Production_Consumption!$AA$83:$AJ$99,MATCH('County Scaled Consumption '!$B857,Production_Consumption!$AA$83:$AA$99,0),MATCH('County Scaled Consumption '!I$2,Production_Consumption!$AA$83:$AJ$83,0)))*'CA Population'!$L857*10^6</f>
        <v>1684.4849471285149</v>
      </c>
      <c r="J857" s="143">
        <f>(INDEX(Production_Consumption!$AA$83:$AJ$99,MATCH('County Scaled Consumption '!$B857,Production_Consumption!$AA$83:$AA$99,0),MATCH('County Scaled Consumption '!J$2,Production_Consumption!$AA$83:$AJ$83,0)))*'CA Population'!$L857*10^6</f>
        <v>1168.2545091669015</v>
      </c>
      <c r="K857" s="143">
        <f>(INDEX(Production_Consumption!$AA$83:$AJ$99,MATCH('County Scaled Consumption '!$B857,Production_Consumption!$AA$83:$AA$99,0),MATCH('County Scaled Consumption '!K$2,Production_Consumption!$AA$83:$AJ$83,0)))*'CA Population'!$L857*10^6</f>
        <v>15823.475430159664</v>
      </c>
      <c r="L857" s="131">
        <f t="shared" si="13"/>
        <v>0</v>
      </c>
    </row>
    <row r="858" spans="1:12" x14ac:dyDescent="0.2">
      <c r="A858" s="132" t="s">
        <v>334</v>
      </c>
      <c r="B858" s="129">
        <v>2006</v>
      </c>
      <c r="C858" s="143">
        <f>(INDEX(Production_Consumption!$AA$83:$AJ$99,MATCH('County Scaled Consumption '!$B858,Production_Consumption!$AA$83:$AA$99,0),MATCH('County Scaled Consumption '!C$2,Production_Consumption!$AA$83:$AJ$83,0)))*'CA Population'!$L858*10^6</f>
        <v>39678.828496591021</v>
      </c>
      <c r="D858" s="143">
        <f>(INDEX(Production_Consumption!$AA$83:$AJ$99,MATCH('County Scaled Consumption '!$B858,Production_Consumption!$AA$83:$AA$99,0),MATCH('County Scaled Consumption '!D$2,Production_Consumption!$AA$83:$AJ$83,0)))*'CA Population'!$L858*10^6</f>
        <v>154249.59405080721</v>
      </c>
      <c r="E858" s="143">
        <f>(INDEX(Production_Consumption!$AA$83:$AJ$99,MATCH('County Scaled Consumption '!$B858,Production_Consumption!$AA$83:$AA$99,0),MATCH('County Scaled Consumption '!E$2,Production_Consumption!$AA$83:$AJ$83,0)))*'CA Population'!$L858*10^6</f>
        <v>75797.186706023029</v>
      </c>
      <c r="F858" s="143">
        <f>(INDEX(Production_Consumption!$AA$83:$AJ$99,MATCH('County Scaled Consumption '!$B858,Production_Consumption!$AA$83:$AA$99,0),MATCH('County Scaled Consumption '!F$2,Production_Consumption!$AA$83:$AJ$83,0)))*'CA Population'!$L858*10^6</f>
        <v>18038.445208166031</v>
      </c>
      <c r="G858" s="143">
        <f>(INDEX(Production_Consumption!$AA$83:$AJ$99,MATCH('County Scaled Consumption '!$B858,Production_Consumption!$AA$83:$AA$99,0),MATCH('County Scaled Consumption '!G$2,Production_Consumption!$AA$83:$AJ$83,0)))*'CA Population'!$L858*10^6</f>
        <v>100464.52583881959</v>
      </c>
      <c r="H858" s="143">
        <f>(INDEX(Production_Consumption!$AA$83:$AJ$99,MATCH('County Scaled Consumption '!$B858,Production_Consumption!$AA$83:$AA$99,0),MATCH('County Scaled Consumption '!H$2,Production_Consumption!$AA$83:$AJ$83,0)))*'CA Population'!$L858*10^6</f>
        <v>2784.0615864265651</v>
      </c>
      <c r="I858" s="143">
        <f>(INDEX(Production_Consumption!$AA$83:$AJ$99,MATCH('County Scaled Consumption '!$B858,Production_Consumption!$AA$83:$AA$99,0),MATCH('County Scaled Consumption '!I$2,Production_Consumption!$AA$83:$AJ$83,0)))*'CA Population'!$L858*10^6</f>
        <v>50780.07221197772</v>
      </c>
      <c r="J858" s="143">
        <f>(INDEX(Production_Consumption!$AA$83:$AJ$99,MATCH('County Scaled Consumption '!$B858,Production_Consumption!$AA$83:$AA$99,0),MATCH('County Scaled Consumption '!J$2,Production_Consumption!$AA$83:$AJ$83,0)))*'CA Population'!$L858*10^6</f>
        <v>35217.915386297493</v>
      </c>
      <c r="K858" s="143">
        <f>(INDEX(Production_Consumption!$AA$83:$AJ$99,MATCH('County Scaled Consumption '!$B858,Production_Consumption!$AA$83:$AA$99,0),MATCH('County Scaled Consumption '!K$2,Production_Consumption!$AA$83:$AJ$83,0)))*'CA Population'!$L858*10^6</f>
        <v>477010.62948510872</v>
      </c>
      <c r="L858" s="131">
        <f t="shared" si="13"/>
        <v>0</v>
      </c>
    </row>
    <row r="859" spans="1:12" x14ac:dyDescent="0.2">
      <c r="A859" s="132" t="s">
        <v>335</v>
      </c>
      <c r="B859" s="129">
        <v>2006</v>
      </c>
      <c r="C859" s="143">
        <f>(INDEX(Production_Consumption!$AA$83:$AJ$99,MATCH('County Scaled Consumption '!$B859,Production_Consumption!$AA$83:$AA$99,0),MATCH('County Scaled Consumption '!C$2,Production_Consumption!$AA$83:$AJ$83,0)))*'CA Population'!$L859*10^6</f>
        <v>4260.5227560459552</v>
      </c>
      <c r="D859" s="143">
        <f>(INDEX(Production_Consumption!$AA$83:$AJ$99,MATCH('County Scaled Consumption '!$B859,Production_Consumption!$AA$83:$AA$99,0),MATCH('County Scaled Consumption '!D$2,Production_Consumption!$AA$83:$AJ$83,0)))*'CA Population'!$L859*10^6</f>
        <v>16562.583384254314</v>
      </c>
      <c r="E859" s="143">
        <f>(INDEX(Production_Consumption!$AA$83:$AJ$99,MATCH('County Scaled Consumption '!$B859,Production_Consumption!$AA$83:$AA$99,0),MATCH('County Scaled Consumption '!E$2,Production_Consumption!$AA$83:$AJ$83,0)))*'CA Population'!$L859*10^6</f>
        <v>8138.7392481363195</v>
      </c>
      <c r="F859" s="143">
        <f>(INDEX(Production_Consumption!$AA$83:$AJ$99,MATCH('County Scaled Consumption '!$B859,Production_Consumption!$AA$83:$AA$99,0),MATCH('County Scaled Consumption '!F$2,Production_Consumption!$AA$83:$AJ$83,0)))*'CA Population'!$L859*10^6</f>
        <v>1936.8819394373575</v>
      </c>
      <c r="G859" s="143">
        <f>(INDEX(Production_Consumption!$AA$83:$AJ$99,MATCH('County Scaled Consumption '!$B859,Production_Consumption!$AA$83:$AA$99,0),MATCH('County Scaled Consumption '!G$2,Production_Consumption!$AA$83:$AJ$83,0)))*'CA Population'!$L859*10^6</f>
        <v>10787.400100495201</v>
      </c>
      <c r="H859" s="143">
        <f>(INDEX(Production_Consumption!$AA$83:$AJ$99,MATCH('County Scaled Consumption '!$B859,Production_Consumption!$AA$83:$AA$99,0),MATCH('County Scaled Consumption '!H$2,Production_Consumption!$AA$83:$AJ$83,0)))*'CA Population'!$L859*10^6</f>
        <v>298.93921248765855</v>
      </c>
      <c r="I859" s="143">
        <f>(INDEX(Production_Consumption!$AA$83:$AJ$99,MATCH('County Scaled Consumption '!$B859,Production_Consumption!$AA$83:$AA$99,0),MATCH('County Scaled Consumption '!I$2,Production_Consumption!$AA$83:$AJ$83,0)))*'CA Population'!$L859*10^6</f>
        <v>5452.5211910269854</v>
      </c>
      <c r="J859" s="143">
        <f>(INDEX(Production_Consumption!$AA$83:$AJ$99,MATCH('County Scaled Consumption '!$B859,Production_Consumption!$AA$83:$AA$99,0),MATCH('County Scaled Consumption '!J$2,Production_Consumption!$AA$83:$AJ$83,0)))*'CA Population'!$L859*10^6</f>
        <v>3781.5312500144155</v>
      </c>
      <c r="K859" s="143">
        <f>(INDEX(Production_Consumption!$AA$83:$AJ$99,MATCH('County Scaled Consumption '!$B859,Production_Consumption!$AA$83:$AA$99,0),MATCH('County Scaled Consumption '!K$2,Production_Consumption!$AA$83:$AJ$83,0)))*'CA Population'!$L859*10^6</f>
        <v>51219.119081898207</v>
      </c>
      <c r="L859" s="131">
        <f t="shared" si="13"/>
        <v>0</v>
      </c>
    </row>
    <row r="860" spans="1:12" x14ac:dyDescent="0.2">
      <c r="A860" s="132" t="s">
        <v>336</v>
      </c>
      <c r="B860" s="129">
        <v>2006</v>
      </c>
      <c r="C860" s="143">
        <f>(INDEX(Production_Consumption!$AA$83:$AJ$99,MATCH('County Scaled Consumption '!$B860,Production_Consumption!$AA$83:$AA$99,0),MATCH('County Scaled Consumption '!C$2,Production_Consumption!$AA$83:$AJ$83,0)))*'CA Population'!$L860*10^6</f>
        <v>278.96863152189309</v>
      </c>
      <c r="D860" s="143">
        <f>(INDEX(Production_Consumption!$AA$83:$AJ$99,MATCH('County Scaled Consumption '!$B860,Production_Consumption!$AA$83:$AA$99,0),MATCH('County Scaled Consumption '!D$2,Production_Consumption!$AA$83:$AJ$83,0)))*'CA Population'!$L860*10^6</f>
        <v>1084.4775361464665</v>
      </c>
      <c r="E860" s="143">
        <f>(INDEX(Production_Consumption!$AA$83:$AJ$99,MATCH('County Scaled Consumption '!$B860,Production_Consumption!$AA$83:$AA$99,0),MATCH('County Scaled Consumption '!E$2,Production_Consumption!$AA$83:$AJ$83,0)))*'CA Population'!$L860*10^6</f>
        <v>532.90478196465244</v>
      </c>
      <c r="F860" s="143">
        <f>(INDEX(Production_Consumption!$AA$83:$AJ$99,MATCH('County Scaled Consumption '!$B860,Production_Consumption!$AA$83:$AA$99,0),MATCH('County Scaled Consumption '!F$2,Production_Consumption!$AA$83:$AJ$83,0)))*'CA Population'!$L860*10^6</f>
        <v>126.82230209838636</v>
      </c>
      <c r="G860" s="143">
        <f>(INDEX(Production_Consumption!$AA$83:$AJ$99,MATCH('County Scaled Consumption '!$B860,Production_Consumption!$AA$83:$AA$99,0),MATCH('County Scaled Consumption '!G$2,Production_Consumption!$AA$83:$AJ$83,0)))*'CA Population'!$L860*10^6</f>
        <v>706.33263006137508</v>
      </c>
      <c r="H860" s="143">
        <f>(INDEX(Production_Consumption!$AA$83:$AJ$99,MATCH('County Scaled Consumption '!$B860,Production_Consumption!$AA$83:$AA$99,0),MATCH('County Scaled Consumption '!H$2,Production_Consumption!$AA$83:$AJ$83,0)))*'CA Population'!$L860*10^6</f>
        <v>19.57381002074737</v>
      </c>
      <c r="I860" s="143">
        <f>(INDEX(Production_Consumption!$AA$83:$AJ$99,MATCH('County Scaled Consumption '!$B860,Production_Consumption!$AA$83:$AA$99,0),MATCH('County Scaled Consumption '!I$2,Production_Consumption!$AA$83:$AJ$83,0)))*'CA Population'!$L860*10^6</f>
        <v>357.0177797657359</v>
      </c>
      <c r="J860" s="143">
        <f>(INDEX(Production_Consumption!$AA$83:$AJ$99,MATCH('County Scaled Consumption '!$B860,Production_Consumption!$AA$83:$AA$99,0),MATCH('County Scaled Consumption '!J$2,Production_Consumption!$AA$83:$AJ$83,0)))*'CA Population'!$L860*10^6</f>
        <v>247.605436768712</v>
      </c>
      <c r="K860" s="143">
        <f>(INDEX(Production_Consumption!$AA$83:$AJ$99,MATCH('County Scaled Consumption '!$B860,Production_Consumption!$AA$83:$AA$99,0),MATCH('County Scaled Consumption '!K$2,Production_Consumption!$AA$83:$AJ$83,0)))*'CA Population'!$L860*10^6</f>
        <v>3353.7029083479688</v>
      </c>
      <c r="L860" s="131">
        <f t="shared" si="13"/>
        <v>0</v>
      </c>
    </row>
    <row r="861" spans="1:12" x14ac:dyDescent="0.2">
      <c r="A861" s="132" t="s">
        <v>337</v>
      </c>
      <c r="B861" s="129">
        <v>2006</v>
      </c>
      <c r="C861" s="143">
        <f>(INDEX(Production_Consumption!$AA$83:$AJ$99,MATCH('County Scaled Consumption '!$B861,Production_Consumption!$AA$83:$AA$99,0),MATCH('County Scaled Consumption '!C$2,Production_Consumption!$AA$83:$AJ$83,0)))*'CA Population'!$L861*10^6</f>
        <v>26519.978138865448</v>
      </c>
      <c r="D861" s="143">
        <f>(INDEX(Production_Consumption!$AA$83:$AJ$99,MATCH('County Scaled Consumption '!$B861,Production_Consumption!$AA$83:$AA$99,0),MATCH('County Scaled Consumption '!D$2,Production_Consumption!$AA$83:$AJ$83,0)))*'CA Population'!$L861*10^6</f>
        <v>103095.17738175479</v>
      </c>
      <c r="E861" s="143">
        <f>(INDEX(Production_Consumption!$AA$83:$AJ$99,MATCH('County Scaled Consumption '!$B861,Production_Consumption!$AA$83:$AA$99,0),MATCH('County Scaled Consumption '!E$2,Production_Consumption!$AA$83:$AJ$83,0)))*'CA Population'!$L861*10^6</f>
        <v>50660.259150643367</v>
      </c>
      <c r="F861" s="143">
        <f>(INDEX(Production_Consumption!$AA$83:$AJ$99,MATCH('County Scaled Consumption '!$B861,Production_Consumption!$AA$83:$AA$99,0),MATCH('County Scaled Consumption '!F$2,Production_Consumption!$AA$83:$AJ$83,0)))*'CA Population'!$L861*10^6</f>
        <v>12056.282675300887</v>
      </c>
      <c r="G861" s="143">
        <f>(INDEX(Production_Consumption!$AA$83:$AJ$99,MATCH('County Scaled Consumption '!$B861,Production_Consumption!$AA$83:$AA$99,0),MATCH('County Scaled Consumption '!G$2,Production_Consumption!$AA$83:$AJ$83,0)))*'CA Population'!$L861*10^6</f>
        <v>67147.06885073187</v>
      </c>
      <c r="H861" s="143">
        <f>(INDEX(Production_Consumption!$AA$83:$AJ$99,MATCH('County Scaled Consumption '!$B861,Production_Consumption!$AA$83:$AA$99,0),MATCH('County Scaled Consumption '!H$2,Production_Consumption!$AA$83:$AJ$83,0)))*'CA Population'!$L861*10^6</f>
        <v>1860.7719836191966</v>
      </c>
      <c r="I861" s="143">
        <f>(INDEX(Production_Consumption!$AA$83:$AJ$99,MATCH('County Scaled Consumption '!$B861,Production_Consumption!$AA$83:$AA$99,0),MATCH('County Scaled Consumption '!I$2,Production_Consumption!$AA$83:$AJ$83,0)))*'CA Population'!$L861*10^6</f>
        <v>33939.671506868151</v>
      </c>
      <c r="J861" s="143">
        <f>(INDEX(Production_Consumption!$AA$83:$AJ$99,MATCH('County Scaled Consumption '!$B861,Production_Consumption!$AA$83:$AA$99,0),MATCH('County Scaled Consumption '!J$2,Production_Consumption!$AA$83:$AJ$83,0)))*'CA Population'!$L861*10^6</f>
        <v>23538.455683520617</v>
      </c>
      <c r="K861" s="143">
        <f>(INDEX(Production_Consumption!$AA$83:$AJ$99,MATCH('County Scaled Consumption '!$B861,Production_Consumption!$AA$83:$AA$99,0),MATCH('County Scaled Consumption '!K$2,Production_Consumption!$AA$83:$AJ$83,0)))*'CA Population'!$L861*10^6</f>
        <v>318817.66537130432</v>
      </c>
      <c r="L861" s="131">
        <f t="shared" si="13"/>
        <v>0</v>
      </c>
    </row>
    <row r="862" spans="1:12" x14ac:dyDescent="0.2">
      <c r="A862" s="132" t="s">
        <v>338</v>
      </c>
      <c r="B862" s="129">
        <v>2006</v>
      </c>
      <c r="C862" s="143">
        <f>(INDEX(Production_Consumption!$AA$83:$AJ$99,MATCH('County Scaled Consumption '!$B862,Production_Consumption!$AA$83:$AA$99,0),MATCH('County Scaled Consumption '!C$2,Production_Consumption!$AA$83:$AJ$83,0)))*'CA Population'!$L862*10^6</f>
        <v>18323.400592471964</v>
      </c>
      <c r="D862" s="143">
        <f>(INDEX(Production_Consumption!$AA$83:$AJ$99,MATCH('County Scaled Consumption '!$B862,Production_Consumption!$AA$83:$AA$99,0),MATCH('County Scaled Consumption '!D$2,Production_Consumption!$AA$83:$AJ$83,0)))*'CA Population'!$L862*10^6</f>
        <v>71231.364687643116</v>
      </c>
      <c r="E862" s="143">
        <f>(INDEX(Production_Consumption!$AA$83:$AJ$99,MATCH('County Scaled Consumption '!$B862,Production_Consumption!$AA$83:$AA$99,0),MATCH('County Scaled Consumption '!E$2,Production_Consumption!$AA$83:$AJ$83,0)))*'CA Population'!$L862*10^6</f>
        <v>35002.601347370262</v>
      </c>
      <c r="F862" s="143">
        <f>(INDEX(Production_Consumption!$AA$83:$AJ$99,MATCH('County Scaled Consumption '!$B862,Production_Consumption!$AA$83:$AA$99,0),MATCH('County Scaled Consumption '!F$2,Production_Consumption!$AA$83:$AJ$83,0)))*'CA Population'!$L862*10^6</f>
        <v>8330.0256115923239</v>
      </c>
      <c r="G862" s="143">
        <f>(INDEX(Production_Consumption!$AA$83:$AJ$99,MATCH('County Scaled Consumption '!$B862,Production_Consumption!$AA$83:$AA$99,0),MATCH('County Scaled Consumption '!G$2,Production_Consumption!$AA$83:$AJ$83,0)))*'CA Population'!$L862*10^6</f>
        <v>46393.802993341837</v>
      </c>
      <c r="H862" s="143">
        <f>(INDEX(Production_Consumption!$AA$83:$AJ$99,MATCH('County Scaled Consumption '!$B862,Production_Consumption!$AA$83:$AA$99,0),MATCH('County Scaled Consumption '!H$2,Production_Consumption!$AA$83:$AJ$83,0)))*'CA Population'!$L862*10^6</f>
        <v>1285.659825531133</v>
      </c>
      <c r="I862" s="143">
        <f>(INDEX(Production_Consumption!$AA$83:$AJ$99,MATCH('County Scaled Consumption '!$B862,Production_Consumption!$AA$83:$AA$99,0),MATCH('County Scaled Consumption '!I$2,Production_Consumption!$AA$83:$AJ$83,0)))*'CA Population'!$L862*10^6</f>
        <v>23449.875929040139</v>
      </c>
      <c r="J862" s="143">
        <f>(INDEX(Production_Consumption!$AA$83:$AJ$99,MATCH('County Scaled Consumption '!$B862,Production_Consumption!$AA$83:$AA$99,0),MATCH('County Scaled Consumption '!J$2,Production_Consumption!$AA$83:$AJ$83,0)))*'CA Population'!$L862*10^6</f>
        <v>16263.382667922075</v>
      </c>
      <c r="K862" s="143">
        <f>(INDEX(Production_Consumption!$AA$83:$AJ$99,MATCH('County Scaled Consumption '!$B862,Production_Consumption!$AA$83:$AA$99,0),MATCH('County Scaled Consumption '!K$2,Production_Consumption!$AA$83:$AJ$83,0)))*'CA Population'!$L862*10^6</f>
        <v>220280.11365491289</v>
      </c>
      <c r="L862" s="131">
        <f t="shared" si="13"/>
        <v>0</v>
      </c>
    </row>
    <row r="863" spans="1:12" x14ac:dyDescent="0.2">
      <c r="A863" s="132" t="s">
        <v>339</v>
      </c>
      <c r="B863" s="129">
        <v>2006</v>
      </c>
      <c r="C863" s="143">
        <f>(INDEX(Production_Consumption!$AA$83:$AJ$99,MATCH('County Scaled Consumption '!$B863,Production_Consumption!$AA$83:$AA$99,0),MATCH('County Scaled Consumption '!C$2,Production_Consumption!$AA$83:$AJ$83,0)))*'CA Population'!$L863*10^6</f>
        <v>738.52532833736655</v>
      </c>
      <c r="D863" s="143">
        <f>(INDEX(Production_Consumption!$AA$83:$AJ$99,MATCH('County Scaled Consumption '!$B863,Production_Consumption!$AA$83:$AA$99,0),MATCH('County Scaled Consumption '!D$2,Production_Consumption!$AA$83:$AJ$83,0)))*'CA Population'!$L863*10^6</f>
        <v>2870.9827484464431</v>
      </c>
      <c r="E863" s="143">
        <f>(INDEX(Production_Consumption!$AA$83:$AJ$99,MATCH('County Scaled Consumption '!$B863,Production_Consumption!$AA$83:$AA$99,0),MATCH('County Scaled Consumption '!E$2,Production_Consumption!$AA$83:$AJ$83,0)))*'CA Population'!$L863*10^6</f>
        <v>1410.7811223288429</v>
      </c>
      <c r="F863" s="143">
        <f>(INDEX(Production_Consumption!$AA$83:$AJ$99,MATCH('County Scaled Consumption '!$B863,Production_Consumption!$AA$83:$AA$99,0),MATCH('County Scaled Consumption '!F$2,Production_Consumption!$AA$83:$AJ$83,0)))*'CA Population'!$L863*10^6</f>
        <v>335.74198570910318</v>
      </c>
      <c r="G863" s="143">
        <f>(INDEX(Production_Consumption!$AA$83:$AJ$99,MATCH('County Scaled Consumption '!$B863,Production_Consumption!$AA$83:$AA$99,0),MATCH('County Scaled Consumption '!G$2,Production_Consumption!$AA$83:$AJ$83,0)))*'CA Population'!$L863*10^6</f>
        <v>1869.9039196116025</v>
      </c>
      <c r="H863" s="143">
        <f>(INDEX(Production_Consumption!$AA$83:$AJ$99,MATCH('County Scaled Consumption '!$B863,Production_Consumption!$AA$83:$AA$99,0),MATCH('County Scaled Consumption '!H$2,Production_Consumption!$AA$83:$AJ$83,0)))*'CA Population'!$L863*10^6</f>
        <v>51.818566100150299</v>
      </c>
      <c r="I863" s="143">
        <f>(INDEX(Production_Consumption!$AA$83:$AJ$99,MATCH('County Scaled Consumption '!$B863,Production_Consumption!$AA$83:$AA$99,0),MATCH('County Scaled Consumption '!I$2,Production_Consumption!$AA$83:$AJ$83,0)))*'CA Population'!$L863*10^6</f>
        <v>945.14810351742187</v>
      </c>
      <c r="J863" s="143">
        <f>(INDEX(Production_Consumption!$AA$83:$AJ$99,MATCH('County Scaled Consumption '!$B863,Production_Consumption!$AA$83:$AA$99,0),MATCH('County Scaled Consumption '!J$2,Production_Consumption!$AA$83:$AJ$83,0)))*'CA Population'!$L863*10^6</f>
        <v>655.49623084909194</v>
      </c>
      <c r="K863" s="143">
        <f>(INDEX(Production_Consumption!$AA$83:$AJ$99,MATCH('County Scaled Consumption '!$B863,Production_Consumption!$AA$83:$AA$99,0),MATCH('County Scaled Consumption '!K$2,Production_Consumption!$AA$83:$AJ$83,0)))*'CA Population'!$L863*10^6</f>
        <v>8878.398004900022</v>
      </c>
      <c r="L863" s="131">
        <f t="shared" si="13"/>
        <v>0</v>
      </c>
    </row>
    <row r="864" spans="1:12" x14ac:dyDescent="0.2">
      <c r="A864" s="132" t="s">
        <v>340</v>
      </c>
      <c r="B864" s="129">
        <v>2006</v>
      </c>
      <c r="C864" s="143">
        <f>(INDEX(Production_Consumption!$AA$83:$AJ$99,MATCH('County Scaled Consumption '!$B864,Production_Consumption!$AA$83:$AA$99,0),MATCH('County Scaled Consumption '!C$2,Production_Consumption!$AA$83:$AJ$83,0)))*'CA Population'!$L864*10^6</f>
        <v>26302.574535623127</v>
      </c>
      <c r="D864" s="143">
        <f>(INDEX(Production_Consumption!$AA$83:$AJ$99,MATCH('County Scaled Consumption '!$B864,Production_Consumption!$AA$83:$AA$99,0),MATCH('County Scaled Consumption '!D$2,Production_Consumption!$AA$83:$AJ$83,0)))*'CA Population'!$L864*10^6</f>
        <v>102250.03101993132</v>
      </c>
      <c r="E864" s="143">
        <f>(INDEX(Production_Consumption!$AA$83:$AJ$99,MATCH('County Scaled Consumption '!$B864,Production_Consumption!$AA$83:$AA$99,0),MATCH('County Scaled Consumption '!E$2,Production_Consumption!$AA$83:$AJ$83,0)))*'CA Population'!$L864*10^6</f>
        <v>50244.960057149816</v>
      </c>
      <c r="F864" s="143">
        <f>(INDEX(Production_Consumption!$AA$83:$AJ$99,MATCH('County Scaled Consumption '!$B864,Production_Consumption!$AA$83:$AA$99,0),MATCH('County Scaled Consumption '!F$2,Production_Consumption!$AA$83:$AJ$83,0)))*'CA Population'!$L864*10^6</f>
        <v>11957.448532919858</v>
      </c>
      <c r="G864" s="143">
        <f>(INDEX(Production_Consumption!$AA$83:$AJ$99,MATCH('County Scaled Consumption '!$B864,Production_Consumption!$AA$83:$AA$99,0),MATCH('County Scaled Consumption '!G$2,Production_Consumption!$AA$83:$AJ$83,0)))*'CA Population'!$L864*10^6</f>
        <v>66596.615353414847</v>
      </c>
      <c r="H864" s="143">
        <f>(INDEX(Production_Consumption!$AA$83:$AJ$99,MATCH('County Scaled Consumption '!$B864,Production_Consumption!$AA$83:$AA$99,0),MATCH('County Scaled Consumption '!H$2,Production_Consumption!$AA$83:$AJ$83,0)))*'CA Population'!$L864*10^6</f>
        <v>1845.5178785089697</v>
      </c>
      <c r="I864" s="143">
        <f>(INDEX(Production_Consumption!$AA$83:$AJ$99,MATCH('County Scaled Consumption '!$B864,Production_Consumption!$AA$83:$AA$99,0),MATCH('County Scaled Consumption '!I$2,Production_Consumption!$AA$83:$AJ$83,0)))*'CA Population'!$L864*10^6</f>
        <v>33661.443265509217</v>
      </c>
      <c r="J864" s="143">
        <f>(INDEX(Production_Consumption!$AA$83:$AJ$99,MATCH('County Scaled Consumption '!$B864,Production_Consumption!$AA$83:$AA$99,0),MATCH('County Scaled Consumption '!J$2,Production_Consumption!$AA$83:$AJ$83,0)))*'CA Population'!$L864*10^6</f>
        <v>23345.493794428501</v>
      </c>
      <c r="K864" s="143">
        <f>(INDEX(Production_Consumption!$AA$83:$AJ$99,MATCH('County Scaled Consumption '!$B864,Production_Consumption!$AA$83:$AA$99,0),MATCH('County Scaled Consumption '!K$2,Production_Consumption!$AA$83:$AJ$83,0)))*'CA Population'!$L864*10^6</f>
        <v>316204.08443748567</v>
      </c>
      <c r="L864" s="131">
        <f t="shared" si="13"/>
        <v>0</v>
      </c>
    </row>
    <row r="865" spans="1:12" x14ac:dyDescent="0.2">
      <c r="A865" s="132" t="s">
        <v>341</v>
      </c>
      <c r="B865" s="129">
        <v>2006</v>
      </c>
      <c r="C865" s="143">
        <f>(INDEX(Production_Consumption!$AA$83:$AJ$99,MATCH('County Scaled Consumption '!$B865,Production_Consumption!$AA$83:$AA$99,0),MATCH('County Scaled Consumption '!C$2,Production_Consumption!$AA$83:$AJ$83,0)))*'CA Population'!$L865*10^6</f>
        <v>39949.381764535123</v>
      </c>
      <c r="D865" s="143">
        <f>(INDEX(Production_Consumption!$AA$83:$AJ$99,MATCH('County Scaled Consumption '!$B865,Production_Consumption!$AA$83:$AA$99,0),MATCH('County Scaled Consumption '!D$2,Production_Consumption!$AA$83:$AJ$83,0)))*'CA Population'!$L865*10^6</f>
        <v>155301.35725377285</v>
      </c>
      <c r="E865" s="143">
        <f>(INDEX(Production_Consumption!$AA$83:$AJ$99,MATCH('County Scaled Consumption '!$B865,Production_Consumption!$AA$83:$AA$99,0),MATCH('County Scaled Consumption '!E$2,Production_Consumption!$AA$83:$AJ$83,0)))*'CA Population'!$L865*10^6</f>
        <v>76314.015890283001</v>
      </c>
      <c r="F865" s="143">
        <f>(INDEX(Production_Consumption!$AA$83:$AJ$99,MATCH('County Scaled Consumption '!$B865,Production_Consumption!$AA$83:$AA$99,0),MATCH('County Scaled Consumption '!F$2,Production_Consumption!$AA$83:$AJ$83,0)))*'CA Population'!$L865*10^6</f>
        <v>18161.441790590823</v>
      </c>
      <c r="G865" s="143">
        <f>(INDEX(Production_Consumption!$AA$83:$AJ$99,MATCH('County Scaled Consumption '!$B865,Production_Consumption!$AA$83:$AA$99,0),MATCH('County Scaled Consumption '!G$2,Production_Consumption!$AA$83:$AJ$83,0)))*'CA Population'!$L865*10^6</f>
        <v>101149.5512492972</v>
      </c>
      <c r="H865" s="143">
        <f>(INDEX(Production_Consumption!$AA$83:$AJ$99,MATCH('County Scaled Consumption '!$B865,Production_Consumption!$AA$83:$AA$99,0),MATCH('County Scaled Consumption '!H$2,Production_Consumption!$AA$83:$AJ$83,0)))*'CA Population'!$L865*10^6</f>
        <v>2803.0449331861623</v>
      </c>
      <c r="I865" s="143">
        <f>(INDEX(Production_Consumption!$AA$83:$AJ$99,MATCH('County Scaled Consumption '!$B865,Production_Consumption!$AA$83:$AA$99,0),MATCH('County Scaled Consumption '!I$2,Production_Consumption!$AA$83:$AJ$83,0)))*'CA Population'!$L865*10^6</f>
        <v>51126.320198723821</v>
      </c>
      <c r="J865" s="143">
        <f>(INDEX(Production_Consumption!$AA$83:$AJ$99,MATCH('County Scaled Consumption '!$B865,Production_Consumption!$AA$83:$AA$99,0),MATCH('County Scaled Consumption '!J$2,Production_Consumption!$AA$83:$AJ$83,0)))*'CA Population'!$L865*10^6</f>
        <v>35458.051561153574</v>
      </c>
      <c r="K865" s="143">
        <f>(INDEX(Production_Consumption!$AA$83:$AJ$99,MATCH('County Scaled Consumption '!$B865,Production_Consumption!$AA$83:$AA$99,0),MATCH('County Scaled Consumption '!K$2,Production_Consumption!$AA$83:$AJ$83,0)))*'CA Population'!$L865*10^6</f>
        <v>480263.16464154253</v>
      </c>
      <c r="L865" s="131">
        <f t="shared" si="13"/>
        <v>0</v>
      </c>
    </row>
    <row r="866" spans="1:12" x14ac:dyDescent="0.2">
      <c r="A866" s="132" t="s">
        <v>342</v>
      </c>
      <c r="B866" s="129">
        <v>2006</v>
      </c>
      <c r="C866" s="143">
        <f>(INDEX(Production_Consumption!$AA$83:$AJ$99,MATCH('County Scaled Consumption '!$B866,Production_Consumption!$AA$83:$AA$99,0),MATCH('County Scaled Consumption '!C$2,Production_Consumption!$AA$83:$AJ$83,0)))*'CA Population'!$L866*10^6</f>
        <v>10486.25436444058</v>
      </c>
      <c r="D866" s="143">
        <f>(INDEX(Production_Consumption!$AA$83:$AJ$99,MATCH('County Scaled Consumption '!$B866,Production_Consumption!$AA$83:$AA$99,0),MATCH('County Scaled Consumption '!D$2,Production_Consumption!$AA$83:$AJ$83,0)))*'CA Population'!$L866*10^6</f>
        <v>40764.824469740372</v>
      </c>
      <c r="E866" s="143">
        <f>(INDEX(Production_Consumption!$AA$83:$AJ$99,MATCH('County Scaled Consumption '!$B866,Production_Consumption!$AA$83:$AA$99,0),MATCH('County Scaled Consumption '!E$2,Production_Consumption!$AA$83:$AJ$83,0)))*'CA Population'!$L866*10^6</f>
        <v>20031.553602360989</v>
      </c>
      <c r="F866" s="143">
        <f>(INDEX(Production_Consumption!$AA$83:$AJ$99,MATCH('County Scaled Consumption '!$B866,Production_Consumption!$AA$83:$AA$99,0),MATCH('County Scaled Consumption '!F$2,Production_Consumption!$AA$83:$AJ$83,0)))*'CA Population'!$L866*10^6</f>
        <v>4767.1700994928451</v>
      </c>
      <c r="G866" s="143">
        <f>(INDEX(Production_Consumption!$AA$83:$AJ$99,MATCH('County Scaled Consumption '!$B866,Production_Consumption!$AA$83:$AA$99,0),MATCH('County Scaled Consumption '!G$2,Production_Consumption!$AA$83:$AJ$83,0)))*'CA Population'!$L866*10^6</f>
        <v>26550.596690103535</v>
      </c>
      <c r="H866" s="143">
        <f>(INDEX(Production_Consumption!$AA$83:$AJ$99,MATCH('County Scaled Consumption '!$B866,Production_Consumption!$AA$83:$AA$99,0),MATCH('County Scaled Consumption '!H$2,Production_Consumption!$AA$83:$AJ$83,0)))*'CA Population'!$L866*10^6</f>
        <v>735.76713496078025</v>
      </c>
      <c r="I866" s="143">
        <f>(INDEX(Production_Consumption!$AA$83:$AJ$99,MATCH('County Scaled Consumption '!$B866,Production_Consumption!$AA$83:$AA$99,0),MATCH('County Scaled Consumption '!I$2,Production_Consumption!$AA$83:$AJ$83,0)))*'CA Population'!$L866*10^6</f>
        <v>13420.072467744554</v>
      </c>
      <c r="J866" s="143">
        <f>(INDEX(Production_Consumption!$AA$83:$AJ$99,MATCH('County Scaled Consumption '!$B866,Production_Consumption!$AA$83:$AA$99,0),MATCH('County Scaled Consumption '!J$2,Production_Consumption!$AA$83:$AJ$83,0)))*'CA Population'!$L866*10^6</f>
        <v>9307.3317161515915</v>
      </c>
      <c r="K866" s="143">
        <f>(INDEX(Production_Consumption!$AA$83:$AJ$99,MATCH('County Scaled Consumption '!$B866,Production_Consumption!$AA$83:$AA$99,0),MATCH('County Scaled Consumption '!K$2,Production_Consumption!$AA$83:$AJ$83,0)))*'CA Population'!$L866*10^6</f>
        <v>126063.57054499525</v>
      </c>
      <c r="L866" s="131">
        <f t="shared" si="13"/>
        <v>0</v>
      </c>
    </row>
    <row r="867" spans="1:12" x14ac:dyDescent="0.2">
      <c r="A867" s="132" t="s">
        <v>343</v>
      </c>
      <c r="B867" s="129">
        <v>2006</v>
      </c>
      <c r="C867" s="143">
        <f>(INDEX(Production_Consumption!$AA$83:$AJ$99,MATCH('County Scaled Consumption '!$B867,Production_Consumption!$AA$83:$AA$99,0),MATCH('County Scaled Consumption '!C$2,Production_Consumption!$AA$83:$AJ$83,0)))*'CA Population'!$L867*10^6</f>
        <v>8807.9060635240694</v>
      </c>
      <c r="D867" s="143">
        <f>(INDEX(Production_Consumption!$AA$83:$AJ$99,MATCH('County Scaled Consumption '!$B867,Production_Consumption!$AA$83:$AA$99,0),MATCH('County Scaled Consumption '!D$2,Production_Consumption!$AA$83:$AJ$83,0)))*'CA Population'!$L867*10^6</f>
        <v>34240.323775006509</v>
      </c>
      <c r="E867" s="143">
        <f>(INDEX(Production_Consumption!$AA$83:$AJ$99,MATCH('County Scaled Consumption '!$B867,Production_Consumption!$AA$83:$AA$99,0),MATCH('County Scaled Consumption '!E$2,Production_Consumption!$AA$83:$AJ$83,0)))*'CA Population'!$L867*10^6</f>
        <v>16825.458958381394</v>
      </c>
      <c r="F867" s="143">
        <f>(INDEX(Production_Consumption!$AA$83:$AJ$99,MATCH('County Scaled Consumption '!$B867,Production_Consumption!$AA$83:$AA$99,0),MATCH('County Scaled Consumption '!F$2,Production_Consumption!$AA$83:$AJ$83,0)))*'CA Population'!$L867*10^6</f>
        <v>4004.1739372220227</v>
      </c>
      <c r="G867" s="143">
        <f>(INDEX(Production_Consumption!$AA$83:$AJ$99,MATCH('County Scaled Consumption '!$B867,Production_Consumption!$AA$83:$AA$99,0),MATCH('County Scaled Consumption '!G$2,Production_Consumption!$AA$83:$AJ$83,0)))*'CA Population'!$L867*10^6</f>
        <v>22301.11472118774</v>
      </c>
      <c r="H867" s="143">
        <f>(INDEX(Production_Consumption!$AA$83:$AJ$99,MATCH('County Scaled Consumption '!$B867,Production_Consumption!$AA$83:$AA$99,0),MATCH('County Scaled Consumption '!H$2,Production_Consumption!$AA$83:$AJ$83,0)))*'CA Population'!$L867*10^6</f>
        <v>618.00597087733456</v>
      </c>
      <c r="I867" s="143">
        <f>(INDEX(Production_Consumption!$AA$83:$AJ$99,MATCH('County Scaled Consumption '!$B867,Production_Consumption!$AA$83:$AA$99,0),MATCH('County Scaled Consumption '!I$2,Production_Consumption!$AA$83:$AJ$83,0)))*'CA Population'!$L867*10^6</f>
        <v>11272.160063407498</v>
      </c>
      <c r="J867" s="143">
        <f>(INDEX(Production_Consumption!$AA$83:$AJ$99,MATCH('County Scaled Consumption '!$B867,Production_Consumption!$AA$83:$AA$99,0),MATCH('County Scaled Consumption '!J$2,Production_Consumption!$AA$83:$AJ$83,0)))*'CA Population'!$L867*10^6</f>
        <v>7817.6726034715866</v>
      </c>
      <c r="K867" s="143">
        <f>(INDEX(Production_Consumption!$AA$83:$AJ$99,MATCH('County Scaled Consumption '!$B867,Production_Consumption!$AA$83:$AA$99,0),MATCH('County Scaled Consumption '!K$2,Production_Consumption!$AA$83:$AJ$83,0)))*'CA Population'!$L867*10^6</f>
        <v>105886.81609307815</v>
      </c>
      <c r="L867" s="131">
        <f t="shared" si="13"/>
        <v>0</v>
      </c>
    </row>
    <row r="868" spans="1:12" x14ac:dyDescent="0.2">
      <c r="A868" s="132" t="s">
        <v>344</v>
      </c>
      <c r="B868" s="129">
        <v>2006</v>
      </c>
      <c r="C868" s="143">
        <f>(INDEX(Production_Consumption!$AA$83:$AJ$99,MATCH('County Scaled Consumption '!$B868,Production_Consumption!$AA$83:$AA$99,0),MATCH('County Scaled Consumption '!C$2,Production_Consumption!$AA$83:$AJ$83,0)))*'CA Population'!$L868*10^6</f>
        <v>3501.341535290393</v>
      </c>
      <c r="D868" s="143">
        <f>(INDEX(Production_Consumption!$AA$83:$AJ$99,MATCH('County Scaled Consumption '!$B868,Production_Consumption!$AA$83:$AA$99,0),MATCH('County Scaled Consumption '!D$2,Production_Consumption!$AA$83:$AJ$83,0)))*'CA Population'!$L868*10^6</f>
        <v>13611.301818000346</v>
      </c>
      <c r="E868" s="143">
        <f>(INDEX(Production_Consumption!$AA$83:$AJ$99,MATCH('County Scaled Consumption '!$B868,Production_Consumption!$AA$83:$AA$99,0),MATCH('County Scaled Consumption '!E$2,Production_Consumption!$AA$83:$AJ$83,0)))*'CA Population'!$L868*10^6</f>
        <v>6688.4998405323449</v>
      </c>
      <c r="F868" s="143">
        <f>(INDEX(Production_Consumption!$AA$83:$AJ$99,MATCH('County Scaled Consumption '!$B868,Production_Consumption!$AA$83:$AA$99,0),MATCH('County Scaled Consumption '!F$2,Production_Consumption!$AA$83:$AJ$83,0)))*'CA Population'!$L868*10^6</f>
        <v>1591.7495508930647</v>
      </c>
      <c r="G868" s="143">
        <f>(INDEX(Production_Consumption!$AA$83:$AJ$99,MATCH('County Scaled Consumption '!$B868,Production_Consumption!$AA$83:$AA$99,0),MATCH('County Scaled Consumption '!G$2,Production_Consumption!$AA$83:$AJ$83,0)))*'CA Population'!$L868*10^6</f>
        <v>8865.1966419052733</v>
      </c>
      <c r="H868" s="143">
        <f>(INDEX(Production_Consumption!$AA$83:$AJ$99,MATCH('County Scaled Consumption '!$B868,Production_Consumption!$AA$83:$AA$99,0),MATCH('County Scaled Consumption '!H$2,Production_Consumption!$AA$83:$AJ$83,0)))*'CA Population'!$L868*10^6</f>
        <v>245.67132747377573</v>
      </c>
      <c r="I868" s="143">
        <f>(INDEX(Production_Consumption!$AA$83:$AJ$99,MATCH('County Scaled Consumption '!$B868,Production_Consumption!$AA$83:$AA$99,0),MATCH('County Scaled Consumption '!I$2,Production_Consumption!$AA$83:$AJ$83,0)))*'CA Population'!$L868*10^6</f>
        <v>4480.9381410068227</v>
      </c>
      <c r="J868" s="143">
        <f>(INDEX(Production_Consumption!$AA$83:$AJ$99,MATCH('County Scaled Consumption '!$B868,Production_Consumption!$AA$83:$AA$99,0),MATCH('County Scaled Consumption '!J$2,Production_Consumption!$AA$83:$AJ$83,0)))*'CA Population'!$L868*10^6</f>
        <v>3107.7013762888719</v>
      </c>
      <c r="K868" s="143">
        <f>(INDEX(Production_Consumption!$AA$83:$AJ$99,MATCH('County Scaled Consumption '!$B868,Production_Consumption!$AA$83:$AA$99,0),MATCH('County Scaled Consumption '!K$2,Production_Consumption!$AA$83:$AJ$83,0)))*'CA Population'!$L868*10^6</f>
        <v>42092.400231390893</v>
      </c>
      <c r="L868" s="131">
        <f t="shared" si="13"/>
        <v>0</v>
      </c>
    </row>
    <row r="869" spans="1:12" x14ac:dyDescent="0.2">
      <c r="A869" s="132" t="s">
        <v>345</v>
      </c>
      <c r="B869" s="129">
        <v>2006</v>
      </c>
      <c r="C869" s="143">
        <f>(INDEX(Production_Consumption!$AA$83:$AJ$99,MATCH('County Scaled Consumption '!$B869,Production_Consumption!$AA$83:$AA$99,0),MATCH('County Scaled Consumption '!C$2,Production_Consumption!$AA$83:$AJ$83,0)))*'CA Population'!$L869*10^6</f>
        <v>9386.3784242935453</v>
      </c>
      <c r="D869" s="143">
        <f>(INDEX(Production_Consumption!$AA$83:$AJ$99,MATCH('County Scaled Consumption '!$B869,Production_Consumption!$AA$83:$AA$99,0),MATCH('County Scaled Consumption '!D$2,Production_Consumption!$AA$83:$AJ$83,0)))*'CA Population'!$L869*10^6</f>
        <v>36489.10808137709</v>
      </c>
      <c r="E869" s="143">
        <f>(INDEX(Production_Consumption!$AA$83:$AJ$99,MATCH('County Scaled Consumption '!$B869,Production_Consumption!$AA$83:$AA$99,0),MATCH('County Scaled Consumption '!E$2,Production_Consumption!$AA$83:$AJ$83,0)))*'CA Population'!$L869*10^6</f>
        <v>17930.496057379543</v>
      </c>
      <c r="F869" s="143">
        <f>(INDEX(Production_Consumption!$AA$83:$AJ$99,MATCH('County Scaled Consumption '!$B869,Production_Consumption!$AA$83:$AA$99,0),MATCH('County Scaled Consumption '!F$2,Production_Consumption!$AA$83:$AJ$83,0)))*'CA Population'!$L869*10^6</f>
        <v>4267.1540296175226</v>
      </c>
      <c r="G869" s="143">
        <f>(INDEX(Production_Consumption!$AA$83:$AJ$99,MATCH('County Scaled Consumption '!$B869,Production_Consumption!$AA$83:$AA$99,0),MATCH('County Scaled Consumption '!G$2,Production_Consumption!$AA$83:$AJ$83,0)))*'CA Population'!$L869*10^6</f>
        <v>23765.773675031633</v>
      </c>
      <c r="H869" s="143">
        <f>(INDEX(Production_Consumption!$AA$83:$AJ$99,MATCH('County Scaled Consumption '!$B869,Production_Consumption!$AA$83:$AA$99,0),MATCH('County Scaled Consumption '!H$2,Production_Consumption!$AA$83:$AJ$83,0)))*'CA Population'!$L869*10^6</f>
        <v>658.59443428335874</v>
      </c>
      <c r="I869" s="143">
        <f>(INDEX(Production_Consumption!$AA$83:$AJ$99,MATCH('County Scaled Consumption '!$B869,Production_Consumption!$AA$83:$AA$99,0),MATCH('County Scaled Consumption '!I$2,Production_Consumption!$AA$83:$AJ$83,0)))*'CA Population'!$L869*10^6</f>
        <v>12012.475979111285</v>
      </c>
      <c r="J869" s="143">
        <f>(INDEX(Production_Consumption!$AA$83:$AJ$99,MATCH('County Scaled Consumption '!$B869,Production_Consumption!$AA$83:$AA$99,0),MATCH('County Scaled Consumption '!J$2,Production_Consumption!$AA$83:$AJ$83,0)))*'CA Population'!$L869*10^6</f>
        <v>8331.1099055996347</v>
      </c>
      <c r="K869" s="143">
        <f>(INDEX(Production_Consumption!$AA$83:$AJ$99,MATCH('County Scaled Consumption '!$B869,Production_Consumption!$AA$83:$AA$99,0),MATCH('County Scaled Consumption '!K$2,Production_Consumption!$AA$83:$AJ$83,0)))*'CA Population'!$L869*10^6</f>
        <v>112841.09058669362</v>
      </c>
      <c r="L869" s="131">
        <f t="shared" si="13"/>
        <v>0</v>
      </c>
    </row>
    <row r="870" spans="1:12" x14ac:dyDescent="0.2">
      <c r="A870" s="132" t="s">
        <v>346</v>
      </c>
      <c r="B870" s="129">
        <v>2006</v>
      </c>
      <c r="C870" s="143">
        <f>(INDEX(Production_Consumption!$AA$83:$AJ$99,MATCH('County Scaled Consumption '!$B870,Production_Consumption!$AA$83:$AA$99,0),MATCH('County Scaled Consumption '!C$2,Production_Consumption!$AA$83:$AJ$83,0)))*'CA Population'!$L870*10^6</f>
        <v>5533.3498525938121</v>
      </c>
      <c r="D870" s="143">
        <f>(INDEX(Production_Consumption!$AA$83:$AJ$99,MATCH('County Scaled Consumption '!$B870,Production_Consumption!$AA$83:$AA$99,0),MATCH('County Scaled Consumption '!D$2,Production_Consumption!$AA$83:$AJ$83,0)))*'CA Population'!$L870*10^6</f>
        <v>21510.639321849405</v>
      </c>
      <c r="E870" s="143">
        <f>(INDEX(Production_Consumption!$AA$83:$AJ$99,MATCH('County Scaled Consumption '!$B870,Production_Consumption!$AA$83:$AA$99,0),MATCH('County Scaled Consumption '!E$2,Production_Consumption!$AA$83:$AJ$83,0)))*'CA Population'!$L870*10^6</f>
        <v>10570.17981069758</v>
      </c>
      <c r="F870" s="143">
        <f>(INDEX(Production_Consumption!$AA$83:$AJ$99,MATCH('County Scaled Consumption '!$B870,Production_Consumption!$AA$83:$AA$99,0),MATCH('County Scaled Consumption '!F$2,Production_Consumption!$AA$83:$AJ$83,0)))*'CA Population'!$L870*10^6</f>
        <v>2515.5235654752873</v>
      </c>
      <c r="G870" s="143">
        <f>(INDEX(Production_Consumption!$AA$83:$AJ$99,MATCH('County Scaled Consumption '!$B870,Production_Consumption!$AA$83:$AA$99,0),MATCH('County Scaled Consumption '!G$2,Production_Consumption!$AA$83:$AJ$83,0)))*'CA Population'!$L870*10^6</f>
        <v>14010.12555824071</v>
      </c>
      <c r="H870" s="143">
        <f>(INDEX(Production_Consumption!$AA$83:$AJ$99,MATCH('County Scaled Consumption '!$B870,Production_Consumption!$AA$83:$AA$99,0),MATCH('County Scaled Consumption '!H$2,Production_Consumption!$AA$83:$AJ$83,0)))*'CA Population'!$L870*10^6</f>
        <v>388.24701616856095</v>
      </c>
      <c r="I870" s="143">
        <f>(INDEX(Production_Consumption!$AA$83:$AJ$99,MATCH('County Scaled Consumption '!$B870,Production_Consumption!$AA$83:$AA$99,0),MATCH('County Scaled Consumption '!I$2,Production_Consumption!$AA$83:$AJ$83,0)))*'CA Population'!$L870*10^6</f>
        <v>7081.4566794226457</v>
      </c>
      <c r="J870" s="143">
        <f>(INDEX(Production_Consumption!$AA$83:$AJ$99,MATCH('County Scaled Consumption '!$B870,Production_Consumption!$AA$83:$AA$99,0),MATCH('County Scaled Consumption '!J$2,Production_Consumption!$AA$83:$AJ$83,0)))*'CA Population'!$L870*10^6</f>
        <v>4911.2600924740755</v>
      </c>
      <c r="K870" s="143">
        <f>(INDEX(Production_Consumption!$AA$83:$AJ$99,MATCH('County Scaled Consumption '!$B870,Production_Consumption!$AA$83:$AA$99,0),MATCH('County Scaled Consumption '!K$2,Production_Consumption!$AA$83:$AJ$83,0)))*'CA Population'!$L870*10^6</f>
        <v>66520.781896922083</v>
      </c>
      <c r="L870" s="131">
        <f t="shared" si="13"/>
        <v>0</v>
      </c>
    </row>
    <row r="871" spans="1:12" x14ac:dyDescent="0.2">
      <c r="A871" s="132" t="s">
        <v>347</v>
      </c>
      <c r="B871" s="129">
        <v>2006</v>
      </c>
      <c r="C871" s="143">
        <f>(INDEX(Production_Consumption!$AA$83:$AJ$99,MATCH('County Scaled Consumption '!$B871,Production_Consumption!$AA$83:$AA$99,0),MATCH('County Scaled Consumption '!C$2,Production_Consumption!$AA$83:$AJ$83,0)))*'CA Population'!$L871*10^6</f>
        <v>22906.378069341274</v>
      </c>
      <c r="D871" s="143">
        <f>(INDEX(Production_Consumption!$AA$83:$AJ$99,MATCH('County Scaled Consumption '!$B871,Production_Consumption!$AA$83:$AA$99,0),MATCH('County Scaled Consumption '!D$2,Production_Consumption!$AA$83:$AJ$83,0)))*'CA Population'!$L871*10^6</f>
        <v>89047.475750796584</v>
      </c>
      <c r="E871" s="143">
        <f>(INDEX(Production_Consumption!$AA$83:$AJ$99,MATCH('County Scaled Consumption '!$B871,Production_Consumption!$AA$83:$AA$99,0),MATCH('County Scaled Consumption '!E$2,Production_Consumption!$AA$83:$AJ$83,0)))*'CA Population'!$L871*10^6</f>
        <v>43757.315451734677</v>
      </c>
      <c r="F871" s="143">
        <f>(INDEX(Production_Consumption!$AA$83:$AJ$99,MATCH('County Scaled Consumption '!$B871,Production_Consumption!$AA$83:$AA$99,0),MATCH('County Scaled Consumption '!F$2,Production_Consumption!$AA$83:$AJ$83,0)))*'CA Population'!$L871*10^6</f>
        <v>10413.499122254781</v>
      </c>
      <c r="G871" s="143">
        <f>(INDEX(Production_Consumption!$AA$83:$AJ$99,MATCH('County Scaled Consumption '!$B871,Production_Consumption!$AA$83:$AA$99,0),MATCH('County Scaled Consumption '!G$2,Production_Consumption!$AA$83:$AJ$83,0)))*'CA Population'!$L871*10^6</f>
        <v>57997.640016484351</v>
      </c>
      <c r="H871" s="143">
        <f>(INDEX(Production_Consumption!$AA$83:$AJ$99,MATCH('County Scaled Consumption '!$B871,Production_Consumption!$AA$83:$AA$99,0),MATCH('County Scaled Consumption '!H$2,Production_Consumption!$AA$83:$AJ$83,0)))*'CA Population'!$L871*10^6</f>
        <v>1607.22404575266</v>
      </c>
      <c r="I871" s="143">
        <f>(INDEX(Production_Consumption!$AA$83:$AJ$99,MATCH('County Scaled Consumption '!$B871,Production_Consumption!$AA$83:$AA$99,0),MATCH('County Scaled Consumption '!I$2,Production_Consumption!$AA$83:$AJ$83,0)))*'CA Population'!$L871*10^6</f>
        <v>29315.067418785999</v>
      </c>
      <c r="J871" s="143">
        <f>(INDEX(Production_Consumption!$AA$83:$AJ$99,MATCH('County Scaled Consumption '!$B871,Production_Consumption!$AA$83:$AA$99,0),MATCH('County Scaled Consumption '!J$2,Production_Consumption!$AA$83:$AJ$83,0)))*'CA Population'!$L871*10^6</f>
        <v>20331.116497602998</v>
      </c>
      <c r="K871" s="143">
        <f>(INDEX(Production_Consumption!$AA$83:$AJ$99,MATCH('County Scaled Consumption '!$B871,Production_Consumption!$AA$83:$AA$99,0),MATCH('County Scaled Consumption '!K$2,Production_Consumption!$AA$83:$AJ$83,0)))*'CA Population'!$L871*10^6</f>
        <v>275375.71637275332</v>
      </c>
      <c r="L871" s="131">
        <f t="shared" si="13"/>
        <v>0</v>
      </c>
    </row>
    <row r="872" spans="1:12" x14ac:dyDescent="0.2">
      <c r="A872" s="132" t="s">
        <v>348</v>
      </c>
      <c r="B872" s="129">
        <v>2006</v>
      </c>
      <c r="C872" s="143">
        <f>(INDEX(Production_Consumption!$AA$83:$AJ$99,MATCH('County Scaled Consumption '!$B872,Production_Consumption!$AA$83:$AA$99,0),MATCH('County Scaled Consumption '!C$2,Production_Consumption!$AA$83:$AJ$83,0)))*'CA Population'!$L872*10^6</f>
        <v>3423.9524022927867</v>
      </c>
      <c r="D872" s="143">
        <f>(INDEX(Production_Consumption!$AA$83:$AJ$99,MATCH('County Scaled Consumption '!$B872,Production_Consumption!$AA$83:$AA$99,0),MATCH('County Scaled Consumption '!D$2,Production_Consumption!$AA$83:$AJ$83,0)))*'CA Population'!$L872*10^6</f>
        <v>13310.455175064548</v>
      </c>
      <c r="E872" s="143">
        <f>(INDEX(Production_Consumption!$AA$83:$AJ$99,MATCH('County Scaled Consumption '!$B872,Production_Consumption!$AA$83:$AA$99,0),MATCH('County Scaled Consumption '!E$2,Production_Consumption!$AA$83:$AJ$83,0)))*'CA Population'!$L872*10^6</f>
        <v>6540.6658750376037</v>
      </c>
      <c r="F872" s="143">
        <f>(INDEX(Production_Consumption!$AA$83:$AJ$99,MATCH('County Scaled Consumption '!$B872,Production_Consumption!$AA$83:$AA$99,0),MATCH('County Scaled Consumption '!F$2,Production_Consumption!$AA$83:$AJ$83,0)))*'CA Population'!$L872*10^6</f>
        <v>1556.5675737990402</v>
      </c>
      <c r="G872" s="143">
        <f>(INDEX(Production_Consumption!$AA$83:$AJ$99,MATCH('County Scaled Consumption '!$B872,Production_Consumption!$AA$83:$AA$99,0),MATCH('County Scaled Consumption '!G$2,Production_Consumption!$AA$83:$AJ$83,0)))*'CA Population'!$L872*10^6</f>
        <v>8669.2517804699146</v>
      </c>
      <c r="H872" s="143">
        <f>(INDEX(Production_Consumption!$AA$83:$AJ$99,MATCH('County Scaled Consumption '!$B872,Production_Consumption!$AA$83:$AA$99,0),MATCH('County Scaled Consumption '!H$2,Production_Consumption!$AA$83:$AJ$83,0)))*'CA Population'!$L872*10^6</f>
        <v>240.24132561764733</v>
      </c>
      <c r="I872" s="143">
        <f>(INDEX(Production_Consumption!$AA$83:$AJ$99,MATCH('County Scaled Consumption '!$B872,Production_Consumption!$AA$83:$AA$99,0),MATCH('County Scaled Consumption '!I$2,Production_Consumption!$AA$83:$AJ$83,0)))*'CA Population'!$L872*10^6</f>
        <v>4381.8972693142923</v>
      </c>
      <c r="J872" s="143">
        <f>(INDEX(Production_Consumption!$AA$83:$AJ$99,MATCH('County Scaled Consumption '!$B872,Production_Consumption!$AA$83:$AA$99,0),MATCH('County Scaled Consumption '!J$2,Production_Consumption!$AA$83:$AJ$83,0)))*'CA Population'!$L872*10^6</f>
        <v>3039.0127571689109</v>
      </c>
      <c r="K872" s="143">
        <f>(INDEX(Production_Consumption!$AA$83:$AJ$99,MATCH('County Scaled Consumption '!$B872,Production_Consumption!$AA$83:$AA$99,0),MATCH('County Scaled Consumption '!K$2,Production_Consumption!$AA$83:$AJ$83,0)))*'CA Population'!$L872*10^6</f>
        <v>41162.044158764744</v>
      </c>
      <c r="L872" s="131">
        <f t="shared" si="13"/>
        <v>0</v>
      </c>
    </row>
    <row r="873" spans="1:12" x14ac:dyDescent="0.2">
      <c r="A873" s="132" t="s">
        <v>349</v>
      </c>
      <c r="B873" s="129">
        <v>2006</v>
      </c>
      <c r="C873" s="143">
        <f>(INDEX(Production_Consumption!$AA$83:$AJ$99,MATCH('County Scaled Consumption '!$B873,Production_Consumption!$AA$83:$AA$99,0),MATCH('County Scaled Consumption '!C$2,Production_Consumption!$AA$83:$AJ$83,0)))*'CA Population'!$L873*10^6</f>
        <v>2345.3900145564708</v>
      </c>
      <c r="D873" s="143">
        <f>(INDEX(Production_Consumption!$AA$83:$AJ$99,MATCH('County Scaled Consumption '!$B873,Production_Consumption!$AA$83:$AA$99,0),MATCH('County Scaled Consumption '!D$2,Production_Consumption!$AA$83:$AJ$83,0)))*'CA Population'!$L873*10^6</f>
        <v>9117.5942270380838</v>
      </c>
      <c r="E873" s="143">
        <f>(INDEX(Production_Consumption!$AA$83:$AJ$99,MATCH('County Scaled Consumption '!$B873,Production_Consumption!$AA$83:$AA$99,0),MATCH('County Scaled Consumption '!E$2,Production_Consumption!$AA$83:$AJ$83,0)))*'CA Population'!$L873*10^6</f>
        <v>4480.3229220099647</v>
      </c>
      <c r="F873" s="143">
        <f>(INDEX(Production_Consumption!$AA$83:$AJ$99,MATCH('County Scaled Consumption '!$B873,Production_Consumption!$AA$83:$AA$99,0),MATCH('County Scaled Consumption '!F$2,Production_Consumption!$AA$83:$AJ$83,0)))*'CA Population'!$L873*10^6</f>
        <v>1066.240886446318</v>
      </c>
      <c r="G873" s="143">
        <f>(INDEX(Production_Consumption!$AA$83:$AJ$99,MATCH('County Scaled Consumption '!$B873,Production_Consumption!$AA$83:$AA$99,0),MATCH('County Scaled Consumption '!G$2,Production_Consumption!$AA$83:$AJ$83,0)))*'CA Population'!$L873*10^6</f>
        <v>5938.3934618876647</v>
      </c>
      <c r="H873" s="143">
        <f>(INDEX(Production_Consumption!$AA$83:$AJ$99,MATCH('County Scaled Consumption '!$B873,Production_Consumption!$AA$83:$AA$99,0),MATCH('County Scaled Consumption '!H$2,Production_Consumption!$AA$83:$AJ$83,0)))*'CA Population'!$L873*10^6</f>
        <v>164.56408851073084</v>
      </c>
      <c r="I873" s="143">
        <f>(INDEX(Production_Consumption!$AA$83:$AJ$99,MATCH('County Scaled Consumption '!$B873,Production_Consumption!$AA$83:$AA$99,0),MATCH('County Scaled Consumption '!I$2,Production_Consumption!$AA$83:$AJ$83,0)))*'CA Population'!$L873*10^6</f>
        <v>3001.5773856494125</v>
      </c>
      <c r="J873" s="143">
        <f>(INDEX(Production_Consumption!$AA$83:$AJ$99,MATCH('County Scaled Consumption '!$B873,Production_Consumption!$AA$83:$AA$99,0),MATCH('County Scaled Consumption '!J$2,Production_Consumption!$AA$83:$AJ$83,0)))*'CA Population'!$L873*10^6</f>
        <v>2081.7083117162429</v>
      </c>
      <c r="K873" s="143">
        <f>(INDEX(Production_Consumption!$AA$83:$AJ$99,MATCH('County Scaled Consumption '!$B873,Production_Consumption!$AA$83:$AA$99,0),MATCH('County Scaled Consumption '!K$2,Production_Consumption!$AA$83:$AJ$83,0)))*'CA Population'!$L873*10^6</f>
        <v>28195.791297814892</v>
      </c>
      <c r="L873" s="131">
        <f t="shared" si="13"/>
        <v>0</v>
      </c>
    </row>
    <row r="874" spans="1:12" x14ac:dyDescent="0.2">
      <c r="A874" s="132" t="s">
        <v>350</v>
      </c>
      <c r="B874" s="129">
        <v>2006</v>
      </c>
      <c r="C874" s="143">
        <f>(INDEX(Production_Consumption!$AA$83:$AJ$99,MATCH('County Scaled Consumption '!$B874,Production_Consumption!$AA$83:$AA$99,0),MATCH('County Scaled Consumption '!C$2,Production_Consumption!$AA$83:$AJ$83,0)))*'CA Population'!$L874*10^6</f>
        <v>45.995934579048715</v>
      </c>
      <c r="D874" s="143">
        <f>(INDEX(Production_Consumption!$AA$83:$AJ$99,MATCH('County Scaled Consumption '!$B874,Production_Consumption!$AA$83:$AA$99,0),MATCH('County Scaled Consumption '!D$2,Production_Consumption!$AA$83:$AJ$83,0)))*'CA Population'!$L874*10^6</f>
        <v>178.80704913995385</v>
      </c>
      <c r="E874" s="143">
        <f>(INDEX(Production_Consumption!$AA$83:$AJ$99,MATCH('County Scaled Consumption '!$B874,Production_Consumption!$AA$83:$AA$99,0),MATCH('County Scaled Consumption '!E$2,Production_Consumption!$AA$83:$AJ$83,0)))*'CA Population'!$L874*10^6</f>
        <v>87.864550771848144</v>
      </c>
      <c r="F874" s="143">
        <f>(INDEX(Production_Consumption!$AA$83:$AJ$99,MATCH('County Scaled Consumption '!$B874,Production_Consumption!$AA$83:$AA$99,0),MATCH('County Scaled Consumption '!F$2,Production_Consumption!$AA$83:$AJ$83,0)))*'CA Population'!$L874*10^6</f>
        <v>20.910273239892714</v>
      </c>
      <c r="G874" s="143">
        <f>(INDEX(Production_Consumption!$AA$83:$AJ$99,MATCH('County Scaled Consumption '!$B874,Production_Consumption!$AA$83:$AA$99,0),MATCH('County Scaled Consumption '!G$2,Production_Consumption!$AA$83:$AJ$83,0)))*'CA Population'!$L874*10^6</f>
        <v>116.45907737408382</v>
      </c>
      <c r="H874" s="143">
        <f>(INDEX(Production_Consumption!$AA$83:$AJ$99,MATCH('County Scaled Consumption '!$B874,Production_Consumption!$AA$83:$AA$99,0),MATCH('County Scaled Consumption '!H$2,Production_Consumption!$AA$83:$AJ$83,0)))*'CA Population'!$L874*10^6</f>
        <v>3.2273007910079978</v>
      </c>
      <c r="I874" s="143">
        <f>(INDEX(Production_Consumption!$AA$83:$AJ$99,MATCH('County Scaled Consumption '!$B874,Production_Consumption!$AA$83:$AA$99,0),MATCH('County Scaled Consumption '!I$2,Production_Consumption!$AA$83:$AJ$83,0)))*'CA Population'!$L874*10^6</f>
        <v>58.864562485310394</v>
      </c>
      <c r="J874" s="143">
        <f>(INDEX(Production_Consumption!$AA$83:$AJ$99,MATCH('County Scaled Consumption '!$B874,Production_Consumption!$AA$83:$AA$99,0),MATCH('County Scaled Consumption '!J$2,Production_Consumption!$AA$83:$AJ$83,0)))*'CA Population'!$L874*10^6</f>
        <v>40.824817503313731</v>
      </c>
      <c r="K874" s="143">
        <f>(INDEX(Production_Consumption!$AA$83:$AJ$99,MATCH('County Scaled Consumption '!$B874,Production_Consumption!$AA$83:$AA$99,0),MATCH('County Scaled Consumption '!K$2,Production_Consumption!$AA$83:$AJ$83,0)))*'CA Population'!$L874*10^6</f>
        <v>552.95356588445941</v>
      </c>
      <c r="L874" s="131">
        <f t="shared" si="13"/>
        <v>0</v>
      </c>
    </row>
    <row r="875" spans="1:12" x14ac:dyDescent="0.2">
      <c r="A875" s="132" t="s">
        <v>351</v>
      </c>
      <c r="B875" s="129">
        <v>2006</v>
      </c>
      <c r="C875" s="143">
        <f>(INDEX(Production_Consumption!$AA$83:$AJ$99,MATCH('County Scaled Consumption '!$B875,Production_Consumption!$AA$83:$AA$99,0),MATCH('County Scaled Consumption '!C$2,Production_Consumption!$AA$83:$AJ$83,0)))*'CA Population'!$L875*10^6</f>
        <v>602.87288865529911</v>
      </c>
      <c r="D875" s="143">
        <f>(INDEX(Production_Consumption!$AA$83:$AJ$99,MATCH('County Scaled Consumption '!$B875,Production_Consumption!$AA$83:$AA$99,0),MATCH('County Scaled Consumption '!D$2,Production_Consumption!$AA$83:$AJ$83,0)))*'CA Population'!$L875*10^6</f>
        <v>2343.6402198040405</v>
      </c>
      <c r="E875" s="143">
        <f>(INDEX(Production_Consumption!$AA$83:$AJ$99,MATCH('County Scaled Consumption '!$B875,Production_Consumption!$AA$83:$AA$99,0),MATCH('County Scaled Consumption '!E$2,Production_Consumption!$AA$83:$AJ$83,0)))*'CA Population'!$L875*10^6</f>
        <v>1151.6486406681865</v>
      </c>
      <c r="F875" s="143">
        <f>(INDEX(Production_Consumption!$AA$83:$AJ$99,MATCH('County Scaled Consumption '!$B875,Production_Consumption!$AA$83:$AA$99,0),MATCH('County Scaled Consumption '!F$2,Production_Consumption!$AA$83:$AJ$83,0)))*'CA Population'!$L875*10^6</f>
        <v>274.07284896104488</v>
      </c>
      <c r="G875" s="143">
        <f>(INDEX(Production_Consumption!$AA$83:$AJ$99,MATCH('County Scaled Consumption '!$B875,Production_Consumption!$AA$83:$AA$99,0),MATCH('County Scaled Consumption '!G$2,Production_Consumption!$AA$83:$AJ$83,0)))*'CA Population'!$L875*10^6</f>
        <v>1526.4396957948927</v>
      </c>
      <c r="H875" s="143">
        <f>(INDEX(Production_Consumption!$AA$83:$AJ$99,MATCH('County Scaled Consumption '!$B875,Production_Consumption!$AA$83:$AA$99,0),MATCH('County Scaled Consumption '!H$2,Production_Consumption!$AA$83:$AJ$83,0)))*'CA Population'!$L875*10^6</f>
        <v>42.300524345053184</v>
      </c>
      <c r="I875" s="143">
        <f>(INDEX(Production_Consumption!$AA$83:$AJ$99,MATCH('County Scaled Consumption '!$B875,Production_Consumption!$AA$83:$AA$99,0),MATCH('County Scaled Consumption '!I$2,Production_Consumption!$AA$83:$AJ$83,0)))*'CA Population'!$L875*10^6</f>
        <v>771.54316244971483</v>
      </c>
      <c r="J875" s="143">
        <f>(INDEX(Production_Consumption!$AA$83:$AJ$99,MATCH('County Scaled Consumption '!$B875,Production_Consumption!$AA$83:$AA$99,0),MATCH('County Scaled Consumption '!J$2,Production_Consumption!$AA$83:$AJ$83,0)))*'CA Population'!$L875*10^6</f>
        <v>535.09458786514335</v>
      </c>
      <c r="K875" s="143">
        <f>(INDEX(Production_Consumption!$AA$83:$AJ$99,MATCH('County Scaled Consumption '!$B875,Production_Consumption!$AA$83:$AA$99,0),MATCH('County Scaled Consumption '!K$2,Production_Consumption!$AA$83:$AJ$83,0)))*'CA Population'!$L875*10^6</f>
        <v>7247.6125685433753</v>
      </c>
      <c r="L875" s="131">
        <f t="shared" si="13"/>
        <v>0</v>
      </c>
    </row>
    <row r="876" spans="1:12" x14ac:dyDescent="0.2">
      <c r="A876" s="132" t="s">
        <v>352</v>
      </c>
      <c r="B876" s="129">
        <v>2006</v>
      </c>
      <c r="C876" s="143">
        <f>(INDEX(Production_Consumption!$AA$83:$AJ$99,MATCH('County Scaled Consumption '!$B876,Production_Consumption!$AA$83:$AA$99,0),MATCH('County Scaled Consumption '!C$2,Production_Consumption!$AA$83:$AJ$83,0)))*'CA Population'!$L876*10^6</f>
        <v>5515.8077789157214</v>
      </c>
      <c r="D876" s="143">
        <f>(INDEX(Production_Consumption!$AA$83:$AJ$99,MATCH('County Scaled Consumption '!$B876,Production_Consumption!$AA$83:$AA$99,0),MATCH('County Scaled Consumption '!D$2,Production_Consumption!$AA$83:$AJ$83,0)))*'CA Population'!$L876*10^6</f>
        <v>21442.445329078491</v>
      </c>
      <c r="E876" s="143">
        <f>(INDEX(Production_Consumption!$AA$83:$AJ$99,MATCH('County Scaled Consumption '!$B876,Production_Consumption!$AA$83:$AA$99,0),MATCH('County Scaled Consumption '!E$2,Production_Consumption!$AA$83:$AJ$83,0)))*'CA Population'!$L876*10^6</f>
        <v>10536.669752962302</v>
      </c>
      <c r="F876" s="143">
        <f>(INDEX(Production_Consumption!$AA$83:$AJ$99,MATCH('County Scaled Consumption '!$B876,Production_Consumption!$AA$83:$AA$99,0),MATCH('County Scaled Consumption '!F$2,Production_Consumption!$AA$83:$AJ$83,0)))*'CA Population'!$L876*10^6</f>
        <v>2507.5487399355907</v>
      </c>
      <c r="G876" s="143">
        <f>(INDEX(Production_Consumption!$AA$83:$AJ$99,MATCH('County Scaled Consumption '!$B876,Production_Consumption!$AA$83:$AA$99,0),MATCH('County Scaled Consumption '!G$2,Production_Consumption!$AA$83:$AJ$83,0)))*'CA Population'!$L876*10^6</f>
        <v>13965.71003033644</v>
      </c>
      <c r="H876" s="143">
        <f>(INDEX(Production_Consumption!$AA$83:$AJ$99,MATCH('County Scaled Consumption '!$B876,Production_Consumption!$AA$83:$AA$99,0),MATCH('County Scaled Consumption '!H$2,Production_Consumption!$AA$83:$AJ$83,0)))*'CA Population'!$L876*10^6</f>
        <v>387.01617807873089</v>
      </c>
      <c r="I876" s="143">
        <f>(INDEX(Production_Consumption!$AA$83:$AJ$99,MATCH('County Scaled Consumption '!$B876,Production_Consumption!$AA$83:$AA$99,0),MATCH('County Scaled Consumption '!I$2,Production_Consumption!$AA$83:$AJ$83,0)))*'CA Population'!$L876*10^6</f>
        <v>7059.0067281042029</v>
      </c>
      <c r="J876" s="143">
        <f>(INDEX(Production_Consumption!$AA$83:$AJ$99,MATCH('County Scaled Consumption '!$B876,Production_Consumption!$AA$83:$AA$99,0),MATCH('County Scaled Consumption '!J$2,Production_Consumption!$AA$83:$AJ$83,0)))*'CA Population'!$L876*10^6</f>
        <v>4895.6901956322808</v>
      </c>
      <c r="K876" s="143">
        <f>(INDEX(Production_Consumption!$AA$83:$AJ$99,MATCH('County Scaled Consumption '!$B876,Production_Consumption!$AA$83:$AA$99,0),MATCH('County Scaled Consumption '!K$2,Production_Consumption!$AA$83:$AJ$83,0)))*'CA Population'!$L876*10^6</f>
        <v>66309.894733043766</v>
      </c>
      <c r="L876" s="131">
        <f t="shared" si="13"/>
        <v>0</v>
      </c>
    </row>
    <row r="877" spans="1:12" x14ac:dyDescent="0.2">
      <c r="A877" s="132" t="s">
        <v>353</v>
      </c>
      <c r="B877" s="129">
        <v>2006</v>
      </c>
      <c r="C877" s="143">
        <f>(INDEX(Production_Consumption!$AA$83:$AJ$99,MATCH('County Scaled Consumption '!$B877,Production_Consumption!$AA$83:$AA$99,0),MATCH('County Scaled Consumption '!C$2,Production_Consumption!$AA$83:$AJ$83,0)))*'CA Population'!$L877*10^6</f>
        <v>6304.8252887197877</v>
      </c>
      <c r="D877" s="143">
        <f>(INDEX(Production_Consumption!$AA$83:$AJ$99,MATCH('County Scaled Consumption '!$B877,Production_Consumption!$AA$83:$AA$99,0),MATCH('County Scaled Consumption '!D$2,Production_Consumption!$AA$83:$AJ$83,0)))*'CA Population'!$L877*10^6</f>
        <v>24509.714076609995</v>
      </c>
      <c r="E877" s="143">
        <f>(INDEX(Production_Consumption!$AA$83:$AJ$99,MATCH('County Scaled Consumption '!$B877,Production_Consumption!$AA$83:$AA$99,0),MATCH('County Scaled Consumption '!E$2,Production_Consumption!$AA$83:$AJ$83,0)))*'CA Population'!$L877*10^6</f>
        <v>12043.904461519242</v>
      </c>
      <c r="F877" s="143">
        <f>(INDEX(Production_Consumption!$AA$83:$AJ$99,MATCH('County Scaled Consumption '!$B877,Production_Consumption!$AA$83:$AA$99,0),MATCH('County Scaled Consumption '!F$2,Production_Consumption!$AA$83:$AJ$83,0)))*'CA Population'!$L877*10^6</f>
        <v>2866.2450436862687</v>
      </c>
      <c r="G877" s="143">
        <f>(INDEX(Production_Consumption!$AA$83:$AJ$99,MATCH('County Scaled Consumption '!$B877,Production_Consumption!$AA$83:$AA$99,0),MATCH('County Scaled Consumption '!G$2,Production_Consumption!$AA$83:$AJ$83,0)))*'CA Population'!$L877*10^6</f>
        <v>15963.457267450611</v>
      </c>
      <c r="H877" s="143">
        <f>(INDEX(Production_Consumption!$AA$83:$AJ$99,MATCH('County Scaled Consumption '!$B877,Production_Consumption!$AA$83:$AA$99,0),MATCH('County Scaled Consumption '!H$2,Production_Consumption!$AA$83:$AJ$83,0)))*'CA Population'!$L877*10^6</f>
        <v>442.37752374578287</v>
      </c>
      <c r="I877" s="143">
        <f>(INDEX(Production_Consumption!$AA$83:$AJ$99,MATCH('County Scaled Consumption '!$B877,Production_Consumption!$AA$83:$AA$99,0),MATCH('County Scaled Consumption '!I$2,Production_Consumption!$AA$83:$AJ$83,0)))*'CA Population'!$L877*10^6</f>
        <v>8068.7735897394359</v>
      </c>
      <c r="J877" s="143">
        <f>(INDEX(Production_Consumption!$AA$83:$AJ$99,MATCH('County Scaled Consumption '!$B877,Production_Consumption!$AA$83:$AA$99,0),MATCH('County Scaled Consumption '!J$2,Production_Consumption!$AA$83:$AJ$83,0)))*'CA Population'!$L877*10^6</f>
        <v>5596.0019979571425</v>
      </c>
      <c r="K877" s="143">
        <f>(INDEX(Production_Consumption!$AA$83:$AJ$99,MATCH('County Scaled Consumption '!$B877,Production_Consumption!$AA$83:$AA$99,0),MATCH('County Scaled Consumption '!K$2,Production_Consumption!$AA$83:$AJ$83,0)))*'CA Population'!$L877*10^6</f>
        <v>75795.299249428266</v>
      </c>
      <c r="L877" s="131">
        <f t="shared" si="13"/>
        <v>0</v>
      </c>
    </row>
    <row r="878" spans="1:12" x14ac:dyDescent="0.2">
      <c r="A878" s="132" t="s">
        <v>354</v>
      </c>
      <c r="B878" s="129">
        <v>2006</v>
      </c>
      <c r="C878" s="143">
        <f>(INDEX(Production_Consumption!$AA$83:$AJ$99,MATCH('County Scaled Consumption '!$B878,Production_Consumption!$AA$83:$AA$99,0),MATCH('County Scaled Consumption '!C$2,Production_Consumption!$AA$83:$AJ$83,0)))*'CA Population'!$L878*10^6</f>
        <v>6721.2851235763101</v>
      </c>
      <c r="D878" s="143">
        <f>(INDEX(Production_Consumption!$AA$83:$AJ$99,MATCH('County Scaled Consumption '!$B878,Production_Consumption!$AA$83:$AA$99,0),MATCH('County Scaled Consumption '!D$2,Production_Consumption!$AA$83:$AJ$83,0)))*'CA Population'!$L878*10^6</f>
        <v>26128.682249286863</v>
      </c>
      <c r="E878" s="143">
        <f>(INDEX(Production_Consumption!$AA$83:$AJ$99,MATCH('County Scaled Consumption '!$B878,Production_Consumption!$AA$83:$AA$99,0),MATCH('County Scaled Consumption '!E$2,Production_Consumption!$AA$83:$AJ$83,0)))*'CA Population'!$L878*10^6</f>
        <v>12839.45425606248</v>
      </c>
      <c r="F878" s="143">
        <f>(INDEX(Production_Consumption!$AA$83:$AJ$99,MATCH('County Scaled Consumption '!$B878,Production_Consumption!$AA$83:$AA$99,0),MATCH('County Scaled Consumption '!F$2,Production_Consumption!$AA$83:$AJ$83,0)))*'CA Population'!$L878*10^6</f>
        <v>3055.5724053322069</v>
      </c>
      <c r="G878" s="143">
        <f>(INDEX(Production_Consumption!$AA$83:$AJ$99,MATCH('County Scaled Consumption '!$B878,Production_Consumption!$AA$83:$AA$99,0),MATCH('County Scaled Consumption '!G$2,Production_Consumption!$AA$83:$AJ$83,0)))*'CA Population'!$L878*10^6</f>
        <v>17017.909765799152</v>
      </c>
      <c r="H878" s="143">
        <f>(INDEX(Production_Consumption!$AA$83:$AJ$99,MATCH('County Scaled Consumption '!$B878,Production_Consumption!$AA$83:$AA$99,0),MATCH('County Scaled Consumption '!H$2,Production_Consumption!$AA$83:$AJ$83,0)))*'CA Population'!$L878*10^6</f>
        <v>471.59839221505251</v>
      </c>
      <c r="I878" s="143">
        <f>(INDEX(Production_Consumption!$AA$83:$AJ$99,MATCH('County Scaled Consumption '!$B878,Production_Consumption!$AA$83:$AA$99,0),MATCH('County Scaled Consumption '!I$2,Production_Consumption!$AA$83:$AJ$83,0)))*'CA Population'!$L878*10^6</f>
        <v>8601.7495189360197</v>
      </c>
      <c r="J878" s="143">
        <f>(INDEX(Production_Consumption!$AA$83:$AJ$99,MATCH('County Scaled Consumption '!$B878,Production_Consumption!$AA$83:$AA$99,0),MATCH('County Scaled Consumption '!J$2,Production_Consumption!$AA$83:$AJ$83,0)))*'CA Population'!$L878*10^6</f>
        <v>5965.6411173940614</v>
      </c>
      <c r="K878" s="143">
        <f>(INDEX(Production_Consumption!$AA$83:$AJ$99,MATCH('County Scaled Consumption '!$B878,Production_Consumption!$AA$83:$AA$99,0),MATCH('County Scaled Consumption '!K$2,Production_Consumption!$AA$83:$AJ$83,0)))*'CA Population'!$L878*10^6</f>
        <v>80801.89282860214</v>
      </c>
      <c r="L878" s="131">
        <f t="shared" si="13"/>
        <v>0</v>
      </c>
    </row>
    <row r="879" spans="1:12" x14ac:dyDescent="0.2">
      <c r="A879" s="132" t="s">
        <v>355</v>
      </c>
      <c r="B879" s="129">
        <v>2006</v>
      </c>
      <c r="C879" s="143">
        <f>(INDEX(Production_Consumption!$AA$83:$AJ$99,MATCH('County Scaled Consumption '!$B879,Production_Consumption!$AA$83:$AA$99,0),MATCH('County Scaled Consumption '!C$2,Production_Consumption!$AA$83:$AJ$83,0)))*'CA Population'!$L879*10^6</f>
        <v>1199.410766770385</v>
      </c>
      <c r="D879" s="143">
        <f>(INDEX(Production_Consumption!$AA$83:$AJ$99,MATCH('County Scaled Consumption '!$B879,Production_Consumption!$AA$83:$AA$99,0),MATCH('County Scaled Consumption '!D$2,Production_Consumption!$AA$83:$AJ$83,0)))*'CA Population'!$L879*10^6</f>
        <v>4662.6533817749742</v>
      </c>
      <c r="E879" s="143">
        <f>(INDEX(Production_Consumption!$AA$83:$AJ$99,MATCH('County Scaled Consumption '!$B879,Production_Consumption!$AA$83:$AA$99,0),MATCH('County Scaled Consumption '!E$2,Production_Consumption!$AA$83:$AJ$83,0)))*'CA Population'!$L879*10^6</f>
        <v>2291.195714962194</v>
      </c>
      <c r="F879" s="143">
        <f>(INDEX(Production_Consumption!$AA$83:$AJ$99,MATCH('County Scaled Consumption '!$B879,Production_Consumption!$AA$83:$AA$99,0),MATCH('County Scaled Consumption '!F$2,Production_Consumption!$AA$83:$AJ$83,0)))*'CA Population'!$L879*10^6</f>
        <v>545.26573032091403</v>
      </c>
      <c r="G879" s="143">
        <f>(INDEX(Production_Consumption!$AA$83:$AJ$99,MATCH('County Scaled Consumption '!$B879,Production_Consumption!$AA$83:$AA$99,0),MATCH('County Scaled Consumption '!G$2,Production_Consumption!$AA$83:$AJ$83,0)))*'CA Population'!$L879*10^6</f>
        <v>3036.8395069908452</v>
      </c>
      <c r="H879" s="143">
        <f>(INDEX(Production_Consumption!$AA$83:$AJ$99,MATCH('County Scaled Consumption '!$B879,Production_Consumption!$AA$83:$AA$99,0),MATCH('County Scaled Consumption '!H$2,Production_Consumption!$AA$83:$AJ$83,0)))*'CA Population'!$L879*10^6</f>
        <v>84.156553220787487</v>
      </c>
      <c r="I879" s="143">
        <f>(INDEX(Production_Consumption!$AA$83:$AJ$99,MATCH('County Scaled Consumption '!$B879,Production_Consumption!$AA$83:$AA$99,0),MATCH('County Scaled Consumption '!I$2,Production_Consumption!$AA$83:$AJ$83,0)))*'CA Population'!$L879*10^6</f>
        <v>1534.9789209037872</v>
      </c>
      <c r="J879" s="143">
        <f>(INDEX(Production_Consumption!$AA$83:$AJ$99,MATCH('County Scaled Consumption '!$B879,Production_Consumption!$AA$83:$AA$99,0),MATCH('County Scaled Consumption '!J$2,Production_Consumption!$AA$83:$AJ$83,0)))*'CA Population'!$L879*10^6</f>
        <v>1064.5663820735713</v>
      </c>
      <c r="K879" s="143">
        <f>(INDEX(Production_Consumption!$AA$83:$AJ$99,MATCH('County Scaled Consumption '!$B879,Production_Consumption!$AA$83:$AA$99,0),MATCH('County Scaled Consumption '!K$2,Production_Consumption!$AA$83:$AJ$83,0)))*'CA Population'!$L879*10^6</f>
        <v>14419.06695701746</v>
      </c>
      <c r="L879" s="131">
        <f t="shared" si="13"/>
        <v>0</v>
      </c>
    </row>
    <row r="880" spans="1:12" x14ac:dyDescent="0.2">
      <c r="A880" s="132" t="s">
        <v>356</v>
      </c>
      <c r="B880" s="129">
        <v>2006</v>
      </c>
      <c r="C880" s="143">
        <f>(INDEX(Production_Consumption!$AA$83:$AJ$99,MATCH('County Scaled Consumption '!$B880,Production_Consumption!$AA$83:$AA$99,0),MATCH('County Scaled Consumption '!C$2,Production_Consumption!$AA$83:$AJ$83,0)))*'CA Population'!$L880*10^6</f>
        <v>818.7195825275669</v>
      </c>
      <c r="D880" s="143">
        <f>(INDEX(Production_Consumption!$AA$83:$AJ$99,MATCH('County Scaled Consumption '!$B880,Production_Consumption!$AA$83:$AA$99,0),MATCH('County Scaled Consumption '!D$2,Production_Consumption!$AA$83:$AJ$83,0)))*'CA Population'!$L880*10^6</f>
        <v>3182.734169109187</v>
      </c>
      <c r="E880" s="143">
        <f>(INDEX(Production_Consumption!$AA$83:$AJ$99,MATCH('County Scaled Consumption '!$B880,Production_Consumption!$AA$83:$AA$99,0),MATCH('County Scaled Consumption '!E$2,Production_Consumption!$AA$83:$AJ$83,0)))*'CA Population'!$L880*10^6</f>
        <v>1563.9736203918114</v>
      </c>
      <c r="F880" s="143">
        <f>(INDEX(Production_Consumption!$AA$83:$AJ$99,MATCH('County Scaled Consumption '!$B880,Production_Consumption!$AA$83:$AA$99,0),MATCH('County Scaled Consumption '!F$2,Production_Consumption!$AA$83:$AJ$83,0)))*'CA Population'!$L880*10^6</f>
        <v>372.19920269432612</v>
      </c>
      <c r="G880" s="143">
        <f>(INDEX(Production_Consumption!$AA$83:$AJ$99,MATCH('County Scaled Consumption '!$B880,Production_Consumption!$AA$83:$AA$99,0),MATCH('County Scaled Consumption '!G$2,Production_Consumption!$AA$83:$AJ$83,0)))*'CA Population'!$L880*10^6</f>
        <v>2072.9511875748794</v>
      </c>
      <c r="H880" s="143">
        <f>(INDEX(Production_Consumption!$AA$83:$AJ$99,MATCH('County Scaled Consumption '!$B880,Production_Consumption!$AA$83:$AA$99,0),MATCH('County Scaled Consumption '!H$2,Production_Consumption!$AA$83:$AJ$83,0)))*'CA Population'!$L880*10^6</f>
        <v>57.445389043328817</v>
      </c>
      <c r="I880" s="143">
        <f>(INDEX(Production_Consumption!$AA$83:$AJ$99,MATCH('County Scaled Consumption '!$B880,Production_Consumption!$AA$83:$AA$99,0),MATCH('County Scaled Consumption '!I$2,Production_Consumption!$AA$83:$AJ$83,0)))*'CA Population'!$L880*10^6</f>
        <v>1047.7789062164968</v>
      </c>
      <c r="J880" s="143">
        <f>(INDEX(Production_Consumption!$AA$83:$AJ$99,MATCH('County Scaled Consumption '!$B880,Production_Consumption!$AA$83:$AA$99,0),MATCH('County Scaled Consumption '!J$2,Production_Consumption!$AA$83:$AJ$83,0)))*'CA Population'!$L880*10^6</f>
        <v>726.67460393992928</v>
      </c>
      <c r="K880" s="143">
        <f>(INDEX(Production_Consumption!$AA$83:$AJ$99,MATCH('County Scaled Consumption '!$B880,Production_Consumption!$AA$83:$AA$99,0),MATCH('County Scaled Consumption '!K$2,Production_Consumption!$AA$83:$AJ$83,0)))*'CA Population'!$L880*10^6</f>
        <v>9842.4766614975269</v>
      </c>
      <c r="L880" s="131">
        <f t="shared" si="13"/>
        <v>0</v>
      </c>
    </row>
    <row r="881" spans="1:12" x14ac:dyDescent="0.2">
      <c r="A881" s="132" t="s">
        <v>357</v>
      </c>
      <c r="B881" s="129">
        <v>2006</v>
      </c>
      <c r="C881" s="143">
        <f>(INDEX(Production_Consumption!$AA$83:$AJ$99,MATCH('County Scaled Consumption '!$B881,Production_Consumption!$AA$83:$AA$99,0),MATCH('County Scaled Consumption '!C$2,Production_Consumption!$AA$83:$AJ$83,0)))*'CA Population'!$L881*10^6</f>
        <v>185.29905830123917</v>
      </c>
      <c r="D881" s="143">
        <f>(INDEX(Production_Consumption!$AA$83:$AJ$99,MATCH('County Scaled Consumption '!$B881,Production_Consumption!$AA$83:$AA$99,0),MATCH('County Scaled Consumption '!D$2,Production_Consumption!$AA$83:$AJ$83,0)))*'CA Population'!$L881*10^6</f>
        <v>720.34144161838435</v>
      </c>
      <c r="E881" s="143">
        <f>(INDEX(Production_Consumption!$AA$83:$AJ$99,MATCH('County Scaled Consumption '!$B881,Production_Consumption!$AA$83:$AA$99,0),MATCH('County Scaled Consumption '!E$2,Production_Consumption!$AA$83:$AJ$83,0)))*'CA Population'!$L881*10^6</f>
        <v>353.97081644474349</v>
      </c>
      <c r="F881" s="143">
        <f>(INDEX(Production_Consumption!$AA$83:$AJ$99,MATCH('County Scaled Consumption '!$B881,Production_Consumption!$AA$83:$AA$99,0),MATCH('County Scaled Consumption '!F$2,Production_Consumption!$AA$83:$AJ$83,0)))*'CA Population'!$L881*10^6</f>
        <v>84.239052334391261</v>
      </c>
      <c r="G881" s="143">
        <f>(INDEX(Production_Consumption!$AA$83:$AJ$99,MATCH('County Scaled Consumption '!$B881,Production_Consumption!$AA$83:$AA$99,0),MATCH('County Scaled Consumption '!G$2,Production_Consumption!$AA$83:$AJ$83,0)))*'CA Population'!$L881*10^6</f>
        <v>469.16662451899663</v>
      </c>
      <c r="H881" s="143">
        <f>(INDEX(Production_Consumption!$AA$83:$AJ$99,MATCH('County Scaled Consumption '!$B881,Production_Consumption!$AA$83:$AA$99,0),MATCH('County Scaled Consumption '!H$2,Production_Consumption!$AA$83:$AJ$83,0)))*'CA Population'!$L881*10^6</f>
        <v>13.001492477577013</v>
      </c>
      <c r="I881" s="143">
        <f>(INDEX(Production_Consumption!$AA$83:$AJ$99,MATCH('County Scaled Consumption '!$B881,Production_Consumption!$AA$83:$AA$99,0),MATCH('County Scaled Consumption '!I$2,Production_Consumption!$AA$83:$AJ$83,0)))*'CA Population'!$L881*10^6</f>
        <v>237.14156687254027</v>
      </c>
      <c r="J881" s="143">
        <f>(INDEX(Production_Consumption!$AA$83:$AJ$99,MATCH('County Scaled Consumption '!$B881,Production_Consumption!$AA$83:$AA$99,0),MATCH('County Scaled Consumption '!J$2,Production_Consumption!$AA$83:$AJ$83,0)))*'CA Population'!$L881*10^6</f>
        <v>164.46671445892895</v>
      </c>
      <c r="K881" s="143">
        <f>(INDEX(Production_Consumption!$AA$83:$AJ$99,MATCH('County Scaled Consumption '!$B881,Production_Consumption!$AA$83:$AA$99,0),MATCH('County Scaled Consumption '!K$2,Production_Consumption!$AA$83:$AJ$83,0)))*'CA Population'!$L881*10^6</f>
        <v>2227.6267670268007</v>
      </c>
      <c r="L881" s="131">
        <f t="shared" si="13"/>
        <v>0</v>
      </c>
    </row>
    <row r="882" spans="1:12" x14ac:dyDescent="0.2">
      <c r="A882" s="132" t="s">
        <v>358</v>
      </c>
      <c r="B882" s="129">
        <v>2006</v>
      </c>
      <c r="C882" s="143">
        <f>(INDEX(Production_Consumption!$AA$83:$AJ$99,MATCH('County Scaled Consumption '!$B882,Production_Consumption!$AA$83:$AA$99,0),MATCH('County Scaled Consumption '!C$2,Production_Consumption!$AA$83:$AJ$83,0)))*'CA Population'!$L882*10^6</f>
        <v>5532.9203603537972</v>
      </c>
      <c r="D882" s="143">
        <f>(INDEX(Production_Consumption!$AA$83:$AJ$99,MATCH('County Scaled Consumption '!$B882,Production_Consumption!$AA$83:$AA$99,0),MATCH('County Scaled Consumption '!D$2,Production_Consumption!$AA$83:$AJ$83,0)))*'CA Population'!$L882*10^6</f>
        <v>21508.96969080987</v>
      </c>
      <c r="E882" s="143">
        <f>(INDEX(Production_Consumption!$AA$83:$AJ$99,MATCH('County Scaled Consumption '!$B882,Production_Consumption!$AA$83:$AA$99,0),MATCH('County Scaled Consumption '!E$2,Production_Consumption!$AA$83:$AJ$83,0)))*'CA Population'!$L882*10^6</f>
        <v>10569.359365519671</v>
      </c>
      <c r="F882" s="143">
        <f>(INDEX(Production_Consumption!$AA$83:$AJ$99,MATCH('County Scaled Consumption '!$B882,Production_Consumption!$AA$83:$AA$99,0),MATCH('County Scaled Consumption '!F$2,Production_Consumption!$AA$83:$AJ$83,0)))*'CA Population'!$L882*10^6</f>
        <v>2515.3283134345293</v>
      </c>
      <c r="G882" s="143">
        <f>(INDEX(Production_Consumption!$AA$83:$AJ$99,MATCH('County Scaled Consumption '!$B882,Production_Consumption!$AA$83:$AA$99,0),MATCH('County Scaled Consumption '!G$2,Production_Consumption!$AA$83:$AJ$83,0)))*'CA Population'!$L882*10^6</f>
        <v>14009.038108437391</v>
      </c>
      <c r="H882" s="143">
        <f>(INDEX(Production_Consumption!$AA$83:$AJ$99,MATCH('County Scaled Consumption '!$B882,Production_Consumption!$AA$83:$AA$99,0),MATCH('County Scaled Consumption '!H$2,Production_Consumption!$AA$83:$AJ$83,0)))*'CA Population'!$L882*10^6</f>
        <v>388.21688088250539</v>
      </c>
      <c r="I882" s="143">
        <f>(INDEX(Production_Consumption!$AA$83:$AJ$99,MATCH('County Scaled Consumption '!$B882,Production_Consumption!$AA$83:$AA$99,0),MATCH('County Scaled Consumption '!I$2,Production_Consumption!$AA$83:$AJ$83,0)))*'CA Population'!$L882*10^6</f>
        <v>7080.9070249144652</v>
      </c>
      <c r="J882" s="143">
        <f>(INDEX(Production_Consumption!$AA$83:$AJ$99,MATCH('County Scaled Consumption '!$B882,Production_Consumption!$AA$83:$AA$99,0),MATCH('County Scaled Consumption '!J$2,Production_Consumption!$AA$83:$AJ$83,0)))*'CA Population'!$L882*10^6</f>
        <v>4910.8788861244666</v>
      </c>
      <c r="K882" s="143">
        <f>(INDEX(Production_Consumption!$AA$83:$AJ$99,MATCH('County Scaled Consumption '!$B882,Production_Consumption!$AA$83:$AA$99,0),MATCH('County Scaled Consumption '!K$2,Production_Consumption!$AA$83:$AJ$83,0)))*'CA Population'!$L882*10^6</f>
        <v>66515.618630476703</v>
      </c>
      <c r="L882" s="131">
        <f t="shared" si="13"/>
        <v>0</v>
      </c>
    </row>
    <row r="883" spans="1:12" x14ac:dyDescent="0.2">
      <c r="A883" s="132" t="s">
        <v>359</v>
      </c>
      <c r="B883" s="129">
        <v>2006</v>
      </c>
      <c r="C883" s="143">
        <f>(INDEX(Production_Consumption!$AA$83:$AJ$99,MATCH('County Scaled Consumption '!$B883,Production_Consumption!$AA$83:$AA$99,0),MATCH('County Scaled Consumption '!C$2,Production_Consumption!$AA$83:$AJ$83,0)))*'CA Population'!$L883*10^6</f>
        <v>758.4027660705359</v>
      </c>
      <c r="D883" s="143">
        <f>(INDEX(Production_Consumption!$AA$83:$AJ$99,MATCH('County Scaled Consumption '!$B883,Production_Consumption!$AA$83:$AA$99,0),MATCH('County Scaled Consumption '!D$2,Production_Consumption!$AA$83:$AJ$83,0)))*'CA Population'!$L883*10^6</f>
        <v>2948.2553599948151</v>
      </c>
      <c r="E883" s="143">
        <f>(INDEX(Production_Consumption!$AA$83:$AJ$99,MATCH('County Scaled Consumption '!$B883,Production_Consumption!$AA$83:$AA$99,0),MATCH('County Scaled Consumption '!E$2,Production_Consumption!$AA$83:$AJ$83,0)))*'CA Population'!$L883*10^6</f>
        <v>1448.7523507190112</v>
      </c>
      <c r="F883" s="143">
        <f>(INDEX(Production_Consumption!$AA$83:$AJ$99,MATCH('County Scaled Consumption '!$B883,Production_Consumption!$AA$83:$AA$99,0),MATCH('County Scaled Consumption '!F$2,Production_Consumption!$AA$83:$AJ$83,0)))*'CA Population'!$L883*10^6</f>
        <v>344.77849422041947</v>
      </c>
      <c r="G883" s="143">
        <f>(INDEX(Production_Consumption!$AA$83:$AJ$99,MATCH('County Scaled Consumption '!$B883,Production_Consumption!$AA$83:$AA$99,0),MATCH('County Scaled Consumption '!G$2,Production_Consumption!$AA$83:$AJ$83,0)))*'CA Population'!$L883*10^6</f>
        <v>1920.2324558214123</v>
      </c>
      <c r="H883" s="143">
        <f>(INDEX(Production_Consumption!$AA$83:$AJ$99,MATCH('County Scaled Consumption '!$B883,Production_Consumption!$AA$83:$AA$99,0),MATCH('County Scaled Consumption '!H$2,Production_Consumption!$AA$83:$AJ$83,0)))*'CA Population'!$L883*10^6</f>
        <v>53.21326480790718</v>
      </c>
      <c r="I883" s="143">
        <f>(INDEX(Production_Consumption!$AA$83:$AJ$99,MATCH('County Scaled Consumption '!$B883,Production_Consumption!$AA$83:$AA$99,0),MATCH('County Scaled Consumption '!I$2,Production_Consumption!$AA$83:$AJ$83,0)))*'CA Population'!$L883*10^6</f>
        <v>970.58680122408805</v>
      </c>
      <c r="J883" s="143">
        <f>(INDEX(Production_Consumption!$AA$83:$AJ$99,MATCH('County Scaled Consumption '!$B883,Production_Consumption!$AA$83:$AA$99,0),MATCH('County Scaled Consumption '!J$2,Production_Consumption!$AA$83:$AJ$83,0)))*'CA Population'!$L883*10^6</f>
        <v>673.13893721687941</v>
      </c>
      <c r="K883" s="143">
        <f>(INDEX(Production_Consumption!$AA$83:$AJ$99,MATCH('County Scaled Consumption '!$B883,Production_Consumption!$AA$83:$AA$99,0),MATCH('County Scaled Consumption '!K$2,Production_Consumption!$AA$83:$AJ$83,0)))*'CA Population'!$L883*10^6</f>
        <v>9117.3604300750685</v>
      </c>
      <c r="L883" s="131">
        <f t="shared" si="13"/>
        <v>0</v>
      </c>
    </row>
    <row r="884" spans="1:12" x14ac:dyDescent="0.2">
      <c r="A884" s="132" t="s">
        <v>360</v>
      </c>
      <c r="B884" s="129">
        <v>2006</v>
      </c>
      <c r="C884" s="143">
        <f>(INDEX(Production_Consumption!$AA$83:$AJ$99,MATCH('County Scaled Consumption '!$B884,Production_Consumption!$AA$83:$AA$99,0),MATCH('County Scaled Consumption '!C$2,Production_Consumption!$AA$83:$AJ$83,0)))*'CA Population'!$L884*10^6</f>
        <v>10724.542027853602</v>
      </c>
      <c r="D884" s="143">
        <f>(INDEX(Production_Consumption!$AA$83:$AJ$99,MATCH('County Scaled Consumption '!$B884,Production_Consumption!$AA$83:$AA$99,0),MATCH('County Scaled Consumption '!D$2,Production_Consumption!$AA$83:$AJ$83,0)))*'CA Population'!$L884*10^6</f>
        <v>41691.156640861096</v>
      </c>
      <c r="E884" s="143">
        <f>(INDEX(Production_Consumption!$AA$83:$AJ$99,MATCH('County Scaled Consumption '!$B884,Production_Consumption!$AA$83:$AA$99,0),MATCH('County Scaled Consumption '!E$2,Production_Consumption!$AA$83:$AJ$83,0)))*'CA Population'!$L884*10^6</f>
        <v>20486.746842630433</v>
      </c>
      <c r="F884" s="143">
        <f>(INDEX(Production_Consumption!$AA$83:$AJ$99,MATCH('County Scaled Consumption '!$B884,Production_Consumption!$AA$83:$AA$99,0),MATCH('County Scaled Consumption '!F$2,Production_Consumption!$AA$83:$AJ$83,0)))*'CA Population'!$L884*10^6</f>
        <v>4875.4983723557134</v>
      </c>
      <c r="G884" s="143">
        <f>(INDEX(Production_Consumption!$AA$83:$AJ$99,MATCH('County Scaled Consumption '!$B884,Production_Consumption!$AA$83:$AA$99,0),MATCH('County Scaled Consumption '!G$2,Production_Consumption!$AA$83:$AJ$83,0)))*'CA Population'!$L884*10^6</f>
        <v>27153.927434106889</v>
      </c>
      <c r="H884" s="143">
        <f>(INDEX(Production_Consumption!$AA$83:$AJ$99,MATCH('County Scaled Consumption '!$B884,Production_Consumption!$AA$83:$AA$99,0),MATCH('County Scaled Consumption '!H$2,Production_Consumption!$AA$83:$AJ$83,0)))*'CA Population'!$L884*10^6</f>
        <v>752.4865683554566</v>
      </c>
      <c r="I884" s="143">
        <f>(INDEX(Production_Consumption!$AA$83:$AJ$99,MATCH('County Scaled Consumption '!$B884,Production_Consumption!$AA$83:$AA$99,0),MATCH('County Scaled Consumption '!I$2,Production_Consumption!$AA$83:$AJ$83,0)))*'CA Population'!$L884*10^6</f>
        <v>13725.027659563697</v>
      </c>
      <c r="J884" s="143">
        <f>(INDEX(Production_Consumption!$AA$83:$AJ$99,MATCH('County Scaled Consumption '!$B884,Production_Consumption!$AA$83:$AA$99,0),MATCH('County Scaled Consumption '!J$2,Production_Consumption!$AA$83:$AJ$83,0)))*'CA Population'!$L884*10^6</f>
        <v>9518.8297639933862</v>
      </c>
      <c r="K884" s="143">
        <f>(INDEX(Production_Consumption!$AA$83:$AJ$99,MATCH('County Scaled Consumption '!$B884,Production_Consumption!$AA$83:$AA$99,0),MATCH('County Scaled Consumption '!K$2,Production_Consumption!$AA$83:$AJ$83,0)))*'CA Population'!$L884*10^6</f>
        <v>128928.21530972028</v>
      </c>
      <c r="L884" s="131">
        <f t="shared" si="13"/>
        <v>0</v>
      </c>
    </row>
    <row r="885" spans="1:12" x14ac:dyDescent="0.2">
      <c r="A885" s="132" t="s">
        <v>361</v>
      </c>
      <c r="B885" s="129">
        <v>2006</v>
      </c>
      <c r="C885" s="143">
        <f>(INDEX(Production_Consumption!$AA$83:$AJ$99,MATCH('County Scaled Consumption '!$B885,Production_Consumption!$AA$83:$AA$99,0),MATCH('County Scaled Consumption '!C$2,Production_Consumption!$AA$83:$AJ$83,0)))*'CA Population'!$L885*10^6</f>
        <v>2537.7354299204476</v>
      </c>
      <c r="D885" s="143">
        <f>(INDEX(Production_Consumption!$AA$83:$AJ$99,MATCH('County Scaled Consumption '!$B885,Production_Consumption!$AA$83:$AA$99,0),MATCH('County Scaled Consumption '!D$2,Production_Consumption!$AA$83:$AJ$83,0)))*'CA Population'!$L885*10^6</f>
        <v>9865.3280528988034</v>
      </c>
      <c r="E885" s="143">
        <f>(INDEX(Production_Consumption!$AA$83:$AJ$99,MATCH('County Scaled Consumption '!$B885,Production_Consumption!$AA$83:$AA$99,0),MATCH('County Scaled Consumption '!E$2,Production_Consumption!$AA$83:$AJ$83,0)))*'CA Population'!$L885*10^6</f>
        <v>4847.7541671548024</v>
      </c>
      <c r="F885" s="143">
        <f>(INDEX(Production_Consumption!$AA$83:$AJ$99,MATCH('County Scaled Consumption '!$B885,Production_Consumption!$AA$83:$AA$99,0),MATCH('County Scaled Consumption '!F$2,Production_Consumption!$AA$83:$AJ$83,0)))*'CA Population'!$L885*10^6</f>
        <v>1153.68329257439</v>
      </c>
      <c r="G885" s="143">
        <f>(INDEX(Production_Consumption!$AA$83:$AJ$99,MATCH('County Scaled Consumption '!$B885,Production_Consumption!$AA$83:$AA$99,0),MATCH('County Scaled Consumption '!G$2,Production_Consumption!$AA$83:$AJ$83,0)))*'CA Population'!$L885*10^6</f>
        <v>6425.4010597423467</v>
      </c>
      <c r="H885" s="143">
        <f>(INDEX(Production_Consumption!$AA$83:$AJ$99,MATCH('County Scaled Consumption '!$B885,Production_Consumption!$AA$83:$AA$99,0),MATCH('County Scaled Consumption '!H$2,Production_Consumption!$AA$83:$AJ$83,0)))*'CA Population'!$L885*10^6</f>
        <v>178.05998802515617</v>
      </c>
      <c r="I885" s="143">
        <f>(INDEX(Production_Consumption!$AA$83:$AJ$99,MATCH('County Scaled Consumption '!$B885,Production_Consumption!$AA$83:$AA$99,0),MATCH('County Scaled Consumption '!I$2,Production_Consumption!$AA$83:$AJ$83,0)))*'CA Population'!$L885*10^6</f>
        <v>3247.7367217967671</v>
      </c>
      <c r="J885" s="143">
        <f>(INDEX(Production_Consumption!$AA$83:$AJ$99,MATCH('County Scaled Consumption '!$B885,Production_Consumption!$AA$83:$AA$99,0),MATCH('County Scaled Consumption '!J$2,Production_Consumption!$AA$83:$AJ$83,0)))*'CA Population'!$L885*10^6</f>
        <v>2252.4291928484254</v>
      </c>
      <c r="K885" s="143">
        <f>(INDEX(Production_Consumption!$AA$83:$AJ$99,MATCH('County Scaled Consumption '!$B885,Production_Consumption!$AA$83:$AA$99,0),MATCH('County Scaled Consumption '!K$2,Production_Consumption!$AA$83:$AJ$83,0)))*'CA Population'!$L885*10^6</f>
        <v>30508.12790496114</v>
      </c>
      <c r="L885" s="131">
        <f t="shared" si="13"/>
        <v>0</v>
      </c>
    </row>
    <row r="886" spans="1:12" x14ac:dyDescent="0.2">
      <c r="A886" s="132" t="s">
        <v>362</v>
      </c>
      <c r="B886" s="129">
        <v>2006</v>
      </c>
      <c r="C886" s="143">
        <f>(INDEX(Production_Consumption!$AA$83:$AJ$99,MATCH('County Scaled Consumption '!$B886,Production_Consumption!$AA$83:$AA$99,0),MATCH('County Scaled Consumption '!C$2,Production_Consumption!$AA$83:$AJ$83,0)))*'CA Population'!$L886*10^6</f>
        <v>918.89864751094001</v>
      </c>
      <c r="D886" s="143">
        <f>(INDEX(Production_Consumption!$AA$83:$AJ$99,MATCH('County Scaled Consumption '!$B886,Production_Consumption!$AA$83:$AA$99,0),MATCH('County Scaled Consumption '!D$2,Production_Consumption!$AA$83:$AJ$83,0)))*'CA Population'!$L886*10^6</f>
        <v>3572.1756090801869</v>
      </c>
      <c r="E886" s="143">
        <f>(INDEX(Production_Consumption!$AA$83:$AJ$99,MATCH('County Scaled Consumption '!$B886,Production_Consumption!$AA$83:$AA$99,0),MATCH('County Scaled Consumption '!E$2,Production_Consumption!$AA$83:$AJ$83,0)))*'CA Population'!$L886*10^6</f>
        <v>1755.3424581394256</v>
      </c>
      <c r="F886" s="143">
        <f>(INDEX(Production_Consumption!$AA$83:$AJ$99,MATCH('County Scaled Consumption '!$B886,Production_Consumption!$AA$83:$AA$99,0),MATCH('County Scaled Consumption '!F$2,Production_Consumption!$AA$83:$AJ$83,0)))*'CA Population'!$L886*10^6</f>
        <v>417.74174120105482</v>
      </c>
      <c r="G886" s="143">
        <f>(INDEX(Production_Consumption!$AA$83:$AJ$99,MATCH('County Scaled Consumption '!$B886,Production_Consumption!$AA$83:$AA$99,0),MATCH('County Scaled Consumption '!G$2,Production_Consumption!$AA$83:$AJ$83,0)))*'CA Population'!$L886*10^6</f>
        <v>2326.5988541987963</v>
      </c>
      <c r="H886" s="143">
        <f>(INDEX(Production_Consumption!$AA$83:$AJ$99,MATCH('County Scaled Consumption '!$B886,Production_Consumption!$AA$83:$AA$99,0),MATCH('County Scaled Consumption '!H$2,Production_Consumption!$AA$83:$AJ$83,0)))*'CA Population'!$L886*10^6</f>
        <v>64.474444515778103</v>
      </c>
      <c r="I886" s="143">
        <f>(INDEX(Production_Consumption!$AA$83:$AJ$99,MATCH('County Scaled Consumption '!$B886,Production_Consumption!$AA$83:$AA$99,0),MATCH('County Scaled Consumption '!I$2,Production_Consumption!$AA$83:$AJ$83,0)))*'CA Population'!$L886*10^6</f>
        <v>1175.9858202492826</v>
      </c>
      <c r="J886" s="143">
        <f>(INDEX(Production_Consumption!$AA$83:$AJ$99,MATCH('County Scaled Consumption '!$B886,Production_Consumption!$AA$83:$AA$99,0),MATCH('County Scaled Consumption '!J$2,Production_Consumption!$AA$83:$AJ$83,0)))*'CA Population'!$L886*10^6</f>
        <v>815.59098498595597</v>
      </c>
      <c r="K886" s="143">
        <f>(INDEX(Production_Consumption!$AA$83:$AJ$99,MATCH('County Scaled Consumption '!$B886,Production_Consumption!$AA$83:$AA$99,0),MATCH('County Scaled Consumption '!K$2,Production_Consumption!$AA$83:$AJ$83,0)))*'CA Population'!$L886*10^6</f>
        <v>11046.808559881421</v>
      </c>
      <c r="L886" s="131">
        <f t="shared" si="13"/>
        <v>0</v>
      </c>
    </row>
    <row r="887" spans="1:12" x14ac:dyDescent="0.2">
      <c r="A887" s="132" t="s">
        <v>363</v>
      </c>
      <c r="B887" s="129">
        <v>2006</v>
      </c>
      <c r="C887" s="143">
        <f>(INDEX(Production_Consumption!$AA$83:$AJ$99,MATCH('County Scaled Consumption '!$B887,Production_Consumption!$AA$83:$AA$99,0),MATCH('County Scaled Consumption '!C$2,Production_Consumption!$AA$83:$AJ$83,0)))*'CA Population'!$L887*10^6</f>
        <v>484738.3905560865</v>
      </c>
      <c r="D887" s="143">
        <f>(INDEX(Production_Consumption!$AA$83:$AJ$99,MATCH('County Scaled Consumption '!$B887,Production_Consumption!$AA$83:$AA$99,0),MATCH('County Scaled Consumption '!D$2,Production_Consumption!$AA$83:$AJ$83,0)))*'CA Population'!$L887*10^6</f>
        <v>1884397.8715385175</v>
      </c>
      <c r="E887" s="143">
        <f>(INDEX(Production_Consumption!$AA$83:$AJ$99,MATCH('County Scaled Consumption '!$B887,Production_Consumption!$AA$83:$AA$99,0),MATCH('County Scaled Consumption '!E$2,Production_Consumption!$AA$83:$AJ$83,0)))*'CA Population'!$L887*10^6</f>
        <v>925980.11797937669</v>
      </c>
      <c r="F887" s="143">
        <f>(INDEX(Production_Consumption!$AA$83:$AJ$99,MATCH('County Scaled Consumption '!$B887,Production_Consumption!$AA$83:$AA$99,0),MATCH('County Scaled Consumption '!F$2,Production_Consumption!$AA$83:$AJ$83,0)))*'CA Population'!$L887*10^6</f>
        <v>220367.56702864304</v>
      </c>
      <c r="G887" s="143">
        <f>(INDEX(Production_Consumption!$AA$83:$AJ$99,MATCH('County Scaled Consumption '!$B887,Production_Consumption!$AA$83:$AA$99,0),MATCH('County Scaled Consumption '!G$2,Production_Consumption!$AA$83:$AJ$83,0)))*'CA Population'!$L887*10^6</f>
        <v>1227329.8987966271</v>
      </c>
      <c r="H887" s="143">
        <f>(INDEX(Production_Consumption!$AA$83:$AJ$99,MATCH('County Scaled Consumption '!$B887,Production_Consumption!$AA$83:$AA$99,0),MATCH('County Scaled Consumption '!H$2,Production_Consumption!$AA$83:$AJ$83,0)))*'CA Population'!$L887*10^6</f>
        <v>34011.627453400826</v>
      </c>
      <c r="I887" s="143">
        <f>(INDEX(Production_Consumption!$AA$83:$AJ$99,MATCH('County Scaled Consumption '!$B887,Production_Consumption!$AA$83:$AA$99,0),MATCH('County Scaled Consumption '!I$2,Production_Consumption!$AA$83:$AJ$83,0)))*'CA Population'!$L887*10^6</f>
        <v>620357.28898777138</v>
      </c>
      <c r="J887" s="143">
        <f>(INDEX(Production_Consumption!$AA$83:$AJ$99,MATCH('County Scaled Consumption '!$B887,Production_Consumption!$AA$83:$AA$99,0),MATCH('County Scaled Consumption '!J$2,Production_Consumption!$AA$83:$AJ$83,0)))*'CA Population'!$L887*10^6</f>
        <v>430241.422691221</v>
      </c>
      <c r="K887" s="143">
        <f>(INDEX(Production_Consumption!$AA$83:$AJ$99,MATCH('County Scaled Consumption '!$B887,Production_Consumption!$AA$83:$AA$99,0),MATCH('County Scaled Consumption '!K$2,Production_Consumption!$AA$83:$AJ$83,0)))*'CA Population'!$L887*10^6</f>
        <v>5827424.185031645</v>
      </c>
      <c r="L887" s="131">
        <f t="shared" si="13"/>
        <v>0</v>
      </c>
    </row>
    <row r="888" spans="1:12" x14ac:dyDescent="0.2">
      <c r="A888" s="132" t="s">
        <v>305</v>
      </c>
      <c r="B888" s="129">
        <v>2005</v>
      </c>
      <c r="C888" s="143">
        <f>(INDEX(Production_Consumption!$AA$83:$AJ$99,MATCH('County Scaled Consumption '!$B888,Production_Consumption!$AA$83:$AA$99,0),MATCH('County Scaled Consumption '!C$2,Production_Consumption!$AA$83:$AJ$83,0)))*'CA Population'!$L888*10^6</f>
        <v>18667.970189581036</v>
      </c>
      <c r="D888" s="143">
        <f>(INDEX(Production_Consumption!$AA$83:$AJ$99,MATCH('County Scaled Consumption '!$B888,Production_Consumption!$AA$83:$AA$99,0),MATCH('County Scaled Consumption '!D$2,Production_Consumption!$AA$83:$AJ$83,0)))*'CA Population'!$L888*10^6</f>
        <v>73453.21794032371</v>
      </c>
      <c r="E888" s="143">
        <f>(INDEX(Production_Consumption!$AA$83:$AJ$99,MATCH('County Scaled Consumption '!$B888,Production_Consumption!$AA$83:$AA$99,0),MATCH('County Scaled Consumption '!E$2,Production_Consumption!$AA$83:$AJ$83,0)))*'CA Population'!$L888*10^6</f>
        <v>45426.996637455333</v>
      </c>
      <c r="F888" s="143">
        <f>(INDEX(Production_Consumption!$AA$83:$AJ$99,MATCH('County Scaled Consumption '!$B888,Production_Consumption!$AA$83:$AA$99,0),MATCH('County Scaled Consumption '!F$2,Production_Consumption!$AA$83:$AJ$83,0)))*'CA Population'!$L888*10^6</f>
        <v>12542.235145558161</v>
      </c>
      <c r="G888" s="143">
        <f>(INDEX(Production_Consumption!$AA$83:$AJ$99,MATCH('County Scaled Consumption '!$B888,Production_Consumption!$AA$83:$AA$99,0),MATCH('County Scaled Consumption '!G$2,Production_Consumption!$AA$83:$AJ$83,0)))*'CA Population'!$L888*10^6</f>
        <v>47131.120881151801</v>
      </c>
      <c r="H888" s="143">
        <f>(INDEX(Production_Consumption!$AA$83:$AJ$99,MATCH('County Scaled Consumption '!$B888,Production_Consumption!$AA$83:$AA$99,0),MATCH('County Scaled Consumption '!H$2,Production_Consumption!$AA$83:$AJ$83,0)))*'CA Population'!$L888*10^6</f>
        <v>1315.117343070207</v>
      </c>
      <c r="I888" s="143">
        <f>(INDEX(Production_Consumption!$AA$83:$AJ$99,MATCH('County Scaled Consumption '!$B888,Production_Consumption!$AA$83:$AA$99,0),MATCH('County Scaled Consumption '!I$2,Production_Consumption!$AA$83:$AJ$83,0)))*'CA Population'!$L888*10^6</f>
        <v>25498.404120556832</v>
      </c>
      <c r="J888" s="143">
        <f>(INDEX(Production_Consumption!$AA$83:$AJ$99,MATCH('County Scaled Consumption '!$B888,Production_Consumption!$AA$83:$AA$99,0),MATCH('County Scaled Consumption '!J$2,Production_Consumption!$AA$83:$AJ$83,0)))*'CA Population'!$L888*10^6</f>
        <v>16625.147279833138</v>
      </c>
      <c r="K888" s="143">
        <f>(INDEX(Production_Consumption!$AA$83:$AJ$99,MATCH('County Scaled Consumption '!$B888,Production_Consumption!$AA$83:$AA$99,0),MATCH('County Scaled Consumption '!K$2,Production_Consumption!$AA$83:$AJ$83,0)))*'CA Population'!$L888*10^6</f>
        <v>240660.20953753026</v>
      </c>
      <c r="L888" s="131">
        <f t="shared" si="13"/>
        <v>0</v>
      </c>
    </row>
    <row r="889" spans="1:12" x14ac:dyDescent="0.2">
      <c r="A889" s="132" t="s">
        <v>306</v>
      </c>
      <c r="B889" s="129">
        <v>2005</v>
      </c>
      <c r="C889" s="143">
        <f>(INDEX(Production_Consumption!$AA$83:$AJ$99,MATCH('County Scaled Consumption '!$B889,Production_Consumption!$AA$83:$AA$99,0),MATCH('County Scaled Consumption '!C$2,Production_Consumption!$AA$83:$AJ$83,0)))*'CA Population'!$L889*10^6</f>
        <v>15.787045047439692</v>
      </c>
      <c r="D889" s="143">
        <f>(INDEX(Production_Consumption!$AA$83:$AJ$99,MATCH('County Scaled Consumption '!$B889,Production_Consumption!$AA$83:$AA$99,0),MATCH('County Scaled Consumption '!D$2,Production_Consumption!$AA$83:$AJ$83,0)))*'CA Population'!$L889*10^6</f>
        <v>62.117586900288515</v>
      </c>
      <c r="E889" s="143">
        <f>(INDEX(Production_Consumption!$AA$83:$AJ$99,MATCH('County Scaled Consumption '!$B889,Production_Consumption!$AA$83:$AA$99,0),MATCH('County Scaled Consumption '!E$2,Production_Consumption!$AA$83:$AJ$83,0)))*'CA Population'!$L889*10^6</f>
        <v>38.41649815177329</v>
      </c>
      <c r="F889" s="143">
        <f>(INDEX(Production_Consumption!$AA$83:$AJ$99,MATCH('County Scaled Consumption '!$B889,Production_Consumption!$AA$83:$AA$99,0),MATCH('County Scaled Consumption '!F$2,Production_Consumption!$AA$83:$AJ$83,0)))*'CA Population'!$L889*10^6</f>
        <v>10.606660993545962</v>
      </c>
      <c r="G889" s="143">
        <f>(INDEX(Production_Consumption!$AA$83:$AJ$99,MATCH('County Scaled Consumption '!$B889,Production_Consumption!$AA$83:$AA$99,0),MATCH('County Scaled Consumption '!G$2,Production_Consumption!$AA$83:$AJ$83,0)))*'CA Population'!$L889*10^6</f>
        <v>39.857634275757746</v>
      </c>
      <c r="H889" s="143">
        <f>(INDEX(Production_Consumption!$AA$83:$AJ$99,MATCH('County Scaled Consumption '!$B889,Production_Consumption!$AA$83:$AA$99,0),MATCH('County Scaled Consumption '!H$2,Production_Consumption!$AA$83:$AJ$83,0)))*'CA Population'!$L889*10^6</f>
        <v>1.1121625183066846</v>
      </c>
      <c r="I889" s="143">
        <f>(INDEX(Production_Consumption!$AA$83:$AJ$99,MATCH('County Scaled Consumption '!$B889,Production_Consumption!$AA$83:$AA$99,0),MATCH('County Scaled Consumption '!I$2,Production_Consumption!$AA$83:$AJ$83,0)))*'CA Population'!$L889*10^6</f>
        <v>21.563375685789374</v>
      </c>
      <c r="J889" s="143">
        <f>(INDEX(Production_Consumption!$AA$83:$AJ$99,MATCH('County Scaled Consumption '!$B889,Production_Consumption!$AA$83:$AA$99,0),MATCH('County Scaled Consumption '!J$2,Production_Consumption!$AA$83:$AJ$83,0)))*'CA Population'!$L889*10^6</f>
        <v>14.059479759268655</v>
      </c>
      <c r="K889" s="143">
        <f>(INDEX(Production_Consumption!$AA$83:$AJ$99,MATCH('County Scaled Consumption '!$B889,Production_Consumption!$AA$83:$AA$99,0),MATCH('County Scaled Consumption '!K$2,Production_Consumption!$AA$83:$AJ$83,0)))*'CA Population'!$L889*10^6</f>
        <v>203.52044333216995</v>
      </c>
      <c r="L889" s="131">
        <f t="shared" si="13"/>
        <v>0</v>
      </c>
    </row>
    <row r="890" spans="1:12" x14ac:dyDescent="0.2">
      <c r="A890" s="132" t="s">
        <v>307</v>
      </c>
      <c r="B890" s="129">
        <v>2005</v>
      </c>
      <c r="C890" s="143">
        <f>(INDEX(Production_Consumption!$AA$83:$AJ$99,MATCH('County Scaled Consumption '!$B890,Production_Consumption!$AA$83:$AA$99,0),MATCH('County Scaled Consumption '!C$2,Production_Consumption!$AA$83:$AJ$83,0)))*'CA Population'!$L890*10^6</f>
        <v>477.74635756334476</v>
      </c>
      <c r="D890" s="143">
        <f>(INDEX(Production_Consumption!$AA$83:$AJ$99,MATCH('County Scaled Consumption '!$B890,Production_Consumption!$AA$83:$AA$99,0),MATCH('County Scaled Consumption '!D$2,Production_Consumption!$AA$83:$AJ$83,0)))*'CA Population'!$L890*10^6</f>
        <v>1879.7976944425225</v>
      </c>
      <c r="E890" s="143">
        <f>(INDEX(Production_Consumption!$AA$83:$AJ$99,MATCH('County Scaled Consumption '!$B890,Production_Consumption!$AA$83:$AA$99,0),MATCH('County Scaled Consumption '!E$2,Production_Consumption!$AA$83:$AJ$83,0)))*'CA Population'!$L890*10^6</f>
        <v>1162.5571477877779</v>
      </c>
      <c r="F890" s="143">
        <f>(INDEX(Production_Consumption!$AA$83:$AJ$99,MATCH('County Scaled Consumption '!$B890,Production_Consumption!$AA$83:$AA$99,0),MATCH('County Scaled Consumption '!F$2,Production_Consumption!$AA$83:$AJ$83,0)))*'CA Population'!$L890*10^6</f>
        <v>320.97796898334644</v>
      </c>
      <c r="G890" s="143">
        <f>(INDEX(Production_Consumption!$AA$83:$AJ$99,MATCH('County Scaled Consumption '!$B890,Production_Consumption!$AA$83:$AA$99,0),MATCH('County Scaled Consumption '!G$2,Production_Consumption!$AA$83:$AJ$83,0)))*'CA Population'!$L890*10^6</f>
        <v>1206.1686996594303</v>
      </c>
      <c r="H890" s="143">
        <f>(INDEX(Production_Consumption!$AA$83:$AJ$99,MATCH('County Scaled Consumption '!$B890,Production_Consumption!$AA$83:$AA$99,0),MATCH('County Scaled Consumption '!H$2,Production_Consumption!$AA$83:$AJ$83,0)))*'CA Population'!$L890*10^6</f>
        <v>33.656177615434459</v>
      </c>
      <c r="I890" s="143">
        <f>(INDEX(Production_Consumption!$AA$83:$AJ$99,MATCH('County Scaled Consumption '!$B890,Production_Consumption!$AA$83:$AA$99,0),MATCH('County Scaled Consumption '!I$2,Production_Consumption!$AA$83:$AJ$83,0)))*'CA Population'!$L890*10^6</f>
        <v>652.54923639598974</v>
      </c>
      <c r="J890" s="143">
        <f>(INDEX(Production_Consumption!$AA$83:$AJ$99,MATCH('County Scaled Consumption '!$B890,Production_Consumption!$AA$83:$AA$99,0),MATCH('County Scaled Consumption '!J$2,Production_Consumption!$AA$83:$AJ$83,0)))*'CA Population'!$L890*10^6</f>
        <v>425.46690809091569</v>
      </c>
      <c r="K890" s="143">
        <f>(INDEX(Production_Consumption!$AA$83:$AJ$99,MATCH('County Scaled Consumption '!$B890,Production_Consumption!$AA$83:$AA$99,0),MATCH('County Scaled Consumption '!K$2,Production_Consumption!$AA$83:$AJ$83,0)))*'CA Population'!$L890*10^6</f>
        <v>6158.9201905387627</v>
      </c>
      <c r="L890" s="131">
        <f t="shared" si="13"/>
        <v>0</v>
      </c>
    </row>
    <row r="891" spans="1:12" x14ac:dyDescent="0.2">
      <c r="A891" s="132" t="s">
        <v>308</v>
      </c>
      <c r="B891" s="129">
        <v>2005</v>
      </c>
      <c r="C891" s="143">
        <f>(INDEX(Production_Consumption!$AA$83:$AJ$99,MATCH('County Scaled Consumption '!$B891,Production_Consumption!$AA$83:$AA$99,0),MATCH('County Scaled Consumption '!C$2,Production_Consumption!$AA$83:$AJ$83,0)))*'CA Population'!$L891*10^6</f>
        <v>2717.8093598039773</v>
      </c>
      <c r="D891" s="143">
        <f>(INDEX(Production_Consumption!$AA$83:$AJ$99,MATCH('County Scaled Consumption '!$B891,Production_Consumption!$AA$83:$AA$99,0),MATCH('County Scaled Consumption '!D$2,Production_Consumption!$AA$83:$AJ$83,0)))*'CA Population'!$L891*10^6</f>
        <v>10693.816263824529</v>
      </c>
      <c r="E891" s="143">
        <f>(INDEX(Production_Consumption!$AA$83:$AJ$99,MATCH('County Scaled Consumption '!$B891,Production_Consumption!$AA$83:$AA$99,0),MATCH('County Scaled Consumption '!E$2,Production_Consumption!$AA$83:$AJ$83,0)))*'CA Population'!$L891*10^6</f>
        <v>6613.5694130241563</v>
      </c>
      <c r="F891" s="143">
        <f>(INDEX(Production_Consumption!$AA$83:$AJ$99,MATCH('County Scaled Consumption '!$B891,Production_Consumption!$AA$83:$AA$99,0),MATCH('County Scaled Consumption '!F$2,Production_Consumption!$AA$83:$AJ$83,0)))*'CA Population'!$L891*10^6</f>
        <v>1825.983421083735</v>
      </c>
      <c r="G891" s="143">
        <f>(INDEX(Production_Consumption!$AA$83:$AJ$99,MATCH('County Scaled Consumption '!$B891,Production_Consumption!$AA$83:$AA$99,0),MATCH('County Scaled Consumption '!G$2,Production_Consumption!$AA$83:$AJ$83,0)))*'CA Population'!$L891*10^6</f>
        <v>6861.6673461552073</v>
      </c>
      <c r="H891" s="143">
        <f>(INDEX(Production_Consumption!$AA$83:$AJ$99,MATCH('County Scaled Consumption '!$B891,Production_Consumption!$AA$83:$AA$99,0),MATCH('County Scaled Consumption '!H$2,Production_Consumption!$AA$83:$AJ$83,0)))*'CA Population'!$L891*10^6</f>
        <v>191.46367751495552</v>
      </c>
      <c r="I891" s="143">
        <f>(INDEX(Production_Consumption!$AA$83:$AJ$99,MATCH('County Scaled Consumption '!$B891,Production_Consumption!$AA$83:$AA$99,0),MATCH('County Scaled Consumption '!I$2,Production_Consumption!$AA$83:$AJ$83,0)))*'CA Population'!$L891*10^6</f>
        <v>3712.2301286720094</v>
      </c>
      <c r="J891" s="143">
        <f>(INDEX(Production_Consumption!$AA$83:$AJ$99,MATCH('County Scaled Consumption '!$B891,Production_Consumption!$AA$83:$AA$99,0),MATCH('County Scaled Consumption '!J$2,Production_Consumption!$AA$83:$AJ$83,0)))*'CA Population'!$L891*10^6</f>
        <v>2420.4013841027131</v>
      </c>
      <c r="K891" s="143">
        <f>(INDEX(Production_Consumption!$AA$83:$AJ$99,MATCH('County Scaled Consumption '!$B891,Production_Consumption!$AA$83:$AA$99,0),MATCH('County Scaled Consumption '!K$2,Production_Consumption!$AA$83:$AJ$83,0)))*'CA Population'!$L891*10^6</f>
        <v>35036.940994181285</v>
      </c>
      <c r="L891" s="131">
        <f t="shared" si="13"/>
        <v>0</v>
      </c>
    </row>
    <row r="892" spans="1:12" x14ac:dyDescent="0.2">
      <c r="A892" s="132" t="s">
        <v>309</v>
      </c>
      <c r="B892" s="129">
        <v>2005</v>
      </c>
      <c r="C892" s="143">
        <f>(INDEX(Production_Consumption!$AA$83:$AJ$99,MATCH('County Scaled Consumption '!$B892,Production_Consumption!$AA$83:$AA$99,0),MATCH('County Scaled Consumption '!C$2,Production_Consumption!$AA$83:$AJ$83,0)))*'CA Population'!$L892*10^6</f>
        <v>565.98534661588963</v>
      </c>
      <c r="D892" s="143">
        <f>(INDEX(Production_Consumption!$AA$83:$AJ$99,MATCH('County Scaled Consumption '!$B892,Production_Consumption!$AA$83:$AA$99,0),MATCH('County Scaled Consumption '!D$2,Production_Consumption!$AA$83:$AJ$83,0)))*'CA Population'!$L892*10^6</f>
        <v>2226.9933256701656</v>
      </c>
      <c r="E892" s="143">
        <f>(INDEX(Production_Consumption!$AA$83:$AJ$99,MATCH('County Scaled Consumption '!$B892,Production_Consumption!$AA$83:$AA$99,0),MATCH('County Scaled Consumption '!E$2,Production_Consumption!$AA$83:$AJ$83,0)))*'CA Population'!$L892*10^6</f>
        <v>1377.2795958244476</v>
      </c>
      <c r="F892" s="143">
        <f>(INDEX(Production_Consumption!$AA$83:$AJ$99,MATCH('County Scaled Consumption '!$B892,Production_Consumption!$AA$83:$AA$99,0),MATCH('County Scaled Consumption '!F$2,Production_Consumption!$AA$83:$AJ$83,0)))*'CA Population'!$L892*10^6</f>
        <v>380.26208709925328</v>
      </c>
      <c r="G892" s="143">
        <f>(INDEX(Production_Consumption!$AA$83:$AJ$99,MATCH('County Scaled Consumption '!$B892,Production_Consumption!$AA$83:$AA$99,0),MATCH('County Scaled Consumption '!G$2,Production_Consumption!$AA$83:$AJ$83,0)))*'CA Population'!$L892*10^6</f>
        <v>1428.9461316582897</v>
      </c>
      <c r="H892" s="143">
        <f>(INDEX(Production_Consumption!$AA$83:$AJ$99,MATCH('County Scaled Consumption '!$B892,Production_Consumption!$AA$83:$AA$99,0),MATCH('County Scaled Consumption '!H$2,Production_Consumption!$AA$83:$AJ$83,0)))*'CA Population'!$L892*10^6</f>
        <v>39.87241985599421</v>
      </c>
      <c r="I892" s="143">
        <f>(INDEX(Production_Consumption!$AA$83:$AJ$99,MATCH('County Scaled Consumption '!$B892,Production_Consumption!$AA$83:$AA$99,0),MATCH('County Scaled Consumption '!I$2,Production_Consumption!$AA$83:$AJ$83,0)))*'CA Population'!$L892*10^6</f>
        <v>773.07403792513105</v>
      </c>
      <c r="J892" s="143">
        <f>(INDEX(Production_Consumption!$AA$83:$AJ$99,MATCH('County Scaled Consumption '!$B892,Production_Consumption!$AA$83:$AA$99,0),MATCH('County Scaled Consumption '!J$2,Production_Consumption!$AA$83:$AJ$83,0)))*'CA Population'!$L892*10^6</f>
        <v>504.04996634118527</v>
      </c>
      <c r="K892" s="143">
        <f>(INDEX(Production_Consumption!$AA$83:$AJ$99,MATCH('County Scaled Consumption '!$B892,Production_Consumption!$AA$83:$AA$99,0),MATCH('County Scaled Consumption '!K$2,Production_Consumption!$AA$83:$AJ$83,0)))*'CA Population'!$L892*10^6</f>
        <v>7296.4629109903572</v>
      </c>
      <c r="L892" s="131">
        <f t="shared" si="13"/>
        <v>0</v>
      </c>
    </row>
    <row r="893" spans="1:12" x14ac:dyDescent="0.2">
      <c r="A893" s="132" t="s">
        <v>310</v>
      </c>
      <c r="B893" s="129">
        <v>2005</v>
      </c>
      <c r="C893" s="143">
        <f>(INDEX(Production_Consumption!$AA$83:$AJ$99,MATCH('County Scaled Consumption '!$B893,Production_Consumption!$AA$83:$AA$99,0),MATCH('County Scaled Consumption '!C$2,Production_Consumption!$AA$83:$AJ$83,0)))*'CA Population'!$L893*10^6</f>
        <v>260.02041697375603</v>
      </c>
      <c r="D893" s="143">
        <f>(INDEX(Production_Consumption!$AA$83:$AJ$99,MATCH('County Scaled Consumption '!$B893,Production_Consumption!$AA$83:$AA$99,0),MATCH('County Scaled Consumption '!D$2,Production_Consumption!$AA$83:$AJ$83,0)))*'CA Population'!$L893*10^6</f>
        <v>1023.1072882024885</v>
      </c>
      <c r="E893" s="143">
        <f>(INDEX(Production_Consumption!$AA$83:$AJ$99,MATCH('County Scaled Consumption '!$B893,Production_Consumption!$AA$83:$AA$99,0),MATCH('County Scaled Consumption '!E$2,Production_Consumption!$AA$83:$AJ$83,0)))*'CA Population'!$L893*10^6</f>
        <v>632.73866883122787</v>
      </c>
      <c r="F893" s="143">
        <f>(INDEX(Production_Consumption!$AA$83:$AJ$99,MATCH('County Scaled Consumption '!$B893,Production_Consumption!$AA$83:$AA$99,0),MATCH('County Scaled Consumption '!F$2,Production_Consumption!$AA$83:$AJ$83,0)))*'CA Population'!$L893*10^6</f>
        <v>174.69693701091791</v>
      </c>
      <c r="G893" s="143">
        <f>(INDEX(Production_Consumption!$AA$83:$AJ$99,MATCH('County Scaled Consumption '!$B893,Production_Consumption!$AA$83:$AA$99,0),MATCH('County Scaled Consumption '!G$2,Production_Consumption!$AA$83:$AJ$83,0)))*'CA Population'!$L893*10^6</f>
        <v>656.47489145860004</v>
      </c>
      <c r="H893" s="143">
        <f>(INDEX(Production_Consumption!$AA$83:$AJ$99,MATCH('County Scaled Consumption '!$B893,Production_Consumption!$AA$83:$AA$99,0),MATCH('County Scaled Consumption '!H$2,Production_Consumption!$AA$83:$AJ$83,0)))*'CA Population'!$L893*10^6</f>
        <v>18.317865115586407</v>
      </c>
      <c r="I893" s="143">
        <f>(INDEX(Production_Consumption!$AA$83:$AJ$99,MATCH('County Scaled Consumption '!$B893,Production_Consumption!$AA$83:$AA$99,0),MATCH('County Scaled Consumption '!I$2,Production_Consumption!$AA$83:$AJ$83,0)))*'CA Population'!$L893*10^6</f>
        <v>355.15943106085092</v>
      </c>
      <c r="J893" s="143">
        <f>(INDEX(Production_Consumption!$AA$83:$AJ$99,MATCH('County Scaled Consumption '!$B893,Production_Consumption!$AA$83:$AA$99,0),MATCH('County Scaled Consumption '!J$2,Production_Consumption!$AA$83:$AJ$83,0)))*'CA Population'!$L893*10^6</f>
        <v>231.56656476583632</v>
      </c>
      <c r="K893" s="143">
        <f>(INDEX(Production_Consumption!$AA$83:$AJ$99,MATCH('County Scaled Consumption '!$B893,Production_Consumption!$AA$83:$AA$99,0),MATCH('County Scaled Consumption '!K$2,Production_Consumption!$AA$83:$AJ$83,0)))*'CA Population'!$L893*10^6</f>
        <v>3352.0820634192642</v>
      </c>
      <c r="L893" s="131">
        <f t="shared" si="13"/>
        <v>0</v>
      </c>
    </row>
    <row r="894" spans="1:12" x14ac:dyDescent="0.2">
      <c r="A894" s="132" t="s">
        <v>311</v>
      </c>
      <c r="B894" s="129">
        <v>2005</v>
      </c>
      <c r="C894" s="143">
        <f>(INDEX(Production_Consumption!$AA$83:$AJ$99,MATCH('County Scaled Consumption '!$B894,Production_Consumption!$AA$83:$AA$99,0),MATCH('County Scaled Consumption '!C$2,Production_Consumption!$AA$83:$AJ$83,0)))*'CA Population'!$L894*10^6</f>
        <v>12777.883665495052</v>
      </c>
      <c r="D894" s="143">
        <f>(INDEX(Production_Consumption!$AA$83:$AJ$99,MATCH('County Scaled Consumption '!$B894,Production_Consumption!$AA$83:$AA$99,0),MATCH('County Scaled Consumption '!D$2,Production_Consumption!$AA$83:$AJ$83,0)))*'CA Population'!$L894*10^6</f>
        <v>50277.382284526488</v>
      </c>
      <c r="E894" s="143">
        <f>(INDEX(Production_Consumption!$AA$83:$AJ$99,MATCH('County Scaled Consumption '!$B894,Production_Consumption!$AA$83:$AA$99,0),MATCH('County Scaled Consumption '!E$2,Production_Consumption!$AA$83:$AJ$83,0)))*'CA Population'!$L894*10^6</f>
        <v>31093.947141087992</v>
      </c>
      <c r="F894" s="143">
        <f>(INDEX(Production_Consumption!$AA$83:$AJ$99,MATCH('County Scaled Consumption '!$B894,Production_Consumption!$AA$83:$AA$99,0),MATCH('County Scaled Consumption '!F$2,Production_Consumption!$AA$83:$AJ$83,0)))*'CA Population'!$L894*10^6</f>
        <v>8584.930229033238</v>
      </c>
      <c r="G894" s="143">
        <f>(INDEX(Production_Consumption!$AA$83:$AJ$99,MATCH('County Scaled Consumption '!$B894,Production_Consumption!$AA$83:$AA$99,0),MATCH('County Scaled Consumption '!G$2,Production_Consumption!$AA$83:$AJ$83,0)))*'CA Population'!$L894*10^6</f>
        <v>32260.388972544115</v>
      </c>
      <c r="H894" s="143">
        <f>(INDEX(Production_Consumption!$AA$83:$AJ$99,MATCH('County Scaled Consumption '!$B894,Production_Consumption!$AA$83:$AA$99,0),MATCH('County Scaled Consumption '!H$2,Production_Consumption!$AA$83:$AJ$83,0)))*'CA Population'!$L894*10^6</f>
        <v>900.1737331681046</v>
      </c>
      <c r="I894" s="143">
        <f>(INDEX(Production_Consumption!$AA$83:$AJ$99,MATCH('County Scaled Consumption '!$B894,Production_Consumption!$AA$83:$AA$99,0),MATCH('County Scaled Consumption '!I$2,Production_Consumption!$AA$83:$AJ$83,0)))*'CA Population'!$L894*10^6</f>
        <v>17453.190582557228</v>
      </c>
      <c r="J894" s="143">
        <f>(INDEX(Production_Consumption!$AA$83:$AJ$99,MATCH('County Scaled Consumption '!$B894,Production_Consumption!$AA$83:$AA$99,0),MATCH('County Scaled Consumption '!J$2,Production_Consumption!$AA$83:$AJ$83,0)))*'CA Population'!$L894*10^6</f>
        <v>11379.608800853617</v>
      </c>
      <c r="K894" s="143">
        <f>(INDEX(Production_Consumption!$AA$83:$AJ$99,MATCH('County Scaled Consumption '!$B894,Production_Consumption!$AA$83:$AA$99,0),MATCH('County Scaled Consumption '!K$2,Production_Consumption!$AA$83:$AJ$83,0)))*'CA Population'!$L894*10^6</f>
        <v>164727.50540926584</v>
      </c>
      <c r="L894" s="131">
        <f t="shared" si="13"/>
        <v>0</v>
      </c>
    </row>
    <row r="895" spans="1:12" x14ac:dyDescent="0.2">
      <c r="A895" s="132" t="s">
        <v>312</v>
      </c>
      <c r="B895" s="129">
        <v>2005</v>
      </c>
      <c r="C895" s="143">
        <f>(INDEX(Production_Consumption!$AA$83:$AJ$99,MATCH('County Scaled Consumption '!$B895,Production_Consumption!$AA$83:$AA$99,0),MATCH('County Scaled Consumption '!C$2,Production_Consumption!$AA$83:$AJ$83,0)))*'CA Population'!$L895*10^6</f>
        <v>360.54956316509197</v>
      </c>
      <c r="D895" s="143">
        <f>(INDEX(Production_Consumption!$AA$83:$AJ$99,MATCH('County Scaled Consumption '!$B895,Production_Consumption!$AA$83:$AA$99,0),MATCH('County Scaled Consumption '!D$2,Production_Consumption!$AA$83:$AJ$83,0)))*'CA Population'!$L895*10^6</f>
        <v>1418.66123485857</v>
      </c>
      <c r="E895" s="143">
        <f>(INDEX(Production_Consumption!$AA$83:$AJ$99,MATCH('County Scaled Consumption '!$B895,Production_Consumption!$AA$83:$AA$99,0),MATCH('County Scaled Consumption '!E$2,Production_Consumption!$AA$83:$AJ$83,0)))*'CA Population'!$L895*10^6</f>
        <v>877.36822092623061</v>
      </c>
      <c r="F895" s="143">
        <f>(INDEX(Production_Consumption!$AA$83:$AJ$99,MATCH('County Scaled Consumption '!$B895,Production_Consumption!$AA$83:$AA$99,0),MATCH('County Scaled Consumption '!F$2,Production_Consumption!$AA$83:$AJ$83,0)))*'CA Population'!$L895*10^6</f>
        <v>242.23830212503395</v>
      </c>
      <c r="G895" s="143">
        <f>(INDEX(Production_Consumption!$AA$83:$AJ$99,MATCH('County Scaled Consumption '!$B895,Production_Consumption!$AA$83:$AA$99,0),MATCH('County Scaled Consumption '!G$2,Production_Consumption!$AA$83:$AJ$83,0)))*'CA Population'!$L895*10^6</f>
        <v>910.28134674570106</v>
      </c>
      <c r="H895" s="143">
        <f>(INDEX(Production_Consumption!$AA$83:$AJ$99,MATCH('County Scaled Consumption '!$B895,Production_Consumption!$AA$83:$AA$99,0),MATCH('County Scaled Consumption '!H$2,Production_Consumption!$AA$83:$AJ$83,0)))*'CA Population'!$L895*10^6</f>
        <v>25.399921830785889</v>
      </c>
      <c r="I895" s="143">
        <f>(INDEX(Production_Consumption!$AA$83:$AJ$99,MATCH('County Scaled Consumption '!$B895,Production_Consumption!$AA$83:$AA$99,0),MATCH('County Scaled Consumption '!I$2,Production_Consumption!$AA$83:$AJ$83,0)))*'CA Population'!$L895*10^6</f>
        <v>492.47124211740953</v>
      </c>
      <c r="J895" s="143">
        <f>(INDEX(Production_Consumption!$AA$83:$AJ$99,MATCH('County Scaled Consumption '!$B895,Production_Consumption!$AA$83:$AA$99,0),MATCH('County Scaled Consumption '!J$2,Production_Consumption!$AA$83:$AJ$83,0)))*'CA Population'!$L895*10^6</f>
        <v>321.09487686265055</v>
      </c>
      <c r="K895" s="143">
        <f>(INDEX(Production_Consumption!$AA$83:$AJ$99,MATCH('County Scaled Consumption '!$B895,Production_Consumption!$AA$83:$AA$99,0),MATCH('County Scaled Consumption '!K$2,Production_Consumption!$AA$83:$AJ$83,0)))*'CA Population'!$L895*10^6</f>
        <v>4648.0647086314739</v>
      </c>
      <c r="L895" s="131">
        <f t="shared" si="13"/>
        <v>0</v>
      </c>
    </row>
    <row r="896" spans="1:12" x14ac:dyDescent="0.2">
      <c r="A896" s="132" t="s">
        <v>313</v>
      </c>
      <c r="B896" s="129">
        <v>2005</v>
      </c>
      <c r="C896" s="143">
        <f>(INDEX(Production_Consumption!$AA$83:$AJ$99,MATCH('County Scaled Consumption '!$B896,Production_Consumption!$AA$83:$AA$99,0),MATCH('County Scaled Consumption '!C$2,Production_Consumption!$AA$83:$AJ$83,0)))*'CA Population'!$L896*10^6</f>
        <v>2191.7957392095759</v>
      </c>
      <c r="D896" s="143">
        <f>(INDEX(Production_Consumption!$AA$83:$AJ$99,MATCH('County Scaled Consumption '!$B896,Production_Consumption!$AA$83:$AA$99,0),MATCH('County Scaled Consumption '!D$2,Production_Consumption!$AA$83:$AJ$83,0)))*'CA Population'!$L896*10^6</f>
        <v>8624.1004500150757</v>
      </c>
      <c r="E896" s="143">
        <f>(INDEX(Production_Consumption!$AA$83:$AJ$99,MATCH('County Scaled Consumption '!$B896,Production_Consumption!$AA$83:$AA$99,0),MATCH('County Scaled Consumption '!E$2,Production_Consumption!$AA$83:$AJ$83,0)))*'CA Population'!$L896*10^6</f>
        <v>5333.5577818006404</v>
      </c>
      <c r="F896" s="143">
        <f>(INDEX(Production_Consumption!$AA$83:$AJ$99,MATCH('County Scaled Consumption '!$B896,Production_Consumption!$AA$83:$AA$99,0),MATCH('County Scaled Consumption '!F$2,Production_Consumption!$AA$83:$AJ$83,0)))*'CA Population'!$L896*10^6</f>
        <v>1472.5766793618352</v>
      </c>
      <c r="G896" s="143">
        <f>(INDEX(Production_Consumption!$AA$83:$AJ$99,MATCH('County Scaled Consumption '!$B896,Production_Consumption!$AA$83:$AA$99,0),MATCH('County Scaled Consumption '!G$2,Production_Consumption!$AA$83:$AJ$83,0)))*'CA Population'!$L896*10^6</f>
        <v>5533.6380379016646</v>
      </c>
      <c r="H896" s="143">
        <f>(INDEX(Production_Consumption!$AA$83:$AJ$99,MATCH('County Scaled Consumption '!$B896,Production_Consumption!$AA$83:$AA$99,0),MATCH('County Scaled Consumption '!H$2,Production_Consumption!$AA$83:$AJ$83,0)))*'CA Population'!$L896*10^6</f>
        <v>154.40717763255589</v>
      </c>
      <c r="I896" s="143">
        <f>(INDEX(Production_Consumption!$AA$83:$AJ$99,MATCH('County Scaled Consumption '!$B896,Production_Consumption!$AA$83:$AA$99,0),MATCH('County Scaled Consumption '!I$2,Production_Consumption!$AA$83:$AJ$83,0)))*'CA Population'!$L896*10^6</f>
        <v>2993.7530936958615</v>
      </c>
      <c r="J896" s="143">
        <f>(INDEX(Production_Consumption!$AA$83:$AJ$99,MATCH('County Scaled Consumption '!$B896,Production_Consumption!$AA$83:$AA$99,0),MATCH('County Scaled Consumption '!J$2,Production_Consumption!$AA$83:$AJ$83,0)))*'CA Population'!$L896*10^6</f>
        <v>1951.9490657858037</v>
      </c>
      <c r="K896" s="143">
        <f>(INDEX(Production_Consumption!$AA$83:$AJ$99,MATCH('County Scaled Consumption '!$B896,Production_Consumption!$AA$83:$AA$99,0),MATCH('County Scaled Consumption '!K$2,Production_Consumption!$AA$83:$AJ$83,0)))*'CA Population'!$L896*10^6</f>
        <v>28255.778025403015</v>
      </c>
      <c r="L896" s="131">
        <f t="shared" si="13"/>
        <v>0</v>
      </c>
    </row>
    <row r="897" spans="1:12" x14ac:dyDescent="0.2">
      <c r="A897" s="132" t="s">
        <v>314</v>
      </c>
      <c r="B897" s="129">
        <v>2005</v>
      </c>
      <c r="C897" s="143">
        <f>(INDEX(Production_Consumption!$AA$83:$AJ$99,MATCH('County Scaled Consumption '!$B897,Production_Consumption!$AA$83:$AA$99,0),MATCH('County Scaled Consumption '!C$2,Production_Consumption!$AA$83:$AJ$83,0)))*'CA Population'!$L897*10^6</f>
        <v>11052.947986819339</v>
      </c>
      <c r="D897" s="143">
        <f>(INDEX(Production_Consumption!$AA$83:$AJ$99,MATCH('County Scaled Consumption '!$B897,Production_Consumption!$AA$83:$AA$99,0),MATCH('County Scaled Consumption '!D$2,Production_Consumption!$AA$83:$AJ$83,0)))*'CA Population'!$L897*10^6</f>
        <v>43490.245008641934</v>
      </c>
      <c r="E897" s="143">
        <f>(INDEX(Production_Consumption!$AA$83:$AJ$99,MATCH('County Scaled Consumption '!$B897,Production_Consumption!$AA$83:$AA$99,0),MATCH('County Scaled Consumption '!E$2,Production_Consumption!$AA$83:$AJ$83,0)))*'CA Population'!$L897*10^6</f>
        <v>26896.455583127299</v>
      </c>
      <c r="F897" s="143">
        <f>(INDEX(Production_Consumption!$AA$83:$AJ$99,MATCH('County Scaled Consumption '!$B897,Production_Consumption!$AA$83:$AA$99,0),MATCH('County Scaled Consumption '!F$2,Production_Consumption!$AA$83:$AJ$83,0)))*'CA Population'!$L897*10^6</f>
        <v>7426.0174670561273</v>
      </c>
      <c r="G897" s="143">
        <f>(INDEX(Production_Consumption!$AA$83:$AJ$99,MATCH('County Scaled Consumption '!$B897,Production_Consumption!$AA$83:$AA$99,0),MATCH('County Scaled Consumption '!G$2,Production_Consumption!$AA$83:$AJ$83,0)))*'CA Population'!$L897*10^6</f>
        <v>27905.434943891836</v>
      </c>
      <c r="H897" s="143">
        <f>(INDEX(Production_Consumption!$AA$83:$AJ$99,MATCH('County Scaled Consumption '!$B897,Production_Consumption!$AA$83:$AA$99,0),MATCH('County Scaled Consumption '!H$2,Production_Consumption!$AA$83:$AJ$83,0)))*'CA Population'!$L897*10^6</f>
        <v>778.65581752599064</v>
      </c>
      <c r="I897" s="143">
        <f>(INDEX(Production_Consumption!$AA$83:$AJ$99,MATCH('County Scaled Consumption '!$B897,Production_Consumption!$AA$83:$AA$99,0),MATCH('County Scaled Consumption '!I$2,Production_Consumption!$AA$83:$AJ$83,0)))*'CA Population'!$L897*10^6</f>
        <v>15097.117234990599</v>
      </c>
      <c r="J897" s="143">
        <f>(INDEX(Production_Consumption!$AA$83:$AJ$99,MATCH('County Scaled Consumption '!$B897,Production_Consumption!$AA$83:$AA$99,0),MATCH('County Scaled Consumption '!J$2,Production_Consumption!$AA$83:$AJ$83,0)))*'CA Population'!$L897*10^6</f>
        <v>9843.4316259924744</v>
      </c>
      <c r="K897" s="143">
        <f>(INDEX(Production_Consumption!$AA$83:$AJ$99,MATCH('County Scaled Consumption '!$B897,Production_Consumption!$AA$83:$AA$99,0),MATCH('County Scaled Consumption '!K$2,Production_Consumption!$AA$83:$AJ$83,0)))*'CA Population'!$L897*10^6</f>
        <v>142490.30566804559</v>
      </c>
      <c r="L897" s="131">
        <f t="shared" si="13"/>
        <v>0</v>
      </c>
    </row>
    <row r="898" spans="1:12" x14ac:dyDescent="0.2">
      <c r="A898" s="132" t="s">
        <v>315</v>
      </c>
      <c r="B898" s="129">
        <v>2005</v>
      </c>
      <c r="C898" s="143">
        <f>(INDEX(Production_Consumption!$AA$83:$AJ$99,MATCH('County Scaled Consumption '!$B898,Production_Consumption!$AA$83:$AA$99,0),MATCH('County Scaled Consumption '!C$2,Production_Consumption!$AA$83:$AJ$83,0)))*'CA Population'!$L898*10^6</f>
        <v>349.61221667709214</v>
      </c>
      <c r="D898" s="143">
        <f>(INDEX(Production_Consumption!$AA$83:$AJ$99,MATCH('County Scaled Consumption '!$B898,Production_Consumption!$AA$83:$AA$99,0),MATCH('County Scaled Consumption '!D$2,Production_Consumption!$AA$83:$AJ$83,0)))*'CA Population'!$L898*10^6</f>
        <v>1375.625849269607</v>
      </c>
      <c r="E898" s="143">
        <f>(INDEX(Production_Consumption!$AA$83:$AJ$99,MATCH('County Scaled Consumption '!$B898,Production_Consumption!$AA$83:$AA$99,0),MATCH('County Scaled Consumption '!E$2,Production_Consumption!$AA$83:$AJ$83,0)))*'CA Population'!$L898*10^6</f>
        <v>850.75307224711207</v>
      </c>
      <c r="F898" s="143">
        <f>(INDEX(Production_Consumption!$AA$83:$AJ$99,MATCH('County Scaled Consumption '!$B898,Production_Consumption!$AA$83:$AA$99,0),MATCH('County Scaled Consumption '!F$2,Production_Consumption!$AA$83:$AJ$83,0)))*'CA Population'!$L898*10^6</f>
        <v>234.88995251188209</v>
      </c>
      <c r="G898" s="143">
        <f>(INDEX(Production_Consumption!$AA$83:$AJ$99,MATCH('County Scaled Consumption '!$B898,Production_Consumption!$AA$83:$AA$99,0),MATCH('County Scaled Consumption '!G$2,Production_Consumption!$AA$83:$AJ$83,0)))*'CA Population'!$L898*10^6</f>
        <v>882.66777150372502</v>
      </c>
      <c r="H898" s="143">
        <f>(INDEX(Production_Consumption!$AA$83:$AJ$99,MATCH('County Scaled Consumption '!$B898,Production_Consumption!$AA$83:$AA$99,0),MATCH('County Scaled Consumption '!H$2,Production_Consumption!$AA$83:$AJ$83,0)))*'CA Population'!$L898*10^6</f>
        <v>24.629409883988128</v>
      </c>
      <c r="I898" s="143">
        <f>(INDEX(Production_Consumption!$AA$83:$AJ$99,MATCH('County Scaled Consumption '!$B898,Production_Consumption!$AA$83:$AA$99,0),MATCH('County Scaled Consumption '!I$2,Production_Consumption!$AA$83:$AJ$83,0)))*'CA Population'!$L898*10^6</f>
        <v>477.53202387753765</v>
      </c>
      <c r="J898" s="143">
        <f>(INDEX(Production_Consumption!$AA$83:$AJ$99,MATCH('County Scaled Consumption '!$B898,Production_Consumption!$AA$83:$AA$99,0),MATCH('County Scaled Consumption '!J$2,Production_Consumption!$AA$83:$AJ$83,0)))*'CA Population'!$L898*10^6</f>
        <v>311.35439654438602</v>
      </c>
      <c r="K898" s="143">
        <f>(INDEX(Production_Consumption!$AA$83:$AJ$99,MATCH('County Scaled Consumption '!$B898,Production_Consumption!$AA$83:$AA$99,0),MATCH('County Scaled Consumption '!K$2,Production_Consumption!$AA$83:$AJ$83,0)))*'CA Population'!$L898*10^6</f>
        <v>4507.0646925153305</v>
      </c>
      <c r="L898" s="131">
        <f t="shared" si="13"/>
        <v>0</v>
      </c>
    </row>
    <row r="899" spans="1:12" x14ac:dyDescent="0.2">
      <c r="A899" s="132" t="s">
        <v>316</v>
      </c>
      <c r="B899" s="129">
        <v>2005</v>
      </c>
      <c r="C899" s="143">
        <f>(INDEX(Production_Consumption!$AA$83:$AJ$99,MATCH('County Scaled Consumption '!$B899,Production_Consumption!$AA$83:$AA$99,0),MATCH('County Scaled Consumption '!C$2,Production_Consumption!$AA$83:$AJ$83,0)))*'CA Population'!$L899*10^6</f>
        <v>1677.8297908259935</v>
      </c>
      <c r="D899" s="143">
        <f>(INDEX(Production_Consumption!$AA$83:$AJ$99,MATCH('County Scaled Consumption '!$B899,Production_Consumption!$AA$83:$AA$99,0),MATCH('County Scaled Consumption '!D$2,Production_Consumption!$AA$83:$AJ$83,0)))*'CA Population'!$L899*10^6</f>
        <v>6601.7888415684965</v>
      </c>
      <c r="E899" s="143">
        <f>(INDEX(Production_Consumption!$AA$83:$AJ$99,MATCH('County Scaled Consumption '!$B899,Production_Consumption!$AA$83:$AA$99,0),MATCH('County Scaled Consumption '!E$2,Production_Consumption!$AA$83:$AJ$83,0)))*'CA Population'!$L899*10^6</f>
        <v>4082.8631871618259</v>
      </c>
      <c r="F899" s="143">
        <f>(INDEX(Production_Consumption!$AA$83:$AJ$99,MATCH('County Scaled Consumption '!$B899,Production_Consumption!$AA$83:$AA$99,0),MATCH('County Scaled Consumption '!F$2,Production_Consumption!$AA$83:$AJ$83,0)))*'CA Population'!$L899*10^6</f>
        <v>1127.2642690691243</v>
      </c>
      <c r="G899" s="143">
        <f>(INDEX(Production_Consumption!$AA$83:$AJ$99,MATCH('County Scaled Consumption '!$B899,Production_Consumption!$AA$83:$AA$99,0),MATCH('County Scaled Consumption '!G$2,Production_Consumption!$AA$83:$AJ$83,0)))*'CA Population'!$L899*10^6</f>
        <v>4236.0255499846753</v>
      </c>
      <c r="H899" s="143">
        <f>(INDEX(Production_Consumption!$AA$83:$AJ$99,MATCH('County Scaled Consumption '!$B899,Production_Consumption!$AA$83:$AA$99,0),MATCH('County Scaled Consumption '!H$2,Production_Consumption!$AA$83:$AJ$83,0)))*'CA Population'!$L899*10^6</f>
        <v>118.19940969622058</v>
      </c>
      <c r="I899" s="143">
        <f>(INDEX(Production_Consumption!$AA$83:$AJ$99,MATCH('County Scaled Consumption '!$B899,Production_Consumption!$AA$83:$AA$99,0),MATCH('County Scaled Consumption '!I$2,Production_Consumption!$AA$83:$AJ$83,0)))*'CA Population'!$L899*10^6</f>
        <v>2291.7318603748354</v>
      </c>
      <c r="J899" s="143">
        <f>(INDEX(Production_Consumption!$AA$83:$AJ$99,MATCH('County Scaled Consumption '!$B899,Production_Consumption!$AA$83:$AA$99,0),MATCH('County Scaled Consumption '!J$2,Production_Consumption!$AA$83:$AJ$83,0)))*'CA Population'!$L899*10^6</f>
        <v>1494.2260513433887</v>
      </c>
      <c r="K899" s="143">
        <f>(INDEX(Production_Consumption!$AA$83:$AJ$99,MATCH('County Scaled Consumption '!$B899,Production_Consumption!$AA$83:$AA$99,0),MATCH('County Scaled Consumption '!K$2,Production_Consumption!$AA$83:$AJ$83,0)))*'CA Population'!$L899*10^6</f>
        <v>21629.928960024565</v>
      </c>
      <c r="L899" s="131">
        <f t="shared" si="13"/>
        <v>0</v>
      </c>
    </row>
    <row r="900" spans="1:12" x14ac:dyDescent="0.2">
      <c r="A900" s="132" t="s">
        <v>317</v>
      </c>
      <c r="B900" s="129">
        <v>2005</v>
      </c>
      <c r="C900" s="143">
        <f>(INDEX(Production_Consumption!$AA$83:$AJ$99,MATCH('County Scaled Consumption '!$B900,Production_Consumption!$AA$83:$AA$99,0),MATCH('County Scaled Consumption '!C$2,Production_Consumption!$AA$83:$AJ$83,0)))*'CA Population'!$L900*10^6</f>
        <v>1988.2870728179241</v>
      </c>
      <c r="D900" s="143">
        <f>(INDEX(Production_Consumption!$AA$83:$AJ$99,MATCH('County Scaled Consumption '!$B900,Production_Consumption!$AA$83:$AA$99,0),MATCH('County Scaled Consumption '!D$2,Production_Consumption!$AA$83:$AJ$83,0)))*'CA Population'!$L900*10^6</f>
        <v>7823.3510234087707</v>
      </c>
      <c r="E900" s="143">
        <f>(INDEX(Production_Consumption!$AA$83:$AJ$99,MATCH('County Scaled Consumption '!$B900,Production_Consumption!$AA$83:$AA$99,0),MATCH('County Scaled Consumption '!E$2,Production_Consumption!$AA$83:$AJ$83,0)))*'CA Population'!$L900*10^6</f>
        <v>4838.3358905086634</v>
      </c>
      <c r="F900" s="143">
        <f>(INDEX(Production_Consumption!$AA$83:$AJ$99,MATCH('County Scaled Consumption '!$B900,Production_Consumption!$AA$83:$AA$99,0),MATCH('County Scaled Consumption '!F$2,Production_Consumption!$AA$83:$AJ$83,0)))*'CA Population'!$L900*10^6</f>
        <v>1335.8476444361409</v>
      </c>
      <c r="G900" s="143">
        <f>(INDEX(Production_Consumption!$AA$83:$AJ$99,MATCH('County Scaled Consumption '!$B900,Production_Consumption!$AA$83:$AA$99,0),MATCH('County Scaled Consumption '!G$2,Production_Consumption!$AA$83:$AJ$83,0)))*'CA Population'!$L900*10^6</f>
        <v>5019.8386553946057</v>
      </c>
      <c r="H900" s="143">
        <f>(INDEX(Production_Consumption!$AA$83:$AJ$99,MATCH('County Scaled Consumption '!$B900,Production_Consumption!$AA$83:$AA$99,0),MATCH('County Scaled Consumption '!H$2,Production_Consumption!$AA$83:$AJ$83,0)))*'CA Population'!$L900*10^6</f>
        <v>140.07044075549982</v>
      </c>
      <c r="I900" s="143">
        <f>(INDEX(Production_Consumption!$AA$83:$AJ$99,MATCH('County Scaled Consumption '!$B900,Production_Consumption!$AA$83:$AA$99,0),MATCH('County Scaled Consumption '!I$2,Production_Consumption!$AA$83:$AJ$83,0)))*'CA Population'!$L900*10^6</f>
        <v>2715.7825288732283</v>
      </c>
      <c r="J900" s="143">
        <f>(INDEX(Production_Consumption!$AA$83:$AJ$99,MATCH('County Scaled Consumption '!$B900,Production_Consumption!$AA$83:$AA$99,0),MATCH('County Scaled Consumption '!J$2,Production_Consumption!$AA$83:$AJ$83,0)))*'CA Population'!$L900*10^6</f>
        <v>1770.710210295668</v>
      </c>
      <c r="K900" s="143">
        <f>(INDEX(Production_Consumption!$AA$83:$AJ$99,MATCH('County Scaled Consumption '!$B900,Production_Consumption!$AA$83:$AA$99,0),MATCH('County Scaled Consumption '!K$2,Production_Consumption!$AA$83:$AJ$83,0)))*'CA Population'!$L900*10^6</f>
        <v>25632.223466490501</v>
      </c>
      <c r="L900" s="131">
        <f t="shared" ref="L900:L946" si="14">K900-SUM(C900:J900)</f>
        <v>0</v>
      </c>
    </row>
    <row r="901" spans="1:12" x14ac:dyDescent="0.2">
      <c r="A901" s="132" t="s">
        <v>318</v>
      </c>
      <c r="B901" s="129">
        <v>2005</v>
      </c>
      <c r="C901" s="143">
        <f>(INDEX(Production_Consumption!$AA$83:$AJ$99,MATCH('County Scaled Consumption '!$B901,Production_Consumption!$AA$83:$AA$99,0),MATCH('County Scaled Consumption '!C$2,Production_Consumption!$AA$83:$AJ$83,0)))*'CA Population'!$L901*10^6</f>
        <v>236.24413166787076</v>
      </c>
      <c r="D901" s="143">
        <f>(INDEX(Production_Consumption!$AA$83:$AJ$99,MATCH('County Scaled Consumption '!$B901,Production_Consumption!$AA$83:$AA$99,0),MATCH('County Scaled Consumption '!D$2,Production_Consumption!$AA$83:$AJ$83,0)))*'CA Population'!$L901*10^6</f>
        <v>929.55428545775317</v>
      </c>
      <c r="E901" s="143">
        <f>(INDEX(Production_Consumption!$AA$83:$AJ$99,MATCH('County Scaled Consumption '!$B901,Production_Consumption!$AA$83:$AA$99,0),MATCH('County Scaled Consumption '!E$2,Production_Consumption!$AA$83:$AJ$83,0)))*'CA Population'!$L901*10^6</f>
        <v>574.88100023239713</v>
      </c>
      <c r="F901" s="143">
        <f>(INDEX(Production_Consumption!$AA$83:$AJ$99,MATCH('County Scaled Consumption '!$B901,Production_Consumption!$AA$83:$AA$99,0),MATCH('County Scaled Consumption '!F$2,Production_Consumption!$AA$83:$AJ$83,0)))*'CA Population'!$L901*10^6</f>
        <v>158.72263674335434</v>
      </c>
      <c r="G901" s="143">
        <f>(INDEX(Production_Consumption!$AA$83:$AJ$99,MATCH('County Scaled Consumption '!$B901,Production_Consumption!$AA$83:$AA$99,0),MATCH('County Scaled Consumption '!G$2,Production_Consumption!$AA$83:$AJ$83,0)))*'CA Population'!$L901*10^6</f>
        <v>596.44678098508621</v>
      </c>
      <c r="H901" s="143">
        <f>(INDEX(Production_Consumption!$AA$83:$AJ$99,MATCH('County Scaled Consumption '!$B901,Production_Consumption!$AA$83:$AA$99,0),MATCH('County Scaled Consumption '!H$2,Production_Consumption!$AA$83:$AJ$83,0)))*'CA Population'!$L901*10^6</f>
        <v>16.642878234741335</v>
      </c>
      <c r="I901" s="143">
        <f>(INDEX(Production_Consumption!$AA$83:$AJ$99,MATCH('County Scaled Consumption '!$B901,Production_Consumption!$AA$83:$AA$99,0),MATCH('County Scaled Consumption '!I$2,Production_Consumption!$AA$83:$AJ$83,0)))*'CA Population'!$L901*10^6</f>
        <v>322.68362758257643</v>
      </c>
      <c r="J901" s="143">
        <f>(INDEX(Production_Consumption!$AA$83:$AJ$99,MATCH('County Scaled Consumption '!$B901,Production_Consumption!$AA$83:$AA$99,0),MATCH('County Scaled Consumption '!J$2,Production_Consumption!$AA$83:$AJ$83,0)))*'CA Population'!$L901*10^6</f>
        <v>210.39210171691352</v>
      </c>
      <c r="K901" s="143">
        <f>(INDEX(Production_Consumption!$AA$83:$AJ$99,MATCH('County Scaled Consumption '!$B901,Production_Consumption!$AA$83:$AA$99,0),MATCH('County Scaled Consumption '!K$2,Production_Consumption!$AA$83:$AJ$83,0)))*'CA Population'!$L901*10^6</f>
        <v>3045.5674426206933</v>
      </c>
      <c r="L901" s="131">
        <f t="shared" si="14"/>
        <v>0</v>
      </c>
    </row>
    <row r="902" spans="1:12" x14ac:dyDescent="0.2">
      <c r="A902" s="132" t="s">
        <v>319</v>
      </c>
      <c r="B902" s="129">
        <v>2005</v>
      </c>
      <c r="C902" s="143">
        <f>(INDEX(Production_Consumption!$AA$83:$AJ$99,MATCH('County Scaled Consumption '!$B902,Production_Consumption!$AA$83:$AA$99,0),MATCH('County Scaled Consumption '!C$2,Production_Consumption!$AA$83:$AJ$83,0)))*'CA Population'!$L902*10^6</f>
        <v>9584.1402039052045</v>
      </c>
      <c r="D902" s="143">
        <f>(INDEX(Production_Consumption!$AA$83:$AJ$99,MATCH('County Scaled Consumption '!$B902,Production_Consumption!$AA$83:$AA$99,0),MATCH('County Scaled Consumption '!D$2,Production_Consumption!$AA$83:$AJ$83,0)))*'CA Population'!$L902*10^6</f>
        <v>37710.899043591569</v>
      </c>
      <c r="E902" s="143">
        <f>(INDEX(Production_Consumption!$AA$83:$AJ$99,MATCH('County Scaled Consumption '!$B902,Production_Consumption!$AA$83:$AA$99,0),MATCH('County Scaled Consumption '!E$2,Production_Consumption!$AA$83:$AJ$83,0)))*'CA Population'!$L902*10^6</f>
        <v>23322.230558236894</v>
      </c>
      <c r="F902" s="143">
        <f>(INDEX(Production_Consumption!$AA$83:$AJ$99,MATCH('County Scaled Consumption '!$B902,Production_Consumption!$AA$83:$AA$99,0),MATCH('County Scaled Consumption '!F$2,Production_Consumption!$AA$83:$AJ$83,0)))*'CA Population'!$L902*10^6</f>
        <v>6439.1864184819869</v>
      </c>
      <c r="G902" s="143">
        <f>(INDEX(Production_Consumption!$AA$83:$AJ$99,MATCH('County Scaled Consumption '!$B902,Production_Consumption!$AA$83:$AA$99,0),MATCH('County Scaled Consumption '!G$2,Production_Consumption!$AA$83:$AJ$83,0)))*'CA Population'!$L902*10^6</f>
        <v>24197.128338263152</v>
      </c>
      <c r="H902" s="143">
        <f>(INDEX(Production_Consumption!$AA$83:$AJ$99,MATCH('County Scaled Consumption '!$B902,Production_Consumption!$AA$83:$AA$99,0),MATCH('County Scaled Consumption '!H$2,Production_Consumption!$AA$83:$AJ$83,0)))*'CA Population'!$L902*10^6</f>
        <v>675.18154746180471</v>
      </c>
      <c r="I902" s="143">
        <f>(INDEX(Production_Consumption!$AA$83:$AJ$99,MATCH('County Scaled Consumption '!$B902,Production_Consumption!$AA$83:$AA$99,0),MATCH('County Scaled Consumption '!I$2,Production_Consumption!$AA$83:$AJ$83,0)))*'CA Population'!$L902*10^6</f>
        <v>13090.886560534809</v>
      </c>
      <c r="J902" s="143">
        <f>(INDEX(Production_Consumption!$AA$83:$AJ$99,MATCH('County Scaled Consumption '!$B902,Production_Consumption!$AA$83:$AA$99,0),MATCH('County Scaled Consumption '!J$2,Production_Consumption!$AA$83:$AJ$83,0)))*'CA Population'!$L902*10^6</f>
        <v>8535.3544505563641</v>
      </c>
      <c r="K902" s="143">
        <f>(INDEX(Production_Consumption!$AA$83:$AJ$99,MATCH('County Scaled Consumption '!$B902,Production_Consumption!$AA$83:$AA$99,0),MATCH('County Scaled Consumption '!K$2,Production_Consumption!$AA$83:$AJ$83,0)))*'CA Population'!$L902*10^6</f>
        <v>123555.00712103178</v>
      </c>
      <c r="L902" s="131">
        <f t="shared" si="14"/>
        <v>0</v>
      </c>
    </row>
    <row r="903" spans="1:12" x14ac:dyDescent="0.2">
      <c r="A903" s="132" t="s">
        <v>320</v>
      </c>
      <c r="B903" s="129">
        <v>2005</v>
      </c>
      <c r="C903" s="143">
        <f>(INDEX(Production_Consumption!$AA$83:$AJ$99,MATCH('County Scaled Consumption '!$B903,Production_Consumption!$AA$83:$AA$99,0),MATCH('County Scaled Consumption '!C$2,Production_Consumption!$AA$83:$AJ$83,0)))*'CA Population'!$L903*10^6</f>
        <v>1832.7648974354663</v>
      </c>
      <c r="D903" s="143">
        <f>(INDEX(Production_Consumption!$AA$83:$AJ$99,MATCH('County Scaled Consumption '!$B903,Production_Consumption!$AA$83:$AA$99,0),MATCH('County Scaled Consumption '!D$2,Production_Consumption!$AA$83:$AJ$83,0)))*'CA Population'!$L903*10^6</f>
        <v>7211.4149571461057</v>
      </c>
      <c r="E903" s="143">
        <f>(INDEX(Production_Consumption!$AA$83:$AJ$99,MATCH('County Scaled Consumption '!$B903,Production_Consumption!$AA$83:$AA$99,0),MATCH('County Scaled Consumption '!E$2,Production_Consumption!$AA$83:$AJ$83,0)))*'CA Population'!$L903*10^6</f>
        <v>4459.8852466303206</v>
      </c>
      <c r="F903" s="143">
        <f>(INDEX(Production_Consumption!$AA$83:$AJ$99,MATCH('County Scaled Consumption '!$B903,Production_Consumption!$AA$83:$AA$99,0),MATCH('County Scaled Consumption '!F$2,Production_Consumption!$AA$83:$AJ$83,0)))*'CA Population'!$L903*10^6</f>
        <v>1231.3587431690823</v>
      </c>
      <c r="G903" s="143">
        <f>(INDEX(Production_Consumption!$AA$83:$AJ$99,MATCH('County Scaled Consumption '!$B903,Production_Consumption!$AA$83:$AA$99,0),MATCH('County Scaled Consumption '!G$2,Production_Consumption!$AA$83:$AJ$83,0)))*'CA Population'!$L903*10^6</f>
        <v>4627.1910149060168</v>
      </c>
      <c r="H903" s="143">
        <f>(INDEX(Production_Consumption!$AA$83:$AJ$99,MATCH('County Scaled Consumption '!$B903,Production_Consumption!$AA$83:$AA$99,0),MATCH('County Scaled Consumption '!H$2,Production_Consumption!$AA$83:$AJ$83,0)))*'CA Population'!$L903*10^6</f>
        <v>129.11424637547938</v>
      </c>
      <c r="I903" s="143">
        <f>(INDEX(Production_Consumption!$AA$83:$AJ$99,MATCH('County Scaled Consumption '!$B903,Production_Consumption!$AA$83:$AA$99,0),MATCH('County Scaled Consumption '!I$2,Production_Consumption!$AA$83:$AJ$83,0)))*'CA Population'!$L903*10^6</f>
        <v>2503.3562587786209</v>
      </c>
      <c r="J903" s="143">
        <f>(INDEX(Production_Consumption!$AA$83:$AJ$99,MATCH('County Scaled Consumption '!$B903,Production_Consumption!$AA$83:$AA$99,0),MATCH('County Scaled Consumption '!J$2,Production_Consumption!$AA$83:$AJ$83,0)))*'CA Population'!$L903*10^6</f>
        <v>1632.2067176954674</v>
      </c>
      <c r="K903" s="143">
        <f>(INDEX(Production_Consumption!$AA$83:$AJ$99,MATCH('County Scaled Consumption '!$B903,Production_Consumption!$AA$83:$AA$99,0),MATCH('County Scaled Consumption '!K$2,Production_Consumption!$AA$83:$AJ$83,0)))*'CA Population'!$L903*10^6</f>
        <v>23627.292082136562</v>
      </c>
      <c r="L903" s="131">
        <f t="shared" si="14"/>
        <v>0</v>
      </c>
    </row>
    <row r="904" spans="1:12" x14ac:dyDescent="0.2">
      <c r="A904" s="132" t="s">
        <v>321</v>
      </c>
      <c r="B904" s="129">
        <v>2005</v>
      </c>
      <c r="C904" s="143">
        <f>(INDEX(Production_Consumption!$AA$83:$AJ$99,MATCH('County Scaled Consumption '!$B904,Production_Consumption!$AA$83:$AA$99,0),MATCH('County Scaled Consumption '!C$2,Production_Consumption!$AA$83:$AJ$83,0)))*'CA Population'!$L904*10^6</f>
        <v>802.36986429469152</v>
      </c>
      <c r="D904" s="143">
        <f>(INDEX(Production_Consumption!$AA$83:$AJ$99,MATCH('County Scaled Consumption '!$B904,Production_Consumption!$AA$83:$AA$99,0),MATCH('County Scaled Consumption '!D$2,Production_Consumption!$AA$83:$AJ$83,0)))*'CA Population'!$L904*10^6</f>
        <v>3157.0999906395627</v>
      </c>
      <c r="E904" s="143">
        <f>(INDEX(Production_Consumption!$AA$83:$AJ$99,MATCH('County Scaled Consumption '!$B904,Production_Consumption!$AA$83:$AA$99,0),MATCH('County Scaled Consumption '!E$2,Production_Consumption!$AA$83:$AJ$83,0)))*'CA Population'!$L904*10^6</f>
        <v>1952.5022140678955</v>
      </c>
      <c r="F904" s="143">
        <f>(INDEX(Production_Consumption!$AA$83:$AJ$99,MATCH('County Scaled Consumption '!$B904,Production_Consumption!$AA$83:$AA$99,0),MATCH('County Scaled Consumption '!F$2,Production_Consumption!$AA$83:$AJ$83,0)))*'CA Population'!$L904*10^6</f>
        <v>539.0790433825664</v>
      </c>
      <c r="G904" s="143">
        <f>(INDEX(Production_Consumption!$AA$83:$AJ$99,MATCH('County Scaled Consumption '!$B904,Production_Consumption!$AA$83:$AA$99,0),MATCH('County Scaled Consumption '!G$2,Production_Consumption!$AA$83:$AJ$83,0)))*'CA Population'!$L904*10^6</f>
        <v>2025.7473459311962</v>
      </c>
      <c r="H904" s="143">
        <f>(INDEX(Production_Consumption!$AA$83:$AJ$99,MATCH('County Scaled Consumption '!$B904,Production_Consumption!$AA$83:$AA$99,0),MATCH('County Scaled Consumption '!H$2,Production_Consumption!$AA$83:$AJ$83,0)))*'CA Population'!$L904*10^6</f>
        <v>56.525187975700277</v>
      </c>
      <c r="I904" s="143">
        <f>(INDEX(Production_Consumption!$AA$83:$AJ$99,MATCH('County Scaled Consumption '!$B904,Production_Consumption!$AA$83:$AA$99,0),MATCH('County Scaled Consumption '!I$2,Production_Consumption!$AA$83:$AJ$83,0)))*'CA Population'!$L904*10^6</f>
        <v>1095.9494174337735</v>
      </c>
      <c r="J904" s="143">
        <f>(INDEX(Production_Consumption!$AA$83:$AJ$99,MATCH('County Scaled Consumption '!$B904,Production_Consumption!$AA$83:$AA$99,0),MATCH('County Scaled Consumption '!J$2,Production_Consumption!$AA$83:$AJ$83,0)))*'CA Population'!$L904*10^6</f>
        <v>714.56709172612784</v>
      </c>
      <c r="K904" s="143">
        <f>(INDEX(Production_Consumption!$AA$83:$AJ$99,MATCH('County Scaled Consumption '!$B904,Production_Consumption!$AA$83:$AA$99,0),MATCH('County Scaled Consumption '!K$2,Production_Consumption!$AA$83:$AJ$83,0)))*'CA Population'!$L904*10^6</f>
        <v>10343.840155451515</v>
      </c>
      <c r="L904" s="131">
        <f t="shared" si="14"/>
        <v>0</v>
      </c>
    </row>
    <row r="905" spans="1:12" x14ac:dyDescent="0.2">
      <c r="A905" s="132" t="s">
        <v>322</v>
      </c>
      <c r="B905" s="129">
        <v>2005</v>
      </c>
      <c r="C905" s="143">
        <f>(INDEX(Production_Consumption!$AA$83:$AJ$99,MATCH('County Scaled Consumption '!$B905,Production_Consumption!$AA$83:$AA$99,0),MATCH('County Scaled Consumption '!C$2,Production_Consumption!$AA$83:$AJ$83,0)))*'CA Population'!$L905*10^6</f>
        <v>440.96522269938259</v>
      </c>
      <c r="D905" s="143">
        <f>(INDEX(Production_Consumption!$AA$83:$AJ$99,MATCH('County Scaled Consumption '!$B905,Production_Consumption!$AA$83:$AA$99,0),MATCH('County Scaled Consumption '!D$2,Production_Consumption!$AA$83:$AJ$83,0)))*'CA Population'!$L905*10^6</f>
        <v>1735.0742623918907</v>
      </c>
      <c r="E905" s="143">
        <f>(INDEX(Production_Consumption!$AA$83:$AJ$99,MATCH('County Scaled Consumption '!$B905,Production_Consumption!$AA$83:$AA$99,0),MATCH('County Scaled Consumption '!E$2,Production_Consumption!$AA$83:$AJ$83,0)))*'CA Population'!$L905*10^6</f>
        <v>1073.0532288925388</v>
      </c>
      <c r="F905" s="143">
        <f>(INDEX(Production_Consumption!$AA$83:$AJ$99,MATCH('County Scaled Consumption '!$B905,Production_Consumption!$AA$83:$AA$99,0),MATCH('County Scaled Consumption '!F$2,Production_Consumption!$AA$83:$AJ$83,0)))*'CA Population'!$L905*10^6</f>
        <v>296.2662495141472</v>
      </c>
      <c r="G905" s="143">
        <f>(INDEX(Production_Consumption!$AA$83:$AJ$99,MATCH('County Scaled Consumption '!$B905,Production_Consumption!$AA$83:$AA$99,0),MATCH('County Scaled Consumption '!G$2,Production_Consumption!$AA$83:$AJ$83,0)))*'CA Population'!$L905*10^6</f>
        <v>1113.3071782505913</v>
      </c>
      <c r="H905" s="143">
        <f>(INDEX(Production_Consumption!$AA$83:$AJ$99,MATCH('County Scaled Consumption '!$B905,Production_Consumption!$AA$83:$AA$99,0),MATCH('County Scaled Consumption '!H$2,Production_Consumption!$AA$83:$AJ$83,0)))*'CA Population'!$L905*10^6</f>
        <v>31.065027754674659</v>
      </c>
      <c r="I905" s="143">
        <f>(INDEX(Production_Consumption!$AA$83:$AJ$99,MATCH('County Scaled Consumption '!$B905,Production_Consumption!$AA$83:$AA$99,0),MATCH('County Scaled Consumption '!I$2,Production_Consumption!$AA$83:$AJ$83,0)))*'CA Population'!$L905*10^6</f>
        <v>602.31023176668907</v>
      </c>
      <c r="J905" s="143">
        <f>(INDEX(Production_Consumption!$AA$83:$AJ$99,MATCH('County Scaled Consumption '!$B905,Production_Consumption!$AA$83:$AA$99,0),MATCH('County Scaled Consumption '!J$2,Production_Consumption!$AA$83:$AJ$83,0)))*'CA Population'!$L905*10^6</f>
        <v>392.71070706730035</v>
      </c>
      <c r="K905" s="143">
        <f>(INDEX(Production_Consumption!$AA$83:$AJ$99,MATCH('County Scaled Consumption '!$B905,Production_Consumption!$AA$83:$AA$99,0),MATCH('County Scaled Consumption '!K$2,Production_Consumption!$AA$83:$AJ$83,0)))*'CA Population'!$L905*10^6</f>
        <v>5684.7521083372158</v>
      </c>
      <c r="L905" s="131">
        <f t="shared" si="14"/>
        <v>0</v>
      </c>
    </row>
    <row r="906" spans="1:12" x14ac:dyDescent="0.2">
      <c r="A906" s="132" t="s">
        <v>323</v>
      </c>
      <c r="B906" s="129">
        <v>2005</v>
      </c>
      <c r="C906" s="143">
        <f>(INDEX(Production_Consumption!$AA$83:$AJ$99,MATCH('County Scaled Consumption '!$B906,Production_Consumption!$AA$83:$AA$99,0),MATCH('County Scaled Consumption '!C$2,Production_Consumption!$AA$83:$AJ$83,0)))*'CA Population'!$L906*10^6</f>
        <v>125277.32385089755</v>
      </c>
      <c r="D906" s="143">
        <f>(INDEX(Production_Consumption!$AA$83:$AJ$99,MATCH('County Scaled Consumption '!$B906,Production_Consumption!$AA$83:$AA$99,0),MATCH('County Scaled Consumption '!D$2,Production_Consumption!$AA$83:$AJ$83,0)))*'CA Population'!$L906*10^6</f>
        <v>492931.0727599255</v>
      </c>
      <c r="E906" s="143">
        <f>(INDEX(Production_Consumption!$AA$83:$AJ$99,MATCH('County Scaled Consumption '!$B906,Production_Consumption!$AA$83:$AA$99,0),MATCH('County Scaled Consumption '!E$2,Production_Consumption!$AA$83:$AJ$83,0)))*'CA Population'!$L906*10^6</f>
        <v>304852.24218433618</v>
      </c>
      <c r="F906" s="143">
        <f>(INDEX(Production_Consumption!$AA$83:$AJ$99,MATCH('County Scaled Consumption '!$B906,Production_Consumption!$AA$83:$AA$99,0),MATCH('County Scaled Consumption '!F$2,Production_Consumption!$AA$83:$AJ$83,0)))*'CA Population'!$L906*10^6</f>
        <v>84168.639556814203</v>
      </c>
      <c r="G906" s="143">
        <f>(INDEX(Production_Consumption!$AA$83:$AJ$99,MATCH('County Scaled Consumption '!$B906,Production_Consumption!$AA$83:$AA$99,0),MATCH('County Scaled Consumption '!G$2,Production_Consumption!$AA$83:$AJ$83,0)))*'CA Population'!$L906*10^6</f>
        <v>316288.30741219263</v>
      </c>
      <c r="H906" s="143">
        <f>(INDEX(Production_Consumption!$AA$83:$AJ$99,MATCH('County Scaled Consumption '!$B906,Production_Consumption!$AA$83:$AA$99,0),MATCH('County Scaled Consumption '!H$2,Production_Consumption!$AA$83:$AJ$83,0)))*'CA Population'!$L906*10^6</f>
        <v>8825.5112696553879</v>
      </c>
      <c r="I906" s="143">
        <f>(INDEX(Production_Consumption!$AA$83:$AJ$99,MATCH('County Scaled Consumption '!$B906,Production_Consumption!$AA$83:$AA$99,0),MATCH('County Scaled Consumption '!I$2,Production_Consumption!$AA$83:$AJ$83,0)))*'CA Population'!$L906*10^6</f>
        <v>171115.1131189882</v>
      </c>
      <c r="J906" s="143">
        <f>(INDEX(Production_Consumption!$AA$83:$AJ$99,MATCH('County Scaled Consumption '!$B906,Production_Consumption!$AA$83:$AA$99,0),MATCH('County Scaled Consumption '!J$2,Production_Consumption!$AA$83:$AJ$83,0)))*'CA Population'!$L906*10^6</f>
        <v>111568.31399950224</v>
      </c>
      <c r="K906" s="143">
        <f>(INDEX(Production_Consumption!$AA$83:$AJ$99,MATCH('County Scaled Consumption '!$B906,Production_Consumption!$AA$83:$AA$99,0),MATCH('County Scaled Consumption '!K$2,Production_Consumption!$AA$83:$AJ$83,0)))*'CA Population'!$L906*10^6</f>
        <v>1615026.524152312</v>
      </c>
      <c r="L906" s="131">
        <f t="shared" si="14"/>
        <v>0</v>
      </c>
    </row>
    <row r="907" spans="1:12" x14ac:dyDescent="0.2">
      <c r="A907" s="132" t="s">
        <v>324</v>
      </c>
      <c r="B907" s="129">
        <v>2005</v>
      </c>
      <c r="C907" s="143">
        <f>(INDEX(Production_Consumption!$AA$83:$AJ$99,MATCH('County Scaled Consumption '!$B907,Production_Consumption!$AA$83:$AA$99,0),MATCH('County Scaled Consumption '!C$2,Production_Consumption!$AA$83:$AJ$83,0)))*'CA Population'!$L907*10^6</f>
        <v>1763.4269704001069</v>
      </c>
      <c r="D907" s="143">
        <f>(INDEX(Production_Consumption!$AA$83:$AJ$99,MATCH('County Scaled Consumption '!$B907,Production_Consumption!$AA$83:$AA$99,0),MATCH('County Scaled Consumption '!D$2,Production_Consumption!$AA$83:$AJ$83,0)))*'CA Population'!$L907*10^6</f>
        <v>6938.5896947133924</v>
      </c>
      <c r="E907" s="143">
        <f>(INDEX(Production_Consumption!$AA$83:$AJ$99,MATCH('County Scaled Consumption '!$B907,Production_Consumption!$AA$83:$AA$99,0),MATCH('County Scaled Consumption '!E$2,Production_Consumption!$AA$83:$AJ$83,0)))*'CA Population'!$L907*10^6</f>
        <v>4291.1570053541818</v>
      </c>
      <c r="F907" s="143">
        <f>(INDEX(Production_Consumption!$AA$83:$AJ$99,MATCH('County Scaled Consumption '!$B907,Production_Consumption!$AA$83:$AA$99,0),MATCH('County Scaled Consumption '!F$2,Production_Consumption!$AA$83:$AJ$83,0)))*'CA Population'!$L907*10^6</f>
        <v>1184.77346493308</v>
      </c>
      <c r="G907" s="143">
        <f>(INDEX(Production_Consumption!$AA$83:$AJ$99,MATCH('County Scaled Consumption '!$B907,Production_Consumption!$AA$83:$AA$99,0),MATCH('County Scaled Consumption '!G$2,Production_Consumption!$AA$83:$AJ$83,0)))*'CA Population'!$L907*10^6</f>
        <v>4452.1331919309223</v>
      </c>
      <c r="H907" s="143">
        <f>(INDEX(Production_Consumption!$AA$83:$AJ$99,MATCH('County Scaled Consumption '!$B907,Production_Consumption!$AA$83:$AA$99,0),MATCH('County Scaled Consumption '!H$2,Production_Consumption!$AA$83:$AJ$83,0)))*'CA Population'!$L907*10^6</f>
        <v>124.22954228335313</v>
      </c>
      <c r="I907" s="143">
        <f>(INDEX(Production_Consumption!$AA$83:$AJ$99,MATCH('County Scaled Consumption '!$B907,Production_Consumption!$AA$83:$AA$99,0),MATCH('County Scaled Consumption '!I$2,Production_Consumption!$AA$83:$AJ$83,0)))*'CA Population'!$L907*10^6</f>
        <v>2408.6482392952794</v>
      </c>
      <c r="J907" s="143">
        <f>(INDEX(Production_Consumption!$AA$83:$AJ$99,MATCH('County Scaled Consumption '!$B907,Production_Consumption!$AA$83:$AA$99,0),MATCH('County Scaled Consumption '!J$2,Production_Consumption!$AA$83:$AJ$83,0)))*'CA Population'!$L907*10^6</f>
        <v>1570.4563914771113</v>
      </c>
      <c r="K907" s="143">
        <f>(INDEX(Production_Consumption!$AA$83:$AJ$99,MATCH('County Scaled Consumption '!$B907,Production_Consumption!$AA$83:$AA$99,0),MATCH('County Scaled Consumption '!K$2,Production_Consumption!$AA$83:$AJ$83,0)))*'CA Population'!$L907*10^6</f>
        <v>22733.414500387429</v>
      </c>
      <c r="L907" s="131">
        <f t="shared" si="14"/>
        <v>0</v>
      </c>
    </row>
    <row r="908" spans="1:12" x14ac:dyDescent="0.2">
      <c r="A908" s="132" t="s">
        <v>325</v>
      </c>
      <c r="B908" s="129">
        <v>2005</v>
      </c>
      <c r="C908" s="143">
        <f>(INDEX(Production_Consumption!$AA$83:$AJ$99,MATCH('County Scaled Consumption '!$B908,Production_Consumption!$AA$83:$AA$99,0),MATCH('County Scaled Consumption '!C$2,Production_Consumption!$AA$83:$AJ$83,0)))*'CA Population'!$L908*10^6</f>
        <v>3148.322205871304</v>
      </c>
      <c r="D908" s="143">
        <f>(INDEX(Production_Consumption!$AA$83:$AJ$99,MATCH('County Scaled Consumption '!$B908,Production_Consumption!$AA$83:$AA$99,0),MATCH('County Scaled Consumption '!D$2,Production_Consumption!$AA$83:$AJ$83,0)))*'CA Population'!$L908*10^6</f>
        <v>12387.763360758589</v>
      </c>
      <c r="E908" s="143">
        <f>(INDEX(Production_Consumption!$AA$83:$AJ$99,MATCH('County Scaled Consumption '!$B908,Production_Consumption!$AA$83:$AA$99,0),MATCH('County Scaled Consumption '!E$2,Production_Consumption!$AA$83:$AJ$83,0)))*'CA Population'!$L908*10^6</f>
        <v>7661.1876281848427</v>
      </c>
      <c r="F908" s="143">
        <f>(INDEX(Production_Consumption!$AA$83:$AJ$99,MATCH('County Scaled Consumption '!$B908,Production_Consumption!$AA$83:$AA$99,0),MATCH('County Scaled Consumption '!F$2,Production_Consumption!$AA$83:$AJ$83,0)))*'CA Population'!$L908*10^6</f>
        <v>2115.2271521227699</v>
      </c>
      <c r="G908" s="143">
        <f>(INDEX(Production_Consumption!$AA$83:$AJ$99,MATCH('County Scaled Consumption '!$B908,Production_Consumption!$AA$83:$AA$99,0),MATCH('County Scaled Consumption '!G$2,Production_Consumption!$AA$83:$AJ$83,0)))*'CA Population'!$L908*10^6</f>
        <v>7948.5853550672009</v>
      </c>
      <c r="H908" s="143">
        <f>(INDEX(Production_Consumption!$AA$83:$AJ$99,MATCH('County Scaled Consumption '!$B908,Production_Consumption!$AA$83:$AA$99,0),MATCH('County Scaled Consumption '!H$2,Production_Consumption!$AA$83:$AJ$83,0)))*'CA Population'!$L908*10^6</f>
        <v>221.79235837998334</v>
      </c>
      <c r="I908" s="143">
        <f>(INDEX(Production_Consumption!$AA$83:$AJ$99,MATCH('County Scaled Consumption '!$B908,Production_Consumption!$AA$83:$AA$99,0),MATCH('County Scaled Consumption '!I$2,Production_Consumption!$AA$83:$AJ$83,0)))*'CA Population'!$L908*10^6</f>
        <v>4300.2635579434182</v>
      </c>
      <c r="J908" s="143">
        <f>(INDEX(Production_Consumption!$AA$83:$AJ$99,MATCH('County Scaled Consumption '!$B908,Production_Consumption!$AA$83:$AA$99,0),MATCH('County Scaled Consumption '!J$2,Production_Consumption!$AA$83:$AJ$83,0)))*'CA Population'!$L908*10^6</f>
        <v>2803.8035107958494</v>
      </c>
      <c r="K908" s="143">
        <f>(INDEX(Production_Consumption!$AA$83:$AJ$99,MATCH('County Scaled Consumption '!$B908,Production_Consumption!$AA$83:$AA$99,0),MATCH('County Scaled Consumption '!K$2,Production_Consumption!$AA$83:$AJ$83,0)))*'CA Population'!$L908*10^6</f>
        <v>40586.94512912396</v>
      </c>
      <c r="L908" s="131">
        <f t="shared" si="14"/>
        <v>0</v>
      </c>
    </row>
    <row r="909" spans="1:12" x14ac:dyDescent="0.2">
      <c r="A909" s="132" t="s">
        <v>326</v>
      </c>
      <c r="B909" s="129">
        <v>2005</v>
      </c>
      <c r="C909" s="143">
        <f>(INDEX(Production_Consumption!$AA$83:$AJ$99,MATCH('County Scaled Consumption '!$B909,Production_Consumption!$AA$83:$AA$99,0),MATCH('County Scaled Consumption '!C$2,Production_Consumption!$AA$83:$AJ$83,0)))*'CA Population'!$L909*10^6</f>
        <v>229.27588057983354</v>
      </c>
      <c r="D909" s="143">
        <f>(INDEX(Production_Consumption!$AA$83:$AJ$99,MATCH('County Scaled Consumption '!$B909,Production_Consumption!$AA$83:$AA$99,0),MATCH('County Scaled Consumption '!D$2,Production_Consumption!$AA$83:$AJ$83,0)))*'CA Population'!$L909*10^6</f>
        <v>902.13617515253293</v>
      </c>
      <c r="E909" s="143">
        <f>(INDEX(Production_Consumption!$AA$83:$AJ$99,MATCH('County Scaled Consumption '!$B909,Production_Consumption!$AA$83:$AA$99,0),MATCH('County Scaled Consumption '!E$2,Production_Consumption!$AA$83:$AJ$83,0)))*'CA Population'!$L909*10^6</f>
        <v>557.92432441116182</v>
      </c>
      <c r="F909" s="143">
        <f>(INDEX(Production_Consumption!$AA$83:$AJ$99,MATCH('County Scaled Consumption '!$B909,Production_Consumption!$AA$83:$AA$99,0),MATCH('County Scaled Consumption '!F$2,Production_Consumption!$AA$83:$AJ$83,0)))*'CA Population'!$L909*10^6</f>
        <v>154.04095775994602</v>
      </c>
      <c r="G909" s="143">
        <f>(INDEX(Production_Consumption!$AA$83:$AJ$99,MATCH('County Scaled Consumption '!$B909,Production_Consumption!$AA$83:$AA$99,0),MATCH('County Scaled Consumption '!G$2,Production_Consumption!$AA$83:$AJ$83,0)))*'CA Population'!$L909*10^6</f>
        <v>578.85400142602089</v>
      </c>
      <c r="H909" s="143">
        <f>(INDEX(Production_Consumption!$AA$83:$AJ$99,MATCH('County Scaled Consumption '!$B909,Production_Consumption!$AA$83:$AA$99,0),MATCH('County Scaled Consumption '!H$2,Production_Consumption!$AA$83:$AJ$83,0)))*'CA Population'!$L909*10^6</f>
        <v>16.15198030831009</v>
      </c>
      <c r="I909" s="143">
        <f>(INDEX(Production_Consumption!$AA$83:$AJ$99,MATCH('County Scaled Consumption '!$B909,Production_Consumption!$AA$83:$AA$99,0),MATCH('County Scaled Consumption '!I$2,Production_Consumption!$AA$83:$AJ$83,0)))*'CA Population'!$L909*10^6</f>
        <v>313.16575925238971</v>
      </c>
      <c r="J909" s="143">
        <f>(INDEX(Production_Consumption!$AA$83:$AJ$99,MATCH('County Scaled Consumption '!$B909,Production_Consumption!$AA$83:$AA$99,0),MATCH('County Scaled Consumption '!J$2,Production_Consumption!$AA$83:$AJ$83,0)))*'CA Population'!$L909*10^6</f>
        <v>204.1863814674708</v>
      </c>
      <c r="K909" s="143">
        <f>(INDEX(Production_Consumption!$AA$83:$AJ$99,MATCH('County Scaled Consumption '!$B909,Production_Consumption!$AA$83:$AA$99,0),MATCH('County Scaled Consumption '!K$2,Production_Consumption!$AA$83:$AJ$83,0)))*'CA Population'!$L909*10^6</f>
        <v>2955.7354603576664</v>
      </c>
      <c r="L909" s="131">
        <f t="shared" si="14"/>
        <v>0</v>
      </c>
    </row>
    <row r="910" spans="1:12" x14ac:dyDescent="0.2">
      <c r="A910" s="132" t="s">
        <v>327</v>
      </c>
      <c r="B910" s="129">
        <v>2005</v>
      </c>
      <c r="C910" s="143">
        <f>(INDEX(Production_Consumption!$AA$83:$AJ$99,MATCH('County Scaled Consumption '!$B910,Production_Consumption!$AA$83:$AA$99,0),MATCH('County Scaled Consumption '!C$2,Production_Consumption!$AA$83:$AJ$83,0)))*'CA Population'!$L910*10^6</f>
        <v>1124.7344324865098</v>
      </c>
      <c r="D910" s="143">
        <f>(INDEX(Production_Consumption!$AA$83:$AJ$99,MATCH('County Scaled Consumption '!$B910,Production_Consumption!$AA$83:$AA$99,0),MATCH('County Scaled Consumption '!D$2,Production_Consumption!$AA$83:$AJ$83,0)))*'CA Population'!$L910*10^6</f>
        <v>4425.5139983310646</v>
      </c>
      <c r="E910" s="143">
        <f>(INDEX(Production_Consumption!$AA$83:$AJ$99,MATCH('County Scaled Consumption '!$B910,Production_Consumption!$AA$83:$AA$99,0),MATCH('County Scaled Consumption '!E$2,Production_Consumption!$AA$83:$AJ$83,0)))*'CA Population'!$L910*10^6</f>
        <v>2736.9503359883824</v>
      </c>
      <c r="F910" s="143">
        <f>(INDEX(Production_Consumption!$AA$83:$AJ$99,MATCH('County Scaled Consumption '!$B910,Production_Consumption!$AA$83:$AA$99,0),MATCH('County Scaled Consumption '!F$2,Production_Consumption!$AA$83:$AJ$83,0)))*'CA Population'!$L910*10^6</f>
        <v>755.66243063881336</v>
      </c>
      <c r="G910" s="143">
        <f>(INDEX(Production_Consumption!$AA$83:$AJ$99,MATCH('County Scaled Consumption '!$B910,Production_Consumption!$AA$83:$AA$99,0),MATCH('County Scaled Consumption '!G$2,Production_Consumption!$AA$83:$AJ$83,0)))*'CA Population'!$L910*10^6</f>
        <v>2839.6228383898583</v>
      </c>
      <c r="H910" s="143">
        <f>(INDEX(Production_Consumption!$AA$83:$AJ$99,MATCH('County Scaled Consumption '!$B910,Production_Consumption!$AA$83:$AA$99,0),MATCH('County Scaled Consumption '!H$2,Production_Consumption!$AA$83:$AJ$83,0)))*'CA Population'!$L910*10^6</f>
        <v>79.23506109607905</v>
      </c>
      <c r="I910" s="143">
        <f>(INDEX(Production_Consumption!$AA$83:$AJ$99,MATCH('County Scaled Consumption '!$B910,Production_Consumption!$AA$83:$AA$99,0),MATCH('County Scaled Consumption '!I$2,Production_Consumption!$AA$83:$AJ$83,0)))*'CA Population'!$L910*10^6</f>
        <v>1536.2641356612221</v>
      </c>
      <c r="J910" s="143">
        <f>(INDEX(Production_Consumption!$AA$83:$AJ$99,MATCH('County Scaled Consumption '!$B910,Production_Consumption!$AA$83:$AA$99,0),MATCH('County Scaled Consumption '!J$2,Production_Consumption!$AA$83:$AJ$83,0)))*'CA Population'!$L910*10^6</f>
        <v>1001.6555308848725</v>
      </c>
      <c r="K910" s="143">
        <f>(INDEX(Production_Consumption!$AA$83:$AJ$99,MATCH('County Scaled Consumption '!$B910,Production_Consumption!$AA$83:$AA$99,0),MATCH('County Scaled Consumption '!K$2,Production_Consumption!$AA$83:$AJ$83,0)))*'CA Population'!$L910*10^6</f>
        <v>14499.638763476803</v>
      </c>
      <c r="L910" s="131">
        <f t="shared" si="14"/>
        <v>0</v>
      </c>
    </row>
    <row r="911" spans="1:12" x14ac:dyDescent="0.2">
      <c r="A911" s="132" t="s">
        <v>328</v>
      </c>
      <c r="B911" s="129">
        <v>2005</v>
      </c>
      <c r="C911" s="143">
        <f>(INDEX(Production_Consumption!$AA$83:$AJ$99,MATCH('County Scaled Consumption '!$B911,Production_Consumption!$AA$83:$AA$99,0),MATCH('County Scaled Consumption '!C$2,Production_Consumption!$AA$83:$AJ$83,0)))*'CA Population'!$L911*10^6</f>
        <v>3038.3233851244299</v>
      </c>
      <c r="D911" s="143">
        <f>(INDEX(Production_Consumption!$AA$83:$AJ$99,MATCH('County Scaled Consumption '!$B911,Production_Consumption!$AA$83:$AA$99,0),MATCH('County Scaled Consumption '!D$2,Production_Consumption!$AA$83:$AJ$83,0)))*'CA Population'!$L911*10^6</f>
        <v>11954.94890522618</v>
      </c>
      <c r="E911" s="143">
        <f>(INDEX(Production_Consumption!$AA$83:$AJ$99,MATCH('County Scaled Consumption '!$B911,Production_Consumption!$AA$83:$AA$99,0),MATCH('County Scaled Consumption '!E$2,Production_Consumption!$AA$83:$AJ$83,0)))*'CA Population'!$L911*10^6</f>
        <v>7393.5143884353402</v>
      </c>
      <c r="F911" s="143">
        <f>(INDEX(Production_Consumption!$AA$83:$AJ$99,MATCH('County Scaled Consumption '!$B911,Production_Consumption!$AA$83:$AA$99,0),MATCH('County Scaled Consumption '!F$2,Production_Consumption!$AA$83:$AJ$83,0)))*'CA Population'!$L911*10^6</f>
        <v>2041.3235053132528</v>
      </c>
      <c r="G911" s="143">
        <f>(INDEX(Production_Consumption!$AA$83:$AJ$99,MATCH('County Scaled Consumption '!$B911,Production_Consumption!$AA$83:$AA$99,0),MATCH('County Scaled Consumption '!G$2,Production_Consumption!$AA$83:$AJ$83,0)))*'CA Population'!$L911*10^6</f>
        <v>7670.8707634562406</v>
      </c>
      <c r="H911" s="143">
        <f>(INDEX(Production_Consumption!$AA$83:$AJ$99,MATCH('County Scaled Consumption '!$B911,Production_Consumption!$AA$83:$AA$99,0),MATCH('County Scaled Consumption '!H$2,Production_Consumption!$AA$83:$AJ$83,0)))*'CA Population'!$L911*10^6</f>
        <v>214.04318396989007</v>
      </c>
      <c r="I911" s="143">
        <f>(INDEX(Production_Consumption!$AA$83:$AJ$99,MATCH('County Scaled Consumption '!$B911,Production_Consumption!$AA$83:$AA$99,0),MATCH('County Scaled Consumption '!I$2,Production_Consumption!$AA$83:$AJ$83,0)))*'CA Population'!$L911*10^6</f>
        <v>4150.0172078740416</v>
      </c>
      <c r="J911" s="143">
        <f>(INDEX(Production_Consumption!$AA$83:$AJ$99,MATCH('County Scaled Consumption '!$B911,Production_Consumption!$AA$83:$AA$99,0),MATCH('County Scaled Consumption '!J$2,Production_Consumption!$AA$83:$AJ$83,0)))*'CA Population'!$L911*10^6</f>
        <v>2705.8417840010743</v>
      </c>
      <c r="K911" s="143">
        <f>(INDEX(Production_Consumption!$AA$83:$AJ$99,MATCH('County Scaled Consumption '!$B911,Production_Consumption!$AA$83:$AA$99,0),MATCH('County Scaled Consumption '!K$2,Production_Consumption!$AA$83:$AJ$83,0)))*'CA Population'!$L911*10^6</f>
        <v>39168.883123400454</v>
      </c>
      <c r="L911" s="131">
        <f t="shared" si="14"/>
        <v>0</v>
      </c>
    </row>
    <row r="912" spans="1:12" x14ac:dyDescent="0.2">
      <c r="A912" s="132" t="s">
        <v>329</v>
      </c>
      <c r="B912" s="129">
        <v>2005</v>
      </c>
      <c r="C912" s="143">
        <f>(INDEX(Production_Consumption!$AA$83:$AJ$99,MATCH('County Scaled Consumption '!$B912,Production_Consumption!$AA$83:$AA$99,0),MATCH('County Scaled Consumption '!C$2,Production_Consumption!$AA$83:$AJ$83,0)))*'CA Population'!$L912*10^6</f>
        <v>122.45488862585599</v>
      </c>
      <c r="D912" s="143">
        <f>(INDEX(Production_Consumption!$AA$83:$AJ$99,MATCH('County Scaled Consumption '!$B912,Production_Consumption!$AA$83:$AA$99,0),MATCH('County Scaled Consumption '!D$2,Production_Consumption!$AA$83:$AJ$83,0)))*'CA Population'!$L912*10^6</f>
        <v>481.82558311096875</v>
      </c>
      <c r="E912" s="143">
        <f>(INDEX(Production_Consumption!$AA$83:$AJ$99,MATCH('County Scaled Consumption '!$B912,Production_Consumption!$AA$83:$AA$99,0),MATCH('County Scaled Consumption '!E$2,Production_Consumption!$AA$83:$AJ$83,0)))*'CA Population'!$L912*10^6</f>
        <v>297.98407418453093</v>
      </c>
      <c r="F912" s="143">
        <f>(INDEX(Production_Consumption!$AA$83:$AJ$99,MATCH('County Scaled Consumption '!$B912,Production_Consumption!$AA$83:$AA$99,0),MATCH('County Scaled Consumption '!F$2,Production_Consumption!$AA$83:$AJ$83,0)))*'CA Population'!$L912*10^6</f>
        <v>82.272362354950303</v>
      </c>
      <c r="G912" s="143">
        <f>(INDEX(Production_Consumption!$AA$83:$AJ$99,MATCH('County Scaled Consumption '!$B912,Production_Consumption!$AA$83:$AA$99,0),MATCH('County Scaled Consumption '!G$2,Production_Consumption!$AA$83:$AJ$83,0)))*'CA Population'!$L912*10^6</f>
        <v>309.16249060298753</v>
      </c>
      <c r="H912" s="143">
        <f>(INDEX(Production_Consumption!$AA$83:$AJ$99,MATCH('County Scaled Consumption '!$B912,Production_Consumption!$AA$83:$AA$99,0),MATCH('County Scaled Consumption '!H$2,Production_Consumption!$AA$83:$AJ$83,0)))*'CA Population'!$L912*10^6</f>
        <v>8.6266769306003539</v>
      </c>
      <c r="I912" s="143">
        <f>(INDEX(Production_Consumption!$AA$83:$AJ$99,MATCH('County Scaled Consumption '!$B912,Production_Consumption!$AA$83:$AA$99,0),MATCH('County Scaled Consumption '!I$2,Production_Consumption!$AA$83:$AJ$83,0)))*'CA Population'!$L912*10^6</f>
        <v>167.25997550941716</v>
      </c>
      <c r="J912" s="143">
        <f>(INDEX(Production_Consumption!$AA$83:$AJ$99,MATCH('County Scaled Consumption '!$B912,Production_Consumption!$AA$83:$AA$99,0),MATCH('County Scaled Consumption '!J$2,Production_Consumption!$AA$83:$AJ$83,0)))*'CA Population'!$L912*10^6</f>
        <v>109.05473588535386</v>
      </c>
      <c r="K912" s="143">
        <f>(INDEX(Production_Consumption!$AA$83:$AJ$99,MATCH('County Scaled Consumption '!$B912,Production_Consumption!$AA$83:$AA$99,0),MATCH('County Scaled Consumption '!K$2,Production_Consumption!$AA$83:$AJ$83,0)))*'CA Population'!$L912*10^6</f>
        <v>1578.640787204665</v>
      </c>
      <c r="L912" s="131">
        <f t="shared" si="14"/>
        <v>0</v>
      </c>
    </row>
    <row r="913" spans="1:12" x14ac:dyDescent="0.2">
      <c r="A913" s="132" t="s">
        <v>330</v>
      </c>
      <c r="B913" s="129">
        <v>2005</v>
      </c>
      <c r="C913" s="143">
        <f>(INDEX(Production_Consumption!$AA$83:$AJ$99,MATCH('County Scaled Consumption '!$B913,Production_Consumption!$AA$83:$AA$99,0),MATCH('County Scaled Consumption '!C$2,Production_Consumption!$AA$83:$AJ$83,0)))*'CA Population'!$L913*10^6</f>
        <v>175.64842440413298</v>
      </c>
      <c r="D913" s="143">
        <f>(INDEX(Production_Consumption!$AA$83:$AJ$99,MATCH('County Scaled Consumption '!$B913,Production_Consumption!$AA$83:$AA$99,0),MATCH('County Scaled Consumption '!D$2,Production_Consumption!$AA$83:$AJ$83,0)))*'CA Population'!$L913*10^6</f>
        <v>691.12720170466525</v>
      </c>
      <c r="E913" s="143">
        <f>(INDEX(Production_Consumption!$AA$83:$AJ$99,MATCH('County Scaled Consumption '!$B913,Production_Consumption!$AA$83:$AA$99,0),MATCH('County Scaled Consumption '!E$2,Production_Consumption!$AA$83:$AJ$83,0)))*'CA Population'!$L913*10^6</f>
        <v>427.42624418985923</v>
      </c>
      <c r="F913" s="143">
        <f>(INDEX(Production_Consumption!$AA$83:$AJ$99,MATCH('County Scaled Consumption '!$B913,Production_Consumption!$AA$83:$AA$99,0),MATCH('County Scaled Consumption '!F$2,Production_Consumption!$AA$83:$AJ$83,0)))*'CA Population'!$L913*10^6</f>
        <v>118.01089349569369</v>
      </c>
      <c r="G913" s="143">
        <f>(INDEX(Production_Consumption!$AA$83:$AJ$99,MATCH('County Scaled Consumption '!$B913,Production_Consumption!$AA$83:$AA$99,0),MATCH('County Scaled Consumption '!G$2,Production_Consumption!$AA$83:$AJ$83,0)))*'CA Population'!$L913*10^6</f>
        <v>443.46048547878246</v>
      </c>
      <c r="H913" s="143">
        <f>(INDEX(Production_Consumption!$AA$83:$AJ$99,MATCH('County Scaled Consumption '!$B913,Production_Consumption!$AA$83:$AA$99,0),MATCH('County Scaled Consumption '!H$2,Production_Consumption!$AA$83:$AJ$83,0)))*'CA Population'!$L913*10^6</f>
        <v>12.374044251782458</v>
      </c>
      <c r="I913" s="143">
        <f>(INDEX(Production_Consumption!$AA$83:$AJ$99,MATCH('County Scaled Consumption '!$B913,Production_Consumption!$AA$83:$AA$99,0),MATCH('County Scaled Consumption '!I$2,Production_Consumption!$AA$83:$AJ$83,0)))*'CA Population'!$L913*10^6</f>
        <v>239.91652349516502</v>
      </c>
      <c r="J913" s="143">
        <f>(INDEX(Production_Consumption!$AA$83:$AJ$99,MATCH('County Scaled Consumption '!$B913,Production_Consumption!$AA$83:$AA$99,0),MATCH('County Scaled Consumption '!J$2,Production_Consumption!$AA$83:$AJ$83,0)))*'CA Population'!$L913*10^6</f>
        <v>156.42734028036742</v>
      </c>
      <c r="K913" s="143">
        <f>(INDEX(Production_Consumption!$AA$83:$AJ$99,MATCH('County Scaled Consumption '!$B913,Production_Consumption!$AA$83:$AA$99,0),MATCH('County Scaled Consumption '!K$2,Production_Consumption!$AA$83:$AJ$83,0)))*'CA Population'!$L913*10^6</f>
        <v>2264.3911573004489</v>
      </c>
      <c r="L913" s="131">
        <f t="shared" si="14"/>
        <v>0</v>
      </c>
    </row>
    <row r="914" spans="1:12" x14ac:dyDescent="0.2">
      <c r="A914" s="132" t="s">
        <v>331</v>
      </c>
      <c r="B914" s="129">
        <v>2005</v>
      </c>
      <c r="C914" s="143">
        <f>(INDEX(Production_Consumption!$AA$83:$AJ$99,MATCH('County Scaled Consumption '!$B914,Production_Consumption!$AA$83:$AA$99,0),MATCH('County Scaled Consumption '!C$2,Production_Consumption!$AA$83:$AJ$83,0)))*'CA Population'!$L914*10^6</f>
        <v>5226.9157708118501</v>
      </c>
      <c r="D914" s="143">
        <f>(INDEX(Production_Consumption!$AA$83:$AJ$99,MATCH('County Scaled Consumption '!$B914,Production_Consumption!$AA$83:$AA$99,0),MATCH('County Scaled Consumption '!D$2,Production_Consumption!$AA$83:$AJ$83,0)))*'CA Population'!$L914*10^6</f>
        <v>20566.445059111938</v>
      </c>
      <c r="E914" s="143">
        <f>(INDEX(Production_Consumption!$AA$83:$AJ$99,MATCH('County Scaled Consumption '!$B914,Production_Consumption!$AA$83:$AA$99,0),MATCH('County Scaled Consumption '!E$2,Production_Consumption!$AA$83:$AJ$83,0)))*'CA Population'!$L914*10^6</f>
        <v>12719.277068347465</v>
      </c>
      <c r="F914" s="143">
        <f>(INDEX(Production_Consumption!$AA$83:$AJ$99,MATCH('County Scaled Consumption '!$B914,Production_Consumption!$AA$83:$AA$99,0),MATCH('County Scaled Consumption '!F$2,Production_Consumption!$AA$83:$AJ$83,0)))*'CA Population'!$L914*10^6</f>
        <v>3511.7479842633015</v>
      </c>
      <c r="G914" s="143">
        <f>(INDEX(Production_Consumption!$AA$83:$AJ$99,MATCH('County Scaled Consumption '!$B914,Production_Consumption!$AA$83:$AA$99,0),MATCH('County Scaled Consumption '!G$2,Production_Consumption!$AA$83:$AJ$83,0)))*'CA Population'!$L914*10^6</f>
        <v>13196.421278154014</v>
      </c>
      <c r="H914" s="143">
        <f>(INDEX(Production_Consumption!$AA$83:$AJ$99,MATCH('County Scaled Consumption '!$B914,Production_Consumption!$AA$83:$AA$99,0),MATCH('County Scaled Consumption '!H$2,Production_Consumption!$AA$83:$AJ$83,0)))*'CA Population'!$L914*10^6</f>
        <v>368.22469240915984</v>
      </c>
      <c r="I914" s="143">
        <f>(INDEX(Production_Consumption!$AA$83:$AJ$99,MATCH('County Scaled Consumption '!$B914,Production_Consumption!$AA$83:$AA$99,0),MATCH('County Scaled Consumption '!I$2,Production_Consumption!$AA$83:$AJ$83,0)))*'CA Population'!$L914*10^6</f>
        <v>7139.3948712569427</v>
      </c>
      <c r="J914" s="143">
        <f>(INDEX(Production_Consumption!$AA$83:$AJ$99,MATCH('County Scaled Consumption '!$B914,Production_Consumption!$AA$83:$AA$99,0),MATCH('County Scaled Consumption '!J$2,Production_Consumption!$AA$83:$AJ$83,0)))*'CA Population'!$L914*10^6</f>
        <v>4654.9380369982155</v>
      </c>
      <c r="K914" s="143">
        <f>(INDEX(Production_Consumption!$AA$83:$AJ$99,MATCH('County Scaled Consumption '!$B914,Production_Consumption!$AA$83:$AA$99,0),MATCH('County Scaled Consumption '!K$2,Production_Consumption!$AA$83:$AJ$83,0)))*'CA Population'!$L914*10^6</f>
        <v>67383.364761352888</v>
      </c>
      <c r="L914" s="131">
        <f t="shared" si="14"/>
        <v>0</v>
      </c>
    </row>
    <row r="915" spans="1:12" x14ac:dyDescent="0.2">
      <c r="A915" s="132" t="s">
        <v>332</v>
      </c>
      <c r="B915" s="129">
        <v>2005</v>
      </c>
      <c r="C915" s="143">
        <f>(INDEX(Production_Consumption!$AA$83:$AJ$99,MATCH('County Scaled Consumption '!$B915,Production_Consumption!$AA$83:$AA$99,0),MATCH('County Scaled Consumption '!C$2,Production_Consumption!$AA$83:$AJ$83,0)))*'CA Population'!$L915*10^6</f>
        <v>1665.1312380190393</v>
      </c>
      <c r="D915" s="143">
        <f>(INDEX(Production_Consumption!$AA$83:$AJ$99,MATCH('County Scaled Consumption '!$B915,Production_Consumption!$AA$83:$AA$99,0),MATCH('County Scaled Consumption '!D$2,Production_Consumption!$AA$83:$AJ$83,0)))*'CA Population'!$L915*10^6</f>
        <v>6551.8236039243684</v>
      </c>
      <c r="E915" s="143">
        <f>(INDEX(Production_Consumption!$AA$83:$AJ$99,MATCH('County Scaled Consumption '!$B915,Production_Consumption!$AA$83:$AA$99,0),MATCH('County Scaled Consumption '!E$2,Production_Consumption!$AA$83:$AJ$83,0)))*'CA Population'!$L915*10^6</f>
        <v>4051.9622852531643</v>
      </c>
      <c r="F915" s="143">
        <f>(INDEX(Production_Consumption!$AA$83:$AJ$99,MATCH('County Scaled Consumption '!$B915,Production_Consumption!$AA$83:$AA$99,0),MATCH('County Scaled Consumption '!F$2,Production_Consumption!$AA$83:$AJ$83,0)))*'CA Population'!$L915*10^6</f>
        <v>1118.7326379546716</v>
      </c>
      <c r="G915" s="143">
        <f>(INDEX(Production_Consumption!$AA$83:$AJ$99,MATCH('County Scaled Consumption '!$B915,Production_Consumption!$AA$83:$AA$99,0),MATCH('County Scaled Consumption '!G$2,Production_Consumption!$AA$83:$AJ$83,0)))*'CA Population'!$L915*10^6</f>
        <v>4203.9654480409572</v>
      </c>
      <c r="H915" s="143">
        <f>(INDEX(Production_Consumption!$AA$83:$AJ$99,MATCH('County Scaled Consumption '!$B915,Production_Consumption!$AA$83:$AA$99,0),MATCH('County Scaled Consumption '!H$2,Production_Consumption!$AA$83:$AJ$83,0)))*'CA Population'!$L915*10^6</f>
        <v>117.30482464713799</v>
      </c>
      <c r="I915" s="143">
        <f>(INDEX(Production_Consumption!$AA$83:$AJ$99,MATCH('County Scaled Consumption '!$B915,Production_Consumption!$AA$83:$AA$99,0),MATCH('County Scaled Consumption '!I$2,Production_Consumption!$AA$83:$AJ$83,0)))*'CA Population'!$L915*10^6</f>
        <v>2274.3870270624984</v>
      </c>
      <c r="J915" s="143">
        <f>(INDEX(Production_Consumption!$AA$83:$AJ$99,MATCH('County Scaled Consumption '!$B915,Production_Consumption!$AA$83:$AA$99,0),MATCH('County Scaled Consumption '!J$2,Production_Consumption!$AA$83:$AJ$83,0)))*'CA Population'!$L915*10^6</f>
        <v>1482.9170922807596</v>
      </c>
      <c r="K915" s="143">
        <f>(INDEX(Production_Consumption!$AA$83:$AJ$99,MATCH('County Scaled Consumption '!$B915,Production_Consumption!$AA$83:$AA$99,0),MATCH('County Scaled Consumption '!K$2,Production_Consumption!$AA$83:$AJ$83,0)))*'CA Population'!$L915*10^6</f>
        <v>21466.224157182598</v>
      </c>
      <c r="L915" s="131">
        <f t="shared" si="14"/>
        <v>0</v>
      </c>
    </row>
    <row r="916" spans="1:12" x14ac:dyDescent="0.2">
      <c r="A916" s="132" t="s">
        <v>333</v>
      </c>
      <c r="B916" s="129">
        <v>2005</v>
      </c>
      <c r="C916" s="143">
        <f>(INDEX(Production_Consumption!$AA$83:$AJ$99,MATCH('County Scaled Consumption '!$B916,Production_Consumption!$AA$83:$AA$99,0),MATCH('County Scaled Consumption '!C$2,Production_Consumption!$AA$83:$AJ$83,0)))*'CA Population'!$L916*10^6</f>
        <v>1243.7434826622375</v>
      </c>
      <c r="D916" s="143">
        <f>(INDEX(Production_Consumption!$AA$83:$AJ$99,MATCH('County Scaled Consumption '!$B916,Production_Consumption!$AA$83:$AA$99,0),MATCH('County Scaled Consumption '!D$2,Production_Consumption!$AA$83:$AJ$83,0)))*'CA Population'!$L916*10^6</f>
        <v>4893.7811752471434</v>
      </c>
      <c r="E916" s="143">
        <f>(INDEX(Production_Consumption!$AA$83:$AJ$99,MATCH('County Scaled Consumption '!$B916,Production_Consumption!$AA$83:$AA$99,0),MATCH('County Scaled Consumption '!E$2,Production_Consumption!$AA$83:$AJ$83,0)))*'CA Population'!$L916*10^6</f>
        <v>3026.549240810763</v>
      </c>
      <c r="F916" s="143">
        <f>(INDEX(Production_Consumption!$AA$83:$AJ$99,MATCH('County Scaled Consumption '!$B916,Production_Consumption!$AA$83:$AA$99,0),MATCH('County Scaled Consumption '!F$2,Production_Consumption!$AA$83:$AJ$83,0)))*'CA Population'!$L916*10^6</f>
        <v>835.61967701295737</v>
      </c>
      <c r="G916" s="143">
        <f>(INDEX(Production_Consumption!$AA$83:$AJ$99,MATCH('County Scaled Consumption '!$B916,Production_Consumption!$AA$83:$AA$99,0),MATCH('County Scaled Consumption '!G$2,Production_Consumption!$AA$83:$AJ$83,0)))*'CA Population'!$L916*10^6</f>
        <v>3140.0856028372641</v>
      </c>
      <c r="H916" s="143">
        <f>(INDEX(Production_Consumption!$AA$83:$AJ$99,MATCH('County Scaled Consumption '!$B916,Production_Consumption!$AA$83:$AA$99,0),MATCH('County Scaled Consumption '!H$2,Production_Consumption!$AA$83:$AJ$83,0)))*'CA Population'!$L916*10^6</f>
        <v>87.618986304817795</v>
      </c>
      <c r="I916" s="143">
        <f>(INDEX(Production_Consumption!$AA$83:$AJ$99,MATCH('County Scaled Consumption '!$B916,Production_Consumption!$AA$83:$AA$99,0),MATCH('County Scaled Consumption '!I$2,Production_Consumption!$AA$83:$AJ$83,0)))*'CA Population'!$L916*10^6</f>
        <v>1698.8174729853818</v>
      </c>
      <c r="J916" s="143">
        <f>(INDEX(Production_Consumption!$AA$83:$AJ$99,MATCH('County Scaled Consumption '!$B916,Production_Consumption!$AA$83:$AA$99,0),MATCH('County Scaled Consumption '!J$2,Production_Consumption!$AA$83:$AJ$83,0)))*'CA Population'!$L916*10^6</f>
        <v>1107.6415040095128</v>
      </c>
      <c r="K916" s="143">
        <f>(INDEX(Production_Consumption!$AA$83:$AJ$99,MATCH('County Scaled Consumption '!$B916,Production_Consumption!$AA$83:$AA$99,0),MATCH('County Scaled Consumption '!K$2,Production_Consumption!$AA$83:$AJ$83,0)))*'CA Population'!$L916*10^6</f>
        <v>16033.857141870079</v>
      </c>
      <c r="L916" s="131">
        <f t="shared" si="14"/>
        <v>0</v>
      </c>
    </row>
    <row r="917" spans="1:12" x14ac:dyDescent="0.2">
      <c r="A917" s="132" t="s">
        <v>334</v>
      </c>
      <c r="B917" s="129">
        <v>2005</v>
      </c>
      <c r="C917" s="143">
        <f>(INDEX(Production_Consumption!$AA$83:$AJ$99,MATCH('County Scaled Consumption '!$B917,Production_Consumption!$AA$83:$AA$99,0),MATCH('County Scaled Consumption '!C$2,Production_Consumption!$AA$83:$AJ$83,0)))*'CA Population'!$L917*10^6</f>
        <v>37736.359569431617</v>
      </c>
      <c r="D917" s="143">
        <f>(INDEX(Production_Consumption!$AA$83:$AJ$99,MATCH('County Scaled Consumption '!$B917,Production_Consumption!$AA$83:$AA$99,0),MATCH('County Scaled Consumption '!D$2,Production_Consumption!$AA$83:$AJ$83,0)))*'CA Population'!$L917*10^6</f>
        <v>148481.97289681275</v>
      </c>
      <c r="E917" s="143">
        <f>(INDEX(Production_Consumption!$AA$83:$AJ$99,MATCH('County Scaled Consumption '!$B917,Production_Consumption!$AA$83:$AA$99,0),MATCH('County Scaled Consumption '!E$2,Production_Consumption!$AA$83:$AJ$83,0)))*'CA Population'!$L917*10^6</f>
        <v>91828.381010975267</v>
      </c>
      <c r="F917" s="143">
        <f>(INDEX(Production_Consumption!$AA$83:$AJ$99,MATCH('County Scaled Consumption '!$B917,Production_Consumption!$AA$83:$AA$99,0),MATCH('County Scaled Consumption '!F$2,Production_Consumption!$AA$83:$AJ$83,0)))*'CA Population'!$L917*10^6</f>
        <v>25353.495342589653</v>
      </c>
      <c r="G917" s="143">
        <f>(INDEX(Production_Consumption!$AA$83:$AJ$99,MATCH('County Scaled Consumption '!$B917,Production_Consumption!$AA$83:$AA$99,0),MATCH('County Scaled Consumption '!G$2,Production_Consumption!$AA$83:$AJ$83,0)))*'CA Population'!$L917*10^6</f>
        <v>95273.182162790181</v>
      </c>
      <c r="H917" s="143">
        <f>(INDEX(Production_Consumption!$AA$83:$AJ$99,MATCH('County Scaled Consumption '!$B917,Production_Consumption!$AA$83:$AA$99,0),MATCH('County Scaled Consumption '!H$2,Production_Consumption!$AA$83:$AJ$83,0)))*'CA Population'!$L917*10^6</f>
        <v>2658.4433353011837</v>
      </c>
      <c r="I917" s="143">
        <f>(INDEX(Production_Consumption!$AA$83:$AJ$99,MATCH('County Scaled Consumption '!$B917,Production_Consumption!$AA$83:$AA$99,0),MATCH('County Scaled Consumption '!I$2,Production_Consumption!$AA$83:$AJ$83,0)))*'CA Population'!$L917*10^6</f>
        <v>51543.737030233831</v>
      </c>
      <c r="J917" s="143">
        <f>(INDEX(Production_Consumption!$AA$83:$AJ$99,MATCH('County Scaled Consumption '!$B917,Production_Consumption!$AA$83:$AA$99,0),MATCH('County Scaled Consumption '!J$2,Production_Consumption!$AA$83:$AJ$83,0)))*'CA Population'!$L917*10^6</f>
        <v>33606.896158249183</v>
      </c>
      <c r="K917" s="143">
        <f>(INDEX(Production_Consumption!$AA$83:$AJ$99,MATCH('County Scaled Consumption '!$B917,Production_Consumption!$AA$83:$AA$99,0),MATCH('County Scaled Consumption '!K$2,Production_Consumption!$AA$83:$AJ$83,0)))*'CA Population'!$L917*10^6</f>
        <v>486482.46750638366</v>
      </c>
      <c r="L917" s="131">
        <f t="shared" si="14"/>
        <v>0</v>
      </c>
    </row>
    <row r="918" spans="1:12" x14ac:dyDescent="0.2">
      <c r="A918" s="132" t="s">
        <v>335</v>
      </c>
      <c r="B918" s="129">
        <v>2005</v>
      </c>
      <c r="C918" s="143">
        <f>(INDEX(Production_Consumption!$AA$83:$AJ$99,MATCH('County Scaled Consumption '!$B918,Production_Consumption!$AA$83:$AA$99,0),MATCH('County Scaled Consumption '!C$2,Production_Consumption!$AA$83:$AJ$83,0)))*'CA Population'!$L918*10^6</f>
        <v>3927.1072203295621</v>
      </c>
      <c r="D918" s="143">
        <f>(INDEX(Production_Consumption!$AA$83:$AJ$99,MATCH('County Scaled Consumption '!$B918,Production_Consumption!$AA$83:$AA$99,0),MATCH('County Scaled Consumption '!D$2,Production_Consumption!$AA$83:$AJ$83,0)))*'CA Population'!$L918*10^6</f>
        <v>15452.063593442021</v>
      </c>
      <c r="E918" s="143">
        <f>(INDEX(Production_Consumption!$AA$83:$AJ$99,MATCH('County Scaled Consumption '!$B918,Production_Consumption!$AA$83:$AA$99,0),MATCH('County Scaled Consumption '!E$2,Production_Consumption!$AA$83:$AJ$83,0)))*'CA Population'!$L918*10^6</f>
        <v>9556.2980163962493</v>
      </c>
      <c r="F918" s="143">
        <f>(INDEX(Production_Consumption!$AA$83:$AJ$99,MATCH('County Scaled Consumption '!$B918,Production_Consumption!$AA$83:$AA$99,0),MATCH('County Scaled Consumption '!F$2,Production_Consumption!$AA$83:$AJ$83,0)))*'CA Population'!$L918*10^6</f>
        <v>2638.4605127922623</v>
      </c>
      <c r="G918" s="143">
        <f>(INDEX(Production_Consumption!$AA$83:$AJ$99,MATCH('County Scaled Consumption '!$B918,Production_Consumption!$AA$83:$AA$99,0),MATCH('County Scaled Consumption '!G$2,Production_Consumption!$AA$83:$AJ$83,0)))*'CA Population'!$L918*10^6</f>
        <v>9914.7879086446374</v>
      </c>
      <c r="H918" s="143">
        <f>(INDEX(Production_Consumption!$AA$83:$AJ$99,MATCH('County Scaled Consumption '!$B918,Production_Consumption!$AA$83:$AA$99,0),MATCH('County Scaled Consumption '!H$2,Production_Consumption!$AA$83:$AJ$83,0)))*'CA Population'!$L918*10^6</f>
        <v>276.65604568160865</v>
      </c>
      <c r="I918" s="143">
        <f>(INDEX(Production_Consumption!$AA$83:$AJ$99,MATCH('County Scaled Consumption '!$B918,Production_Consumption!$AA$83:$AA$99,0),MATCH('County Scaled Consumption '!I$2,Production_Consumption!$AA$83:$AJ$83,0)))*'CA Population'!$L918*10^6</f>
        <v>5363.9986517980979</v>
      </c>
      <c r="J918" s="143">
        <f>(INDEX(Production_Consumption!$AA$83:$AJ$99,MATCH('County Scaled Consumption '!$B918,Production_Consumption!$AA$83:$AA$99,0),MATCH('County Scaled Consumption '!J$2,Production_Consumption!$AA$83:$AJ$83,0)))*'CA Population'!$L918*10^6</f>
        <v>3497.3666262930942</v>
      </c>
      <c r="K918" s="143">
        <f>(INDEX(Production_Consumption!$AA$83:$AJ$99,MATCH('County Scaled Consumption '!$B918,Production_Consumption!$AA$83:$AA$99,0),MATCH('County Scaled Consumption '!K$2,Production_Consumption!$AA$83:$AJ$83,0)))*'CA Population'!$L918*10^6</f>
        <v>50626.738575377538</v>
      </c>
      <c r="L918" s="131">
        <f t="shared" si="14"/>
        <v>0</v>
      </c>
    </row>
    <row r="919" spans="1:12" x14ac:dyDescent="0.2">
      <c r="A919" s="132" t="s">
        <v>336</v>
      </c>
      <c r="B919" s="129">
        <v>2005</v>
      </c>
      <c r="C919" s="143">
        <f>(INDEX(Production_Consumption!$AA$83:$AJ$99,MATCH('County Scaled Consumption '!$B919,Production_Consumption!$AA$83:$AA$99,0),MATCH('County Scaled Consumption '!C$2,Production_Consumption!$AA$83:$AJ$83,0)))*'CA Population'!$L919*10^6</f>
        <v>266.47817347658918</v>
      </c>
      <c r="D919" s="143">
        <f>(INDEX(Production_Consumption!$AA$83:$AJ$99,MATCH('County Scaled Consumption '!$B919,Production_Consumption!$AA$83:$AA$99,0),MATCH('County Scaled Consumption '!D$2,Production_Consumption!$AA$83:$AJ$83,0)))*'CA Population'!$L919*10^6</f>
        <v>1048.5167457380956</v>
      </c>
      <c r="E919" s="143">
        <f>(INDEX(Production_Consumption!$AA$83:$AJ$99,MATCH('County Scaled Consumption '!$B919,Production_Consumption!$AA$83:$AA$99,0),MATCH('County Scaled Consumption '!E$2,Production_Consumption!$AA$83:$AJ$83,0)))*'CA Population'!$L919*10^6</f>
        <v>648.45309733955241</v>
      </c>
      <c r="F919" s="143">
        <f>(INDEX(Production_Consumption!$AA$83:$AJ$99,MATCH('County Scaled Consumption '!$B919,Production_Consumption!$AA$83:$AA$99,0),MATCH('County Scaled Consumption '!F$2,Production_Consumption!$AA$83:$AJ$83,0)))*'CA Population'!$L919*10^6</f>
        <v>179.03563584902159</v>
      </c>
      <c r="G919" s="143">
        <f>(INDEX(Production_Consumption!$AA$83:$AJ$99,MATCH('County Scaled Consumption '!$B919,Production_Consumption!$AA$83:$AA$99,0),MATCH('County Scaled Consumption '!G$2,Production_Consumption!$AA$83:$AJ$83,0)))*'CA Population'!$L919*10^6</f>
        <v>672.77882269831991</v>
      </c>
      <c r="H919" s="143">
        <f>(INDEX(Production_Consumption!$AA$83:$AJ$99,MATCH('County Scaled Consumption '!$B919,Production_Consumption!$AA$83:$AA$99,0),MATCH('County Scaled Consumption '!H$2,Production_Consumption!$AA$83:$AJ$83,0)))*'CA Population'!$L919*10^6</f>
        <v>18.772799823964082</v>
      </c>
      <c r="I919" s="143">
        <f>(INDEX(Production_Consumption!$AA$83:$AJ$99,MATCH('County Scaled Consumption '!$B919,Production_Consumption!$AA$83:$AA$99,0),MATCH('County Scaled Consumption '!I$2,Production_Consumption!$AA$83:$AJ$83,0)))*'CA Population'!$L919*10^6</f>
        <v>363.98001965988851</v>
      </c>
      <c r="J919" s="143">
        <f>(INDEX(Production_Consumption!$AA$83:$AJ$99,MATCH('County Scaled Consumption '!$B919,Production_Consumption!$AA$83:$AA$99,0),MATCH('County Scaled Consumption '!J$2,Production_Consumption!$AA$83:$AJ$83,0)))*'CA Population'!$L919*10^6</f>
        <v>237.31765349517337</v>
      </c>
      <c r="K919" s="143">
        <f>(INDEX(Production_Consumption!$AA$83:$AJ$99,MATCH('County Scaled Consumption '!$B919,Production_Consumption!$AA$83:$AA$99,0),MATCH('County Scaled Consumption '!K$2,Production_Consumption!$AA$83:$AJ$83,0)))*'CA Population'!$L919*10^6</f>
        <v>3435.3329480806051</v>
      </c>
      <c r="L919" s="131">
        <f t="shared" si="14"/>
        <v>0</v>
      </c>
    </row>
    <row r="920" spans="1:12" x14ac:dyDescent="0.2">
      <c r="A920" s="132" t="s">
        <v>337</v>
      </c>
      <c r="B920" s="129">
        <v>2005</v>
      </c>
      <c r="C920" s="143">
        <f>(INDEX(Production_Consumption!$AA$83:$AJ$99,MATCH('County Scaled Consumption '!$B920,Production_Consumption!$AA$83:$AA$99,0),MATCH('County Scaled Consumption '!C$2,Production_Consumption!$AA$83:$AJ$83,0)))*'CA Population'!$L920*10^6</f>
        <v>24193.550817466607</v>
      </c>
      <c r="D920" s="143">
        <f>(INDEX(Production_Consumption!$AA$83:$AJ$99,MATCH('County Scaled Consumption '!$B920,Production_Consumption!$AA$83:$AA$99,0),MATCH('County Scaled Consumption '!D$2,Production_Consumption!$AA$83:$AJ$83,0)))*'CA Population'!$L920*10^6</f>
        <v>95194.825302297861</v>
      </c>
      <c r="E920" s="143">
        <f>(INDEX(Production_Consumption!$AA$83:$AJ$99,MATCH('County Scaled Consumption '!$B920,Production_Consumption!$AA$83:$AA$99,0),MATCH('County Scaled Consumption '!E$2,Production_Consumption!$AA$83:$AJ$83,0)))*'CA Population'!$L920*10^6</f>
        <v>58873.050496221404</v>
      </c>
      <c r="F920" s="143">
        <f>(INDEX(Production_Consumption!$AA$83:$AJ$99,MATCH('County Scaled Consumption '!$B920,Production_Consumption!$AA$83:$AA$99,0),MATCH('County Scaled Consumption '!F$2,Production_Consumption!$AA$83:$AJ$83,0)))*'CA Population'!$L920*10^6</f>
        <v>16254.643663831943</v>
      </c>
      <c r="G920" s="143">
        <f>(INDEX(Production_Consumption!$AA$83:$AJ$99,MATCH('County Scaled Consumption '!$B920,Production_Consumption!$AA$83:$AA$99,0),MATCH('County Scaled Consumption '!G$2,Production_Consumption!$AA$83:$AJ$83,0)))*'CA Population'!$L920*10^6</f>
        <v>61081.582868538877</v>
      </c>
      <c r="H920" s="143">
        <f>(INDEX(Production_Consumption!$AA$83:$AJ$99,MATCH('County Scaled Consumption '!$B920,Production_Consumption!$AA$83:$AA$99,0),MATCH('County Scaled Consumption '!H$2,Production_Consumption!$AA$83:$AJ$83,0)))*'CA Population'!$L920*10^6</f>
        <v>1704.382316201609</v>
      </c>
      <c r="I920" s="143">
        <f>(INDEX(Production_Consumption!$AA$83:$AJ$99,MATCH('County Scaled Consumption '!$B920,Production_Consumption!$AA$83:$AA$99,0),MATCH('County Scaled Consumption '!I$2,Production_Consumption!$AA$83:$AJ$83,0)))*'CA Population'!$L920*10^6</f>
        <v>33045.742498522624</v>
      </c>
      <c r="J920" s="143">
        <f>(INDEX(Production_Consumption!$AA$83:$AJ$99,MATCH('County Scaled Consumption '!$B920,Production_Consumption!$AA$83:$AA$99,0),MATCH('County Scaled Consumption '!J$2,Production_Consumption!$AA$83:$AJ$83,0)))*'CA Population'!$L920*10^6</f>
        <v>21546.067487669192</v>
      </c>
      <c r="K920" s="143">
        <f>(INDEX(Production_Consumption!$AA$83:$AJ$99,MATCH('County Scaled Consumption '!$B920,Production_Consumption!$AA$83:$AA$99,0),MATCH('County Scaled Consumption '!K$2,Production_Consumption!$AA$83:$AJ$83,0)))*'CA Population'!$L920*10^6</f>
        <v>311893.84545075014</v>
      </c>
      <c r="L920" s="131">
        <f t="shared" si="14"/>
        <v>0</v>
      </c>
    </row>
    <row r="921" spans="1:12" x14ac:dyDescent="0.2">
      <c r="A921" s="132" t="s">
        <v>338</v>
      </c>
      <c r="B921" s="129">
        <v>2005</v>
      </c>
      <c r="C921" s="143">
        <f>(INDEX(Production_Consumption!$AA$83:$AJ$99,MATCH('County Scaled Consumption '!$B921,Production_Consumption!$AA$83:$AA$99,0),MATCH('County Scaled Consumption '!C$2,Production_Consumption!$AA$83:$AJ$83,0)))*'CA Population'!$L921*10^6</f>
        <v>17235.866967343081</v>
      </c>
      <c r="D921" s="143">
        <f>(INDEX(Production_Consumption!$AA$83:$AJ$99,MATCH('County Scaled Consumption '!$B921,Production_Consumption!$AA$83:$AA$99,0),MATCH('County Scaled Consumption '!D$2,Production_Consumption!$AA$83:$AJ$83,0)))*'CA Population'!$L921*10^6</f>
        <v>67818.294109408525</v>
      </c>
      <c r="E921" s="143">
        <f>(INDEX(Production_Consumption!$AA$83:$AJ$99,MATCH('County Scaled Consumption '!$B921,Production_Consumption!$AA$83:$AA$99,0),MATCH('County Scaled Consumption '!E$2,Production_Consumption!$AA$83:$AJ$83,0)))*'CA Population'!$L921*10^6</f>
        <v>41942.089194363238</v>
      </c>
      <c r="F921" s="143">
        <f>(INDEX(Production_Consumption!$AA$83:$AJ$99,MATCH('County Scaled Consumption '!$B921,Production_Consumption!$AA$83:$AA$99,0),MATCH('County Scaled Consumption '!F$2,Production_Consumption!$AA$83:$AJ$83,0)))*'CA Population'!$L921*10^6</f>
        <v>11580.064369431426</v>
      </c>
      <c r="G921" s="143">
        <f>(INDEX(Production_Consumption!$AA$83:$AJ$99,MATCH('County Scaled Consumption '!$B921,Production_Consumption!$AA$83:$AA$99,0),MATCH('County Scaled Consumption '!G$2,Production_Consumption!$AA$83:$AJ$83,0)))*'CA Population'!$L921*10^6</f>
        <v>43515.482469684059</v>
      </c>
      <c r="H921" s="143">
        <f>(INDEX(Production_Consumption!$AA$83:$AJ$99,MATCH('County Scaled Consumption '!$B921,Production_Consumption!$AA$83:$AA$99,0),MATCH('County Scaled Consumption '!H$2,Production_Consumption!$AA$83:$AJ$83,0)))*'CA Population'!$L921*10^6</f>
        <v>1214.228828384073</v>
      </c>
      <c r="I921" s="143">
        <f>(INDEX(Production_Consumption!$AA$83:$AJ$99,MATCH('County Scaled Consumption '!$B921,Production_Consumption!$AA$83:$AA$99,0),MATCH('County Scaled Consumption '!I$2,Production_Consumption!$AA$83:$AJ$83,0)))*'CA Population'!$L921*10^6</f>
        <v>23542.30785877067</v>
      </c>
      <c r="J921" s="143">
        <f>(INDEX(Production_Consumption!$AA$83:$AJ$99,MATCH('County Scaled Consumption '!$B921,Production_Consumption!$AA$83:$AA$99,0),MATCH('County Scaled Consumption '!J$2,Production_Consumption!$AA$83:$AJ$83,0)))*'CA Population'!$L921*10^6</f>
        <v>15349.758110692626</v>
      </c>
      <c r="K921" s="143">
        <f>(INDEX(Production_Consumption!$AA$83:$AJ$99,MATCH('County Scaled Consumption '!$B921,Production_Consumption!$AA$83:$AA$99,0),MATCH('County Scaled Consumption '!K$2,Production_Consumption!$AA$83:$AJ$83,0)))*'CA Population'!$L921*10^6</f>
        <v>222198.09190807771</v>
      </c>
      <c r="L921" s="131">
        <f t="shared" si="14"/>
        <v>0</v>
      </c>
    </row>
    <row r="922" spans="1:12" x14ac:dyDescent="0.2">
      <c r="A922" s="132" t="s">
        <v>339</v>
      </c>
      <c r="B922" s="129">
        <v>2005</v>
      </c>
      <c r="C922" s="143">
        <f>(INDEX(Production_Consumption!$AA$83:$AJ$99,MATCH('County Scaled Consumption '!$B922,Production_Consumption!$AA$83:$AA$99,0),MATCH('County Scaled Consumption '!C$2,Production_Consumption!$AA$83:$AJ$83,0)))*'CA Population'!$L922*10^6</f>
        <v>704.75053723901965</v>
      </c>
      <c r="D922" s="143">
        <f>(INDEX(Production_Consumption!$AA$83:$AJ$99,MATCH('County Scaled Consumption '!$B922,Production_Consumption!$AA$83:$AA$99,0),MATCH('County Scaled Consumption '!D$2,Production_Consumption!$AA$83:$AJ$83,0)))*'CA Population'!$L922*10^6</f>
        <v>2772.9953647702769</v>
      </c>
      <c r="E922" s="143">
        <f>(INDEX(Production_Consumption!$AA$83:$AJ$99,MATCH('County Scaled Consumption '!$B922,Production_Consumption!$AA$83:$AA$99,0),MATCH('County Scaled Consumption '!E$2,Production_Consumption!$AA$83:$AJ$83,0)))*'CA Population'!$L922*10^6</f>
        <v>1714.953471656486</v>
      </c>
      <c r="F922" s="143">
        <f>(INDEX(Production_Consumption!$AA$83:$AJ$99,MATCH('County Scaled Consumption '!$B922,Production_Consumption!$AA$83:$AA$99,0),MATCH('County Scaled Consumption '!F$2,Production_Consumption!$AA$83:$AJ$83,0)))*'CA Population'!$L922*10^6</f>
        <v>473.49266509668689</v>
      </c>
      <c r="G922" s="143">
        <f>(INDEX(Production_Consumption!$AA$83:$AJ$99,MATCH('County Scaled Consumption '!$B922,Production_Consumption!$AA$83:$AA$99,0),MATCH('County Scaled Consumption '!G$2,Production_Consumption!$AA$83:$AJ$83,0)))*'CA Population'!$L922*10^6</f>
        <v>1779.2873260643644</v>
      </c>
      <c r="H922" s="143">
        <f>(INDEX(Production_Consumption!$AA$83:$AJ$99,MATCH('County Scaled Consumption '!$B922,Production_Consumption!$AA$83:$AA$99,0),MATCH('County Scaled Consumption '!H$2,Production_Consumption!$AA$83:$AJ$83,0)))*'CA Population'!$L922*10^6</f>
        <v>49.64812160340616</v>
      </c>
      <c r="I922" s="143">
        <f>(INDEX(Production_Consumption!$AA$83:$AJ$99,MATCH('County Scaled Consumption '!$B922,Production_Consumption!$AA$83:$AA$99,0),MATCH('County Scaled Consumption '!I$2,Production_Consumption!$AA$83:$AJ$83,0)))*'CA Population'!$L922*10^6</f>
        <v>962.61210084476556</v>
      </c>
      <c r="J922" s="143">
        <f>(INDEX(Production_Consumption!$AA$83:$AJ$99,MATCH('County Scaled Consumption '!$B922,Production_Consumption!$AA$83:$AA$99,0),MATCH('County Scaled Consumption '!J$2,Production_Consumption!$AA$83:$AJ$83,0)))*'CA Population'!$L922*10^6</f>
        <v>627.63017929391617</v>
      </c>
      <c r="K922" s="143">
        <f>(INDEX(Production_Consumption!$AA$83:$AJ$99,MATCH('County Scaled Consumption '!$B922,Production_Consumption!$AA$83:$AA$99,0),MATCH('County Scaled Consumption '!K$2,Production_Consumption!$AA$83:$AJ$83,0)))*'CA Population'!$L922*10^6</f>
        <v>9085.3697665689215</v>
      </c>
      <c r="L922" s="131">
        <f t="shared" si="14"/>
        <v>0</v>
      </c>
    </row>
    <row r="923" spans="1:12" x14ac:dyDescent="0.2">
      <c r="A923" s="132" t="s">
        <v>340</v>
      </c>
      <c r="B923" s="129">
        <v>2005</v>
      </c>
      <c r="C923" s="143">
        <f>(INDEX(Production_Consumption!$AA$83:$AJ$99,MATCH('County Scaled Consumption '!$B923,Production_Consumption!$AA$83:$AA$99,0),MATCH('County Scaled Consumption '!C$2,Production_Consumption!$AA$83:$AJ$83,0)))*'CA Population'!$L923*10^6</f>
        <v>24521.900934669942</v>
      </c>
      <c r="D923" s="143">
        <f>(INDEX(Production_Consumption!$AA$83:$AJ$99,MATCH('County Scaled Consumption '!$B923,Production_Consumption!$AA$83:$AA$99,0),MATCH('County Scaled Consumption '!D$2,Production_Consumption!$AA$83:$AJ$83,0)))*'CA Population'!$L923*10^6</f>
        <v>96486.79076371307</v>
      </c>
      <c r="E923" s="143">
        <f>(INDEX(Production_Consumption!$AA$83:$AJ$99,MATCH('County Scaled Consumption '!$B923,Production_Consumption!$AA$83:$AA$99,0),MATCH('County Scaled Consumption '!E$2,Production_Consumption!$AA$83:$AJ$83,0)))*'CA Population'!$L923*10^6</f>
        <v>59672.063967885762</v>
      </c>
      <c r="F923" s="143">
        <f>(INDEX(Production_Consumption!$AA$83:$AJ$99,MATCH('County Scaled Consumption '!$B923,Production_Consumption!$AA$83:$AA$99,0),MATCH('County Scaled Consumption '!F$2,Production_Consumption!$AA$83:$AJ$83,0)))*'CA Population'!$L923*10^6</f>
        <v>16475.248493291889</v>
      </c>
      <c r="G923" s="143">
        <f>(INDEX(Production_Consumption!$AA$83:$AJ$99,MATCH('County Scaled Consumption '!$B923,Production_Consumption!$AA$83:$AA$99,0),MATCH('County Scaled Consumption '!G$2,Production_Consumption!$AA$83:$AJ$83,0)))*'CA Population'!$L923*10^6</f>
        <v>61910.570107541855</v>
      </c>
      <c r="H923" s="143">
        <f>(INDEX(Production_Consumption!$AA$83:$AJ$99,MATCH('County Scaled Consumption '!$B923,Production_Consumption!$AA$83:$AA$99,0),MATCH('County Scaled Consumption '!H$2,Production_Consumption!$AA$83:$AJ$83,0)))*'CA Population'!$L923*10^6</f>
        <v>1727.5138580536657</v>
      </c>
      <c r="I923" s="143">
        <f>(INDEX(Production_Consumption!$AA$83:$AJ$99,MATCH('County Scaled Consumption '!$B923,Production_Consumption!$AA$83:$AA$99,0),MATCH('County Scaled Consumption '!I$2,Production_Consumption!$AA$83:$AJ$83,0)))*'CA Population'!$L923*10^6</f>
        <v>33494.232821597798</v>
      </c>
      <c r="J923" s="143">
        <f>(INDEX(Production_Consumption!$AA$83:$AJ$99,MATCH('County Scaled Consumption '!$B923,Production_Consumption!$AA$83:$AA$99,0),MATCH('County Scaled Consumption '!J$2,Production_Consumption!$AA$83:$AJ$83,0)))*'CA Population'!$L923*10^6</f>
        <v>21838.486481401174</v>
      </c>
      <c r="K923" s="143">
        <f>(INDEX(Production_Consumption!$AA$83:$AJ$99,MATCH('County Scaled Consumption '!$B923,Production_Consumption!$AA$83:$AA$99,0),MATCH('County Scaled Consumption '!K$2,Production_Consumption!$AA$83:$AJ$83,0)))*'CA Population'!$L923*10^6</f>
        <v>316126.80742815521</v>
      </c>
      <c r="L923" s="131">
        <f t="shared" si="14"/>
        <v>0</v>
      </c>
    </row>
    <row r="924" spans="1:12" x14ac:dyDescent="0.2">
      <c r="A924" s="132" t="s">
        <v>341</v>
      </c>
      <c r="B924" s="129">
        <v>2005</v>
      </c>
      <c r="C924" s="143">
        <f>(INDEX(Production_Consumption!$AA$83:$AJ$99,MATCH('County Scaled Consumption '!$B924,Production_Consumption!$AA$83:$AA$99,0),MATCH('County Scaled Consumption '!C$2,Production_Consumption!$AA$83:$AJ$83,0)))*'CA Population'!$L924*10^6</f>
        <v>37863.166424396339</v>
      </c>
      <c r="D924" s="143">
        <f>(INDEX(Production_Consumption!$AA$83:$AJ$99,MATCH('County Scaled Consumption '!$B924,Production_Consumption!$AA$83:$AA$99,0),MATCH('County Scaled Consumption '!D$2,Production_Consumption!$AA$83:$AJ$83,0)))*'CA Population'!$L924*10^6</f>
        <v>148980.92224478471</v>
      </c>
      <c r="E924" s="143">
        <f>(INDEX(Production_Consumption!$AA$83:$AJ$99,MATCH('County Scaled Consumption '!$B924,Production_Consumption!$AA$83:$AA$99,0),MATCH('County Scaled Consumption '!E$2,Production_Consumption!$AA$83:$AJ$83,0)))*'CA Population'!$L924*10^6</f>
        <v>92136.955243502365</v>
      </c>
      <c r="F924" s="143">
        <f>(INDEX(Production_Consumption!$AA$83:$AJ$99,MATCH('County Scaled Consumption '!$B924,Production_Consumption!$AA$83:$AA$99,0),MATCH('County Scaled Consumption '!F$2,Production_Consumption!$AA$83:$AJ$83,0)))*'CA Population'!$L924*10^6</f>
        <v>25438.691610683327</v>
      </c>
      <c r="G924" s="143">
        <f>(INDEX(Production_Consumption!$AA$83:$AJ$99,MATCH('County Scaled Consumption '!$B924,Production_Consumption!$AA$83:$AA$99,0),MATCH('County Scaled Consumption '!G$2,Production_Consumption!$AA$83:$AJ$83,0)))*'CA Population'!$L924*10^6</f>
        <v>95593.332085315604</v>
      </c>
      <c r="H924" s="143">
        <f>(INDEX(Production_Consumption!$AA$83:$AJ$99,MATCH('County Scaled Consumption '!$B924,Production_Consumption!$AA$83:$AA$99,0),MATCH('County Scaled Consumption '!H$2,Production_Consumption!$AA$83:$AJ$83,0)))*'CA Population'!$L924*10^6</f>
        <v>2667.3765986656913</v>
      </c>
      <c r="I924" s="143">
        <f>(INDEX(Production_Consumption!$AA$83:$AJ$99,MATCH('County Scaled Consumption '!$B924,Production_Consumption!$AA$83:$AA$99,0),MATCH('County Scaled Consumption '!I$2,Production_Consumption!$AA$83:$AJ$83,0)))*'CA Population'!$L924*10^6</f>
        <v>51716.941315451302</v>
      </c>
      <c r="J924" s="143">
        <f>(INDEX(Production_Consumption!$AA$83:$AJ$99,MATCH('County Scaled Consumption '!$B924,Production_Consumption!$AA$83:$AA$99,0),MATCH('County Scaled Consumption '!J$2,Production_Consumption!$AA$83:$AJ$83,0)))*'CA Population'!$L924*10^6</f>
        <v>33719.826627843438</v>
      </c>
      <c r="K924" s="143">
        <f>(INDEX(Production_Consumption!$AA$83:$AJ$99,MATCH('County Scaled Consumption '!$B924,Production_Consumption!$AA$83:$AA$99,0),MATCH('County Scaled Consumption '!K$2,Production_Consumption!$AA$83:$AJ$83,0)))*'CA Population'!$L924*10^6</f>
        <v>488117.21215064282</v>
      </c>
      <c r="L924" s="131">
        <f t="shared" si="14"/>
        <v>0</v>
      </c>
    </row>
    <row r="925" spans="1:12" x14ac:dyDescent="0.2">
      <c r="A925" s="132" t="s">
        <v>342</v>
      </c>
      <c r="B925" s="129">
        <v>2005</v>
      </c>
      <c r="C925" s="143">
        <f>(INDEX(Production_Consumption!$AA$83:$AJ$99,MATCH('County Scaled Consumption '!$B925,Production_Consumption!$AA$83:$AA$99,0),MATCH('County Scaled Consumption '!C$2,Production_Consumption!$AA$83:$AJ$83,0)))*'CA Population'!$L925*10^6</f>
        <v>9957.0309736676081</v>
      </c>
      <c r="D925" s="143">
        <f>(INDEX(Production_Consumption!$AA$83:$AJ$99,MATCH('County Scaled Consumption '!$B925,Production_Consumption!$AA$83:$AA$99,0),MATCH('County Scaled Consumption '!D$2,Production_Consumption!$AA$83:$AJ$83,0)))*'CA Population'!$L925*10^6</f>
        <v>39178.11945915554</v>
      </c>
      <c r="E925" s="143">
        <f>(INDEX(Production_Consumption!$AA$83:$AJ$99,MATCH('County Scaled Consumption '!$B925,Production_Consumption!$AA$83:$AA$99,0),MATCH('County Scaled Consumption '!E$2,Production_Consumption!$AA$83:$AJ$83,0)))*'CA Population'!$L925*10^6</f>
        <v>24229.630107952747</v>
      </c>
      <c r="F925" s="143">
        <f>(INDEX(Production_Consumption!$AA$83:$AJ$99,MATCH('County Scaled Consumption '!$B925,Production_Consumption!$AA$83:$AA$99,0),MATCH('County Scaled Consumption '!F$2,Production_Consumption!$AA$83:$AJ$83,0)))*'CA Population'!$L925*10^6</f>
        <v>6689.7162656197606</v>
      </c>
      <c r="G925" s="143">
        <f>(INDEX(Production_Consumption!$AA$83:$AJ$99,MATCH('County Scaled Consumption '!$B925,Production_Consumption!$AA$83:$AA$99,0),MATCH('County Scaled Consumption '!G$2,Production_Consumption!$AA$83:$AJ$83,0)))*'CA Population'!$L925*10^6</f>
        <v>25138.567593129028</v>
      </c>
      <c r="H925" s="143">
        <f>(INDEX(Production_Consumption!$AA$83:$AJ$99,MATCH('County Scaled Consumption '!$B925,Production_Consumption!$AA$83:$AA$99,0),MATCH('County Scaled Consumption '!H$2,Production_Consumption!$AA$83:$AJ$83,0)))*'CA Population'!$L925*10^6</f>
        <v>701.45088008903565</v>
      </c>
      <c r="I925" s="143">
        <f>(INDEX(Production_Consumption!$AA$83:$AJ$99,MATCH('County Scaled Consumption '!$B925,Production_Consumption!$AA$83:$AA$99,0),MATCH('County Scaled Consumption '!I$2,Production_Consumption!$AA$83:$AJ$83,0)))*'CA Population'!$L925*10^6</f>
        <v>13600.21454015275</v>
      </c>
      <c r="J925" s="143">
        <f>(INDEX(Production_Consumption!$AA$83:$AJ$99,MATCH('County Scaled Consumption '!$B925,Production_Consumption!$AA$83:$AA$99,0),MATCH('County Scaled Consumption '!J$2,Production_Consumption!$AA$83:$AJ$83,0)))*'CA Population'!$L925*10^6</f>
        <v>8867.4400444175699</v>
      </c>
      <c r="K925" s="143">
        <f>(INDEX(Production_Consumption!$AA$83:$AJ$99,MATCH('County Scaled Consumption '!$B925,Production_Consumption!$AA$83:$AA$99,0),MATCH('County Scaled Consumption '!K$2,Production_Consumption!$AA$83:$AJ$83,0)))*'CA Population'!$L925*10^6</f>
        <v>128362.16986418406</v>
      </c>
      <c r="L925" s="131">
        <f t="shared" si="14"/>
        <v>0</v>
      </c>
    </row>
    <row r="926" spans="1:12" x14ac:dyDescent="0.2">
      <c r="A926" s="132" t="s">
        <v>343</v>
      </c>
      <c r="B926" s="129">
        <v>2005</v>
      </c>
      <c r="C926" s="143">
        <f>(INDEX(Production_Consumption!$AA$83:$AJ$99,MATCH('County Scaled Consumption '!$B926,Production_Consumption!$AA$83:$AA$99,0),MATCH('County Scaled Consumption '!C$2,Production_Consumption!$AA$83:$AJ$83,0)))*'CA Population'!$L926*10^6</f>
        <v>8232.4781659307992</v>
      </c>
      <c r="D926" s="143">
        <f>(INDEX(Production_Consumption!$AA$83:$AJ$99,MATCH('County Scaled Consumption '!$B926,Production_Consumption!$AA$83:$AA$99,0),MATCH('County Scaled Consumption '!D$2,Production_Consumption!$AA$83:$AJ$83,0)))*'CA Population'!$L926*10^6</f>
        <v>32392.488672848191</v>
      </c>
      <c r="E926" s="143">
        <f>(INDEX(Production_Consumption!$AA$83:$AJ$99,MATCH('County Scaled Consumption '!$B926,Production_Consumption!$AA$83:$AA$99,0),MATCH('County Scaled Consumption '!E$2,Production_Consumption!$AA$83:$AJ$83,0)))*'CA Population'!$L926*10^6</f>
        <v>20033.070235476738</v>
      </c>
      <c r="F926" s="143">
        <f>(INDEX(Production_Consumption!$AA$83:$AJ$99,MATCH('County Scaled Consumption '!$B926,Production_Consumption!$AA$83:$AA$99,0),MATCH('County Scaled Consumption '!F$2,Production_Consumption!$AA$83:$AJ$83,0)))*'CA Population'!$L926*10^6</f>
        <v>5531.0607387516293</v>
      </c>
      <c r="G926" s="143">
        <f>(INDEX(Production_Consumption!$AA$83:$AJ$99,MATCH('County Scaled Consumption '!$B926,Production_Consumption!$AA$83:$AA$99,0),MATCH('County Scaled Consumption '!G$2,Production_Consumption!$AA$83:$AJ$83,0)))*'CA Population'!$L926*10^6</f>
        <v>20784.58020071626</v>
      </c>
      <c r="H926" s="143">
        <f>(INDEX(Production_Consumption!$AA$83:$AJ$99,MATCH('County Scaled Consumption '!$B926,Production_Consumption!$AA$83:$AA$99,0),MATCH('County Scaled Consumption '!H$2,Production_Consumption!$AA$83:$AJ$83,0)))*'CA Population'!$L926*10^6</f>
        <v>579.95993686046199</v>
      </c>
      <c r="I926" s="143">
        <f>(INDEX(Production_Consumption!$AA$83:$AJ$99,MATCH('County Scaled Consumption '!$B926,Production_Consumption!$AA$83:$AA$99,0),MATCH('County Scaled Consumption '!I$2,Production_Consumption!$AA$83:$AJ$83,0)))*'CA Population'!$L926*10^6</f>
        <v>11244.664152384483</v>
      </c>
      <c r="J926" s="143">
        <f>(INDEX(Production_Consumption!$AA$83:$AJ$99,MATCH('County Scaled Consumption '!$B926,Production_Consumption!$AA$83:$AA$99,0),MATCH('County Scaled Consumption '!J$2,Production_Consumption!$AA$83:$AJ$83,0)))*'CA Population'!$L926*10^6</f>
        <v>7331.6038431965062</v>
      </c>
      <c r="K926" s="143">
        <f>(INDEX(Production_Consumption!$AA$83:$AJ$99,MATCH('County Scaled Consumption '!$B926,Production_Consumption!$AA$83:$AA$99,0),MATCH('County Scaled Consumption '!K$2,Production_Consumption!$AA$83:$AJ$83,0)))*'CA Population'!$L926*10^6</f>
        <v>106129.90594616509</v>
      </c>
      <c r="L926" s="131">
        <f t="shared" si="14"/>
        <v>0</v>
      </c>
    </row>
    <row r="927" spans="1:12" x14ac:dyDescent="0.2">
      <c r="A927" s="132" t="s">
        <v>344</v>
      </c>
      <c r="B927" s="129">
        <v>2005</v>
      </c>
      <c r="C927" s="143">
        <f>(INDEX(Production_Consumption!$AA$83:$AJ$99,MATCH('County Scaled Consumption '!$B927,Production_Consumption!$AA$83:$AA$99,0),MATCH('County Scaled Consumption '!C$2,Production_Consumption!$AA$83:$AJ$83,0)))*'CA Population'!$L927*10^6</f>
        <v>3308.170822863367</v>
      </c>
      <c r="D927" s="143">
        <f>(INDEX(Production_Consumption!$AA$83:$AJ$99,MATCH('County Scaled Consumption '!$B927,Production_Consumption!$AA$83:$AA$99,0),MATCH('County Scaled Consumption '!D$2,Production_Consumption!$AA$83:$AJ$83,0)))*'CA Population'!$L927*10^6</f>
        <v>13016.722759243725</v>
      </c>
      <c r="E927" s="143">
        <f>(INDEX(Production_Consumption!$AA$83:$AJ$99,MATCH('County Scaled Consumption '!$B927,Production_Consumption!$AA$83:$AA$99,0),MATCH('County Scaled Consumption '!E$2,Production_Consumption!$AA$83:$AJ$83,0)))*'CA Population'!$L927*10^6</f>
        <v>8050.1663180401056</v>
      </c>
      <c r="F927" s="143">
        <f>(INDEX(Production_Consumption!$AA$83:$AJ$99,MATCH('County Scaled Consumption '!$B927,Production_Consumption!$AA$83:$AA$99,0),MATCH('County Scaled Consumption '!F$2,Production_Consumption!$AA$83:$AJ$83,0)))*'CA Population'!$L927*10^6</f>
        <v>2222.6228101212846</v>
      </c>
      <c r="G927" s="143">
        <f>(INDEX(Production_Consumption!$AA$83:$AJ$99,MATCH('County Scaled Consumption '!$B927,Production_Consumption!$AA$83:$AA$99,0),MATCH('County Scaled Consumption '!G$2,Production_Consumption!$AA$83:$AJ$83,0)))*'CA Population'!$L927*10^6</f>
        <v>8352.1559850622398</v>
      </c>
      <c r="H927" s="143">
        <f>(INDEX(Production_Consumption!$AA$83:$AJ$99,MATCH('County Scaled Consumption '!$B927,Production_Consumption!$AA$83:$AA$99,0),MATCH('County Scaled Consumption '!H$2,Production_Consumption!$AA$83:$AJ$83,0)))*'CA Population'!$L927*10^6</f>
        <v>233.05334103300774</v>
      </c>
      <c r="I927" s="143">
        <f>(INDEX(Production_Consumption!$AA$83:$AJ$99,MATCH('County Scaled Consumption '!$B927,Production_Consumption!$AA$83:$AA$99,0),MATCH('County Scaled Consumption '!I$2,Production_Consumption!$AA$83:$AJ$83,0)))*'CA Population'!$L927*10^6</f>
        <v>4518.5992737595152</v>
      </c>
      <c r="J927" s="143">
        <f>(INDEX(Production_Consumption!$AA$83:$AJ$99,MATCH('County Scaled Consumption '!$B927,Production_Consumption!$AA$83:$AA$99,0),MATCH('County Scaled Consumption '!J$2,Production_Consumption!$AA$83:$AJ$83,0)))*'CA Population'!$L927*10^6</f>
        <v>2946.160005528945</v>
      </c>
      <c r="K927" s="143">
        <f>(INDEX(Production_Consumption!$AA$83:$AJ$99,MATCH('County Scaled Consumption '!$B927,Production_Consumption!$AA$83:$AA$99,0),MATCH('County Scaled Consumption '!K$2,Production_Consumption!$AA$83:$AJ$83,0)))*'CA Population'!$L927*10^6</f>
        <v>42647.651315652191</v>
      </c>
      <c r="L927" s="131">
        <f t="shared" si="14"/>
        <v>0</v>
      </c>
    </row>
    <row r="928" spans="1:12" x14ac:dyDescent="0.2">
      <c r="A928" s="132" t="s">
        <v>345</v>
      </c>
      <c r="B928" s="129">
        <v>2005</v>
      </c>
      <c r="C928" s="143">
        <f>(INDEX(Production_Consumption!$AA$83:$AJ$99,MATCH('County Scaled Consumption '!$B928,Production_Consumption!$AA$83:$AA$99,0),MATCH('County Scaled Consumption '!C$2,Production_Consumption!$AA$83:$AJ$83,0)))*'CA Population'!$L928*10^6</f>
        <v>8938.1220686939268</v>
      </c>
      <c r="D928" s="143">
        <f>(INDEX(Production_Consumption!$AA$83:$AJ$99,MATCH('County Scaled Consumption '!$B928,Production_Consumption!$AA$83:$AA$99,0),MATCH('County Scaled Consumption '!D$2,Production_Consumption!$AA$83:$AJ$83,0)))*'CA Population'!$L928*10^6</f>
        <v>35168.999179965293</v>
      </c>
      <c r="E928" s="143">
        <f>(INDEX(Production_Consumption!$AA$83:$AJ$99,MATCH('County Scaled Consumption '!$B928,Production_Consumption!$AA$83:$AA$99,0),MATCH('County Scaled Consumption '!E$2,Production_Consumption!$AA$83:$AJ$83,0)))*'CA Population'!$L928*10^6</f>
        <v>21750.197639930819</v>
      </c>
      <c r="F928" s="143">
        <f>(INDEX(Production_Consumption!$AA$83:$AJ$99,MATCH('County Scaled Consumption '!$B928,Production_Consumption!$AA$83:$AA$99,0),MATCH('County Scaled Consumption '!F$2,Production_Consumption!$AA$83:$AJ$83,0)))*'CA Population'!$L928*10^6</f>
        <v>6005.1536191025989</v>
      </c>
      <c r="G928" s="143">
        <f>(INDEX(Production_Consumption!$AA$83:$AJ$99,MATCH('County Scaled Consumption '!$B928,Production_Consumption!$AA$83:$AA$99,0),MATCH('County Scaled Consumption '!G$2,Production_Consumption!$AA$83:$AJ$83,0)))*'CA Population'!$L928*10^6</f>
        <v>22566.123011339478</v>
      </c>
      <c r="H928" s="143">
        <f>(INDEX(Production_Consumption!$AA$83:$AJ$99,MATCH('County Scaled Consumption '!$B928,Production_Consumption!$AA$83:$AA$99,0),MATCH('County Scaled Consumption '!H$2,Production_Consumption!$AA$83:$AJ$83,0)))*'CA Population'!$L928*10^6</f>
        <v>629.67099409546188</v>
      </c>
      <c r="I928" s="143">
        <f>(INDEX(Production_Consumption!$AA$83:$AJ$99,MATCH('County Scaled Consumption '!$B928,Production_Consumption!$AA$83:$AA$99,0),MATCH('County Scaled Consumption '!I$2,Production_Consumption!$AA$83:$AJ$83,0)))*'CA Population'!$L928*10^6</f>
        <v>12208.496492758761</v>
      </c>
      <c r="J928" s="143">
        <f>(INDEX(Production_Consumption!$AA$83:$AJ$99,MATCH('County Scaled Consumption '!$B928,Production_Consumption!$AA$83:$AA$99,0),MATCH('County Scaled Consumption '!J$2,Production_Consumption!$AA$83:$AJ$83,0)))*'CA Population'!$L928*10^6</f>
        <v>7960.0296276506069</v>
      </c>
      <c r="K928" s="143">
        <f>(INDEX(Production_Consumption!$AA$83:$AJ$99,MATCH('County Scaled Consumption '!$B928,Production_Consumption!$AA$83:$AA$99,0),MATCH('County Scaled Consumption '!K$2,Production_Consumption!$AA$83:$AJ$83,0)))*'CA Population'!$L928*10^6</f>
        <v>115226.79263353696</v>
      </c>
      <c r="L928" s="131">
        <f t="shared" si="14"/>
        <v>0</v>
      </c>
    </row>
    <row r="929" spans="1:12" x14ac:dyDescent="0.2">
      <c r="A929" s="132" t="s">
        <v>346</v>
      </c>
      <c r="B929" s="129">
        <v>2005</v>
      </c>
      <c r="C929" s="143">
        <f>(INDEX(Production_Consumption!$AA$83:$AJ$99,MATCH('County Scaled Consumption '!$B929,Production_Consumption!$AA$83:$AA$99,0),MATCH('County Scaled Consumption '!C$2,Production_Consumption!$AA$83:$AJ$83,0)))*'CA Population'!$L929*10^6</f>
        <v>5250.9473034103376</v>
      </c>
      <c r="D929" s="143">
        <f>(INDEX(Production_Consumption!$AA$83:$AJ$99,MATCH('County Scaled Consumption '!$B929,Production_Consumption!$AA$83:$AA$99,0),MATCH('County Scaled Consumption '!D$2,Production_Consumption!$AA$83:$AJ$83,0)))*'CA Population'!$L929*10^6</f>
        <v>20661.002388241479</v>
      </c>
      <c r="E929" s="143">
        <f>(INDEX(Production_Consumption!$AA$83:$AJ$99,MATCH('County Scaled Consumption '!$B929,Production_Consumption!$AA$83:$AA$99,0),MATCH('County Scaled Consumption '!E$2,Production_Consumption!$AA$83:$AJ$83,0)))*'CA Population'!$L929*10^6</f>
        <v>12777.755860602752</v>
      </c>
      <c r="F929" s="143">
        <f>(INDEX(Production_Consumption!$AA$83:$AJ$99,MATCH('County Scaled Consumption '!$B929,Production_Consumption!$AA$83:$AA$99,0),MATCH('County Scaled Consumption '!F$2,Production_Consumption!$AA$83:$AJ$83,0)))*'CA Population'!$L929*10^6</f>
        <v>3527.8937746035176</v>
      </c>
      <c r="G929" s="143">
        <f>(INDEX(Production_Consumption!$AA$83:$AJ$99,MATCH('County Scaled Consumption '!$B929,Production_Consumption!$AA$83:$AA$99,0),MATCH('County Scaled Consumption '!G$2,Production_Consumption!$AA$83:$AJ$83,0)))*'CA Population'!$L929*10^6</f>
        <v>13257.093812787201</v>
      </c>
      <c r="H929" s="143">
        <f>(INDEX(Production_Consumption!$AA$83:$AJ$99,MATCH('County Scaled Consumption '!$B929,Production_Consumption!$AA$83:$AA$99,0),MATCH('County Scaled Consumption '!H$2,Production_Consumption!$AA$83:$AJ$83,0)))*'CA Population'!$L929*10^6</f>
        <v>369.91766089903172</v>
      </c>
      <c r="I929" s="143">
        <f>(INDEX(Production_Consumption!$AA$83:$AJ$99,MATCH('County Scaled Consumption '!$B929,Production_Consumption!$AA$83:$AA$99,0),MATCH('County Scaled Consumption '!I$2,Production_Consumption!$AA$83:$AJ$83,0)))*'CA Population'!$L929*10^6</f>
        <v>7172.2193146007921</v>
      </c>
      <c r="J929" s="143">
        <f>(INDEX(Production_Consumption!$AA$83:$AJ$99,MATCH('County Scaled Consumption '!$B929,Production_Consumption!$AA$83:$AA$99,0),MATCH('County Scaled Consumption '!J$2,Production_Consumption!$AA$83:$AJ$83,0)))*'CA Population'!$L929*10^6</f>
        <v>4676.3398158071905</v>
      </c>
      <c r="K929" s="143">
        <f>(INDEX(Production_Consumption!$AA$83:$AJ$99,MATCH('County Scaled Consumption '!$B929,Production_Consumption!$AA$83:$AA$99,0),MATCH('County Scaled Consumption '!K$2,Production_Consumption!$AA$83:$AJ$83,0)))*'CA Population'!$L929*10^6</f>
        <v>67693.16993095231</v>
      </c>
      <c r="L929" s="131">
        <f t="shared" si="14"/>
        <v>0</v>
      </c>
    </row>
    <row r="930" spans="1:12" x14ac:dyDescent="0.2">
      <c r="A930" s="132" t="s">
        <v>347</v>
      </c>
      <c r="B930" s="129">
        <v>2005</v>
      </c>
      <c r="C930" s="143">
        <f>(INDEX(Production_Consumption!$AA$83:$AJ$99,MATCH('County Scaled Consumption '!$B930,Production_Consumption!$AA$83:$AA$99,0),MATCH('County Scaled Consumption '!C$2,Production_Consumption!$AA$83:$AJ$83,0)))*'CA Population'!$L930*10^6</f>
        <v>21673.481535241466</v>
      </c>
      <c r="D930" s="143">
        <f>(INDEX(Production_Consumption!$AA$83:$AJ$99,MATCH('County Scaled Consumption '!$B930,Production_Consumption!$AA$83:$AA$99,0),MATCH('County Scaled Consumption '!D$2,Production_Consumption!$AA$83:$AJ$83,0)))*'CA Population'!$L930*10^6</f>
        <v>85279.060688782993</v>
      </c>
      <c r="E930" s="143">
        <f>(INDEX(Production_Consumption!$AA$83:$AJ$99,MATCH('County Scaled Consumption '!$B930,Production_Consumption!$AA$83:$AA$99,0),MATCH('County Scaled Consumption '!E$2,Production_Consumption!$AA$83:$AJ$83,0)))*'CA Population'!$L930*10^6</f>
        <v>52740.665579853317</v>
      </c>
      <c r="F930" s="143">
        <f>(INDEX(Production_Consumption!$AA$83:$AJ$99,MATCH('County Scaled Consumption '!$B930,Production_Consumption!$AA$83:$AA$99,0),MATCH('County Scaled Consumption '!F$2,Production_Consumption!$AA$83:$AJ$83,0)))*'CA Population'!$L930*10^6</f>
        <v>14561.513602031959</v>
      </c>
      <c r="G930" s="143">
        <f>(INDEX(Production_Consumption!$AA$83:$AJ$99,MATCH('County Scaled Consumption '!$B930,Production_Consumption!$AA$83:$AA$99,0),MATCH('County Scaled Consumption '!G$2,Production_Consumption!$AA$83:$AJ$83,0)))*'CA Population'!$L930*10^6</f>
        <v>54719.150918882107</v>
      </c>
      <c r="H930" s="143">
        <f>(INDEX(Production_Consumption!$AA$83:$AJ$99,MATCH('County Scaled Consumption '!$B930,Production_Consumption!$AA$83:$AA$99,0),MATCH('County Scaled Consumption '!H$2,Production_Consumption!$AA$83:$AJ$83,0)))*'CA Population'!$L930*10^6</f>
        <v>1526.8489911997037</v>
      </c>
      <c r="I930" s="143">
        <f>(INDEX(Production_Consumption!$AA$83:$AJ$99,MATCH('County Scaled Consumption '!$B930,Production_Consumption!$AA$83:$AA$99,0),MATCH('County Scaled Consumption '!I$2,Production_Consumption!$AA$83:$AJ$83,0)))*'CA Population'!$L930*10^6</f>
        <v>29603.603673711255</v>
      </c>
      <c r="J930" s="143">
        <f>(INDEX(Production_Consumption!$AA$83:$AJ$99,MATCH('County Scaled Consumption '!$B930,Production_Consumption!$AA$83:$AA$99,0),MATCH('County Scaled Consumption '!J$2,Production_Consumption!$AA$83:$AJ$83,0)))*'CA Population'!$L930*10^6</f>
        <v>19301.767622879415</v>
      </c>
      <c r="K930" s="143">
        <f>(INDEX(Production_Consumption!$AA$83:$AJ$99,MATCH('County Scaled Consumption '!$B930,Production_Consumption!$AA$83:$AA$99,0),MATCH('County Scaled Consumption '!K$2,Production_Consumption!$AA$83:$AJ$83,0)))*'CA Population'!$L930*10^6</f>
        <v>279406.09261258226</v>
      </c>
      <c r="L930" s="131">
        <f t="shared" si="14"/>
        <v>0</v>
      </c>
    </row>
    <row r="931" spans="1:12" x14ac:dyDescent="0.2">
      <c r="A931" s="132" t="s">
        <v>348</v>
      </c>
      <c r="B931" s="129">
        <v>2005</v>
      </c>
      <c r="C931" s="143">
        <f>(INDEX(Production_Consumption!$AA$83:$AJ$99,MATCH('County Scaled Consumption '!$B931,Production_Consumption!$AA$83:$AA$99,0),MATCH('County Scaled Consumption '!C$2,Production_Consumption!$AA$83:$AJ$83,0)))*'CA Population'!$L931*10^6</f>
        <v>3251.6335475520023</v>
      </c>
      <c r="D931" s="143">
        <f>(INDEX(Production_Consumption!$AA$83:$AJ$99,MATCH('County Scaled Consumption '!$B931,Production_Consumption!$AA$83:$AA$99,0),MATCH('County Scaled Consumption '!D$2,Production_Consumption!$AA$83:$AJ$83,0)))*'CA Population'!$L931*10^6</f>
        <v>12794.264465009061</v>
      </c>
      <c r="E931" s="143">
        <f>(INDEX(Production_Consumption!$AA$83:$AJ$99,MATCH('County Scaled Consumption '!$B931,Production_Consumption!$AA$83:$AA$99,0),MATCH('County Scaled Consumption '!E$2,Production_Consumption!$AA$83:$AJ$83,0)))*'CA Population'!$L931*10^6</f>
        <v>7912.5874281352098</v>
      </c>
      <c r="F931" s="143">
        <f>(INDEX(Production_Consumption!$AA$83:$AJ$99,MATCH('County Scaled Consumption '!$B931,Production_Consumption!$AA$83:$AA$99,0),MATCH('County Scaled Consumption '!F$2,Production_Consumption!$AA$83:$AJ$83,0)))*'CA Population'!$L931*10^6</f>
        <v>2184.6377590287962</v>
      </c>
      <c r="G931" s="143">
        <f>(INDEX(Production_Consumption!$AA$83:$AJ$99,MATCH('County Scaled Consumption '!$B931,Production_Consumption!$AA$83:$AA$99,0),MATCH('County Scaled Consumption '!G$2,Production_Consumption!$AA$83:$AJ$83,0)))*'CA Population'!$L931*10^6</f>
        <v>8209.4160336947334</v>
      </c>
      <c r="H931" s="143">
        <f>(INDEX(Production_Consumption!$AA$83:$AJ$99,MATCH('County Scaled Consumption '!$B931,Production_Consumption!$AA$83:$AA$99,0),MATCH('County Scaled Consumption '!H$2,Production_Consumption!$AA$83:$AJ$83,0)))*'CA Population'!$L931*10^6</f>
        <v>229.07041463357473</v>
      </c>
      <c r="I931" s="143">
        <f>(INDEX(Production_Consumption!$AA$83:$AJ$99,MATCH('County Scaled Consumption '!$B931,Production_Consumption!$AA$83:$AA$99,0),MATCH('County Scaled Consumption '!I$2,Production_Consumption!$AA$83:$AJ$83,0)))*'CA Population'!$L931*10^6</f>
        <v>4441.3755435347402</v>
      </c>
      <c r="J931" s="143">
        <f>(INDEX(Production_Consumption!$AA$83:$AJ$99,MATCH('County Scaled Consumption '!$B931,Production_Consumption!$AA$83:$AA$99,0),MATCH('County Scaled Consumption '!J$2,Production_Consumption!$AA$83:$AJ$83,0)))*'CA Population'!$L931*10^6</f>
        <v>2895.8095646772395</v>
      </c>
      <c r="K931" s="143">
        <f>(INDEX(Production_Consumption!$AA$83:$AJ$99,MATCH('County Scaled Consumption '!$B931,Production_Consumption!$AA$83:$AA$99,0),MATCH('County Scaled Consumption '!K$2,Production_Consumption!$AA$83:$AJ$83,0)))*'CA Population'!$L931*10^6</f>
        <v>41918.794756265357</v>
      </c>
      <c r="L931" s="131">
        <f t="shared" si="14"/>
        <v>0</v>
      </c>
    </row>
    <row r="932" spans="1:12" x14ac:dyDescent="0.2">
      <c r="A932" s="132" t="s">
        <v>349</v>
      </c>
      <c r="B932" s="129">
        <v>2005</v>
      </c>
      <c r="C932" s="143">
        <f>(INDEX(Production_Consumption!$AA$83:$AJ$99,MATCH('County Scaled Consumption '!$B932,Production_Consumption!$AA$83:$AA$99,0),MATCH('County Scaled Consumption '!C$2,Production_Consumption!$AA$83:$AJ$83,0)))*'CA Population'!$L932*10^6</f>
        <v>2218.8902393192884</v>
      </c>
      <c r="D932" s="143">
        <f>(INDEX(Production_Consumption!$AA$83:$AJ$99,MATCH('County Scaled Consumption '!$B932,Production_Consumption!$AA$83:$AA$99,0),MATCH('County Scaled Consumption '!D$2,Production_Consumption!$AA$83:$AJ$83,0)))*'CA Population'!$L932*10^6</f>
        <v>8730.709695762298</v>
      </c>
      <c r="E932" s="143">
        <f>(INDEX(Production_Consumption!$AA$83:$AJ$99,MATCH('County Scaled Consumption '!$B932,Production_Consumption!$AA$83:$AA$99,0),MATCH('County Scaled Consumption '!E$2,Production_Consumption!$AA$83:$AJ$83,0)))*'CA Population'!$L932*10^6</f>
        <v>5399.4900579333944</v>
      </c>
      <c r="F932" s="143">
        <f>(INDEX(Production_Consumption!$AA$83:$AJ$99,MATCH('County Scaled Consumption '!$B932,Production_Consumption!$AA$83:$AA$99,0),MATCH('County Scaled Consumption '!F$2,Production_Consumption!$AA$83:$AJ$83,0)))*'CA Population'!$L932*10^6</f>
        <v>1490.7803505738789</v>
      </c>
      <c r="G932" s="143">
        <f>(INDEX(Production_Consumption!$AA$83:$AJ$99,MATCH('County Scaled Consumption '!$B932,Production_Consumption!$AA$83:$AA$99,0),MATCH('County Scaled Consumption '!G$2,Production_Consumption!$AA$83:$AJ$83,0)))*'CA Population'!$L932*10^6</f>
        <v>5602.0436624509239</v>
      </c>
      <c r="H932" s="143">
        <f>(INDEX(Production_Consumption!$AA$83:$AJ$99,MATCH('County Scaled Consumption '!$B932,Production_Consumption!$AA$83:$AA$99,0),MATCH('County Scaled Consumption '!H$2,Production_Consumption!$AA$83:$AJ$83,0)))*'CA Population'!$L932*10^6</f>
        <v>156.31592543074919</v>
      </c>
      <c r="I932" s="143">
        <f>(INDEX(Production_Consumption!$AA$83:$AJ$99,MATCH('County Scaled Consumption '!$B932,Production_Consumption!$AA$83:$AA$99,0),MATCH('County Scaled Consumption '!I$2,Production_Consumption!$AA$83:$AJ$83,0)))*'CA Population'!$L932*10^6</f>
        <v>3030.7612154266062</v>
      </c>
      <c r="J932" s="143">
        <f>(INDEX(Production_Consumption!$AA$83:$AJ$99,MATCH('County Scaled Consumption '!$B932,Production_Consumption!$AA$83:$AA$99,0),MATCH('County Scaled Consumption '!J$2,Production_Consumption!$AA$83:$AJ$83,0)))*'CA Population'!$L932*10^6</f>
        <v>1976.0786337154136</v>
      </c>
      <c r="K932" s="143">
        <f>(INDEX(Production_Consumption!$AA$83:$AJ$99,MATCH('County Scaled Consumption '!$B932,Production_Consumption!$AA$83:$AA$99,0),MATCH('County Scaled Consumption '!K$2,Production_Consumption!$AA$83:$AJ$83,0)))*'CA Population'!$L932*10^6</f>
        <v>28605.069780612554</v>
      </c>
      <c r="L932" s="131">
        <f t="shared" si="14"/>
        <v>0</v>
      </c>
    </row>
    <row r="933" spans="1:12" x14ac:dyDescent="0.2">
      <c r="A933" s="132" t="s">
        <v>350</v>
      </c>
      <c r="B933" s="129">
        <v>2005</v>
      </c>
      <c r="C933" s="143">
        <f>(INDEX(Production_Consumption!$AA$83:$AJ$99,MATCH('County Scaled Consumption '!$B933,Production_Consumption!$AA$83:$AA$99,0),MATCH('County Scaled Consumption '!C$2,Production_Consumption!$AA$83:$AJ$83,0)))*'CA Population'!$L933*10^6</f>
        <v>44.017395609231599</v>
      </c>
      <c r="D933" s="143">
        <f>(INDEX(Production_Consumption!$AA$83:$AJ$99,MATCH('County Scaled Consumption '!$B933,Production_Consumption!$AA$83:$AA$99,0),MATCH('County Scaled Consumption '!D$2,Production_Consumption!$AA$83:$AJ$83,0)))*'CA Population'!$L933*10^6</f>
        <v>173.19608505989902</v>
      </c>
      <c r="E933" s="143">
        <f>(INDEX(Production_Consumption!$AA$83:$AJ$99,MATCH('County Scaled Consumption '!$B933,Production_Consumption!$AA$83:$AA$99,0),MATCH('County Scaled Consumption '!E$2,Production_Consumption!$AA$83:$AJ$83,0)))*'CA Population'!$L933*10^6</f>
        <v>107.11277455575268</v>
      </c>
      <c r="F933" s="143">
        <f>(INDEX(Production_Consumption!$AA$83:$AJ$99,MATCH('County Scaled Consumption '!$B933,Production_Consumption!$AA$83:$AA$99,0),MATCH('County Scaled Consumption '!F$2,Production_Consumption!$AA$83:$AJ$83,0)))*'CA Population'!$L933*10^6</f>
        <v>29.573463028892501</v>
      </c>
      <c r="G933" s="143">
        <f>(INDEX(Production_Consumption!$AA$83:$AJ$99,MATCH('County Scaled Consumption '!$B933,Production_Consumption!$AA$83:$AA$99,0),MATCH('County Scaled Consumption '!G$2,Production_Consumption!$AA$83:$AJ$83,0)))*'CA Population'!$L933*10^6</f>
        <v>111.13094633556059</v>
      </c>
      <c r="H933" s="143">
        <f>(INDEX(Production_Consumption!$AA$83:$AJ$99,MATCH('County Scaled Consumption '!$B933,Production_Consumption!$AA$83:$AA$99,0),MATCH('County Scaled Consumption '!H$2,Production_Consumption!$AA$83:$AJ$83,0)))*'CA Population'!$L933*10^6</f>
        <v>3.1009284766691625</v>
      </c>
      <c r="I933" s="143">
        <f>(INDEX(Production_Consumption!$AA$83:$AJ$99,MATCH('County Scaled Consumption '!$B933,Production_Consumption!$AA$83:$AA$99,0),MATCH('County Scaled Consumption '!I$2,Production_Consumption!$AA$83:$AJ$83,0)))*'CA Population'!$L933*10^6</f>
        <v>60.12294481834077</v>
      </c>
      <c r="J933" s="143">
        <f>(INDEX(Production_Consumption!$AA$83:$AJ$99,MATCH('County Scaled Consumption '!$B933,Production_Consumption!$AA$83:$AA$99,0),MATCH('County Scaled Consumption '!J$2,Production_Consumption!$AA$83:$AJ$83,0)))*'CA Population'!$L933*10^6</f>
        <v>39.200602821113641</v>
      </c>
      <c r="K933" s="143">
        <f>(INDEX(Production_Consumption!$AA$83:$AJ$99,MATCH('County Scaled Consumption '!$B933,Production_Consumption!$AA$83:$AA$99,0),MATCH('County Scaled Consumption '!K$2,Production_Consumption!$AA$83:$AJ$83,0)))*'CA Population'!$L933*10^6</f>
        <v>567.45514070546005</v>
      </c>
      <c r="L933" s="131">
        <f t="shared" si="14"/>
        <v>0</v>
      </c>
    </row>
    <row r="934" spans="1:12" x14ac:dyDescent="0.2">
      <c r="A934" s="132" t="s">
        <v>351</v>
      </c>
      <c r="B934" s="129">
        <v>2005</v>
      </c>
      <c r="C934" s="143">
        <f>(INDEX(Production_Consumption!$AA$83:$AJ$99,MATCH('County Scaled Consumption '!$B934,Production_Consumption!$AA$83:$AA$99,0),MATCH('County Scaled Consumption '!C$2,Production_Consumption!$AA$83:$AJ$83,0)))*'CA Population'!$L934*10^6</f>
        <v>572.58348912965391</v>
      </c>
      <c r="D934" s="143">
        <f>(INDEX(Production_Consumption!$AA$83:$AJ$99,MATCH('County Scaled Consumption '!$B934,Production_Consumption!$AA$83:$AA$99,0),MATCH('County Scaled Consumption '!D$2,Production_Consumption!$AA$83:$AJ$83,0)))*'CA Population'!$L934*10^6</f>
        <v>2252.9551627174164</v>
      </c>
      <c r="E934" s="143">
        <f>(INDEX(Production_Consumption!$AA$83:$AJ$99,MATCH('County Scaled Consumption '!$B934,Production_Consumption!$AA$83:$AA$99,0),MATCH('County Scaled Consumption '!E$2,Production_Consumption!$AA$83:$AJ$83,0)))*'CA Population'!$L934*10^6</f>
        <v>1393.3356423438227</v>
      </c>
      <c r="F934" s="143">
        <f>(INDEX(Production_Consumption!$AA$83:$AJ$99,MATCH('County Scaled Consumption '!$B934,Production_Consumption!$AA$83:$AA$99,0),MATCH('County Scaled Consumption '!F$2,Production_Consumption!$AA$83:$AJ$83,0)))*'CA Population'!$L934*10^6</f>
        <v>384.69510547731579</v>
      </c>
      <c r="G934" s="143">
        <f>(INDEX(Production_Consumption!$AA$83:$AJ$99,MATCH('County Scaled Consumption '!$B934,Production_Consumption!$AA$83:$AA$99,0),MATCH('County Scaled Consumption '!G$2,Production_Consumption!$AA$83:$AJ$83,0)))*'CA Population'!$L934*10^6</f>
        <v>1445.6044961858297</v>
      </c>
      <c r="H934" s="143">
        <f>(INDEX(Production_Consumption!$AA$83:$AJ$99,MATCH('County Scaled Consumption '!$B934,Production_Consumption!$AA$83:$AA$99,0),MATCH('County Scaled Consumption '!H$2,Production_Consumption!$AA$83:$AJ$83,0)))*'CA Population'!$L934*10^6</f>
        <v>40.337244449336616</v>
      </c>
      <c r="I934" s="143">
        <f>(INDEX(Production_Consumption!$AA$83:$AJ$99,MATCH('County Scaled Consumption '!$B934,Production_Consumption!$AA$83:$AA$99,0),MATCH('County Scaled Consumption '!I$2,Production_Consumption!$AA$83:$AJ$83,0)))*'CA Population'!$L934*10^6</f>
        <v>782.08637845023452</v>
      </c>
      <c r="J934" s="143">
        <f>(INDEX(Production_Consumption!$AA$83:$AJ$99,MATCH('County Scaled Consumption '!$B934,Production_Consumption!$AA$83:$AA$99,0),MATCH('County Scaled Consumption '!J$2,Production_Consumption!$AA$83:$AJ$83,0)))*'CA Population'!$L934*10^6</f>
        <v>509.92607873855144</v>
      </c>
      <c r="K934" s="143">
        <f>(INDEX(Production_Consumption!$AA$83:$AJ$99,MATCH('County Scaled Consumption '!$B934,Production_Consumption!$AA$83:$AA$99,0),MATCH('County Scaled Consumption '!K$2,Production_Consumption!$AA$83:$AJ$83,0)))*'CA Population'!$L934*10^6</f>
        <v>7381.5235974921616</v>
      </c>
      <c r="L934" s="131">
        <f t="shared" si="14"/>
        <v>0</v>
      </c>
    </row>
    <row r="935" spans="1:12" x14ac:dyDescent="0.2">
      <c r="A935" s="132" t="s">
        <v>352</v>
      </c>
      <c r="B935" s="129">
        <v>2005</v>
      </c>
      <c r="C935" s="143">
        <f>(INDEX(Production_Consumption!$AA$83:$AJ$99,MATCH('County Scaled Consumption '!$B935,Production_Consumption!$AA$83:$AA$99,0),MATCH('County Scaled Consumption '!C$2,Production_Consumption!$AA$83:$AJ$83,0)))*'CA Population'!$L935*10^6</f>
        <v>5245.1404275036393</v>
      </c>
      <c r="D935" s="143">
        <f>(INDEX(Production_Consumption!$AA$83:$AJ$99,MATCH('County Scaled Consumption '!$B935,Production_Consumption!$AA$83:$AA$99,0),MATCH('County Scaled Consumption '!D$2,Production_Consumption!$AA$83:$AJ$83,0)))*'CA Population'!$L935*10^6</f>
        <v>20638.153962987126</v>
      </c>
      <c r="E935" s="143">
        <f>(INDEX(Production_Consumption!$AA$83:$AJ$99,MATCH('County Scaled Consumption '!$B935,Production_Consumption!$AA$83:$AA$99,0),MATCH('County Scaled Consumption '!E$2,Production_Consumption!$AA$83:$AJ$83,0)))*'CA Population'!$L935*10^6</f>
        <v>12763.625297418388</v>
      </c>
      <c r="F935" s="143">
        <f>(INDEX(Production_Consumption!$AA$83:$AJ$99,MATCH('County Scaled Consumption '!$B935,Production_Consumption!$AA$83:$AA$99,0),MATCH('County Scaled Consumption '!F$2,Production_Consumption!$AA$83:$AJ$83,0)))*'CA Population'!$L935*10^6</f>
        <v>3523.9923754506772</v>
      </c>
      <c r="G935" s="143">
        <f>(INDEX(Production_Consumption!$AA$83:$AJ$99,MATCH('County Scaled Consumption '!$B935,Production_Consumption!$AA$83:$AA$99,0),MATCH('County Scaled Consumption '!G$2,Production_Consumption!$AA$83:$AJ$83,0)))*'CA Population'!$L935*10^6</f>
        <v>13242.433163154647</v>
      </c>
      <c r="H935" s="143">
        <f>(INDEX(Production_Consumption!$AA$83:$AJ$99,MATCH('County Scaled Consumption '!$B935,Production_Consumption!$AA$83:$AA$99,0),MATCH('County Scaled Consumption '!H$2,Production_Consumption!$AA$83:$AJ$83,0)))*'CA Population'!$L935*10^6</f>
        <v>369.50857929367231</v>
      </c>
      <c r="I935" s="143">
        <f>(INDEX(Production_Consumption!$AA$83:$AJ$99,MATCH('County Scaled Consumption '!$B935,Production_Consumption!$AA$83:$AA$99,0),MATCH('County Scaled Consumption '!I$2,Production_Consumption!$AA$83:$AJ$83,0)))*'CA Population'!$L935*10^6</f>
        <v>7164.2877576589699</v>
      </c>
      <c r="J935" s="143">
        <f>(INDEX(Production_Consumption!$AA$83:$AJ$99,MATCH('County Scaled Consumption '!$B935,Production_Consumption!$AA$83:$AA$99,0),MATCH('County Scaled Consumption '!J$2,Production_Consumption!$AA$83:$AJ$83,0)))*'CA Population'!$L935*10^6</f>
        <v>4671.1683822659879</v>
      </c>
      <c r="K935" s="143">
        <f>(INDEX(Production_Consumption!$AA$83:$AJ$99,MATCH('County Scaled Consumption '!$B935,Production_Consumption!$AA$83:$AA$99,0),MATCH('County Scaled Consumption '!K$2,Production_Consumption!$AA$83:$AJ$83,0)))*'CA Population'!$L935*10^6</f>
        <v>67618.309945733112</v>
      </c>
      <c r="L935" s="131">
        <f t="shared" si="14"/>
        <v>0</v>
      </c>
    </row>
    <row r="936" spans="1:12" x14ac:dyDescent="0.2">
      <c r="A936" s="132" t="s">
        <v>353</v>
      </c>
      <c r="B936" s="129">
        <v>2005</v>
      </c>
      <c r="C936" s="143">
        <f>(INDEX(Production_Consumption!$AA$83:$AJ$99,MATCH('County Scaled Consumption '!$B936,Production_Consumption!$AA$83:$AA$99,0),MATCH('County Scaled Consumption '!C$2,Production_Consumption!$AA$83:$AJ$83,0)))*'CA Population'!$L936*10^6</f>
        <v>5994.9165871576688</v>
      </c>
      <c r="D936" s="143">
        <f>(INDEX(Production_Consumption!$AA$83:$AJ$99,MATCH('County Scaled Consumption '!$B936,Production_Consumption!$AA$83:$AA$99,0),MATCH('County Scaled Consumption '!D$2,Production_Consumption!$AA$83:$AJ$83,0)))*'CA Population'!$L936*10^6</f>
        <v>23588.31250203729</v>
      </c>
      <c r="E936" s="143">
        <f>(INDEX(Production_Consumption!$AA$83:$AJ$99,MATCH('County Scaled Consumption '!$B936,Production_Consumption!$AA$83:$AA$99,0),MATCH('County Scaled Consumption '!E$2,Production_Consumption!$AA$83:$AJ$83,0)))*'CA Population'!$L936*10^6</f>
        <v>14588.144982073627</v>
      </c>
      <c r="F936" s="143">
        <f>(INDEX(Production_Consumption!$AA$83:$AJ$99,MATCH('County Scaled Consumption '!$B936,Production_Consumption!$AA$83:$AA$99,0),MATCH('County Scaled Consumption '!F$2,Production_Consumption!$AA$83:$AJ$83,0)))*'CA Population'!$L936*10^6</f>
        <v>4027.7358893632336</v>
      </c>
      <c r="G936" s="143">
        <f>(INDEX(Production_Consumption!$AA$83:$AJ$99,MATCH('County Scaled Consumption '!$B936,Production_Consumption!$AA$83:$AA$99,0),MATCH('County Scaled Consumption '!G$2,Production_Consumption!$AA$83:$AJ$83,0)))*'CA Population'!$L936*10^6</f>
        <v>15135.396910985279</v>
      </c>
      <c r="H936" s="143">
        <f>(INDEX(Production_Consumption!$AA$83:$AJ$99,MATCH('County Scaled Consumption '!$B936,Production_Consumption!$AA$83:$AA$99,0),MATCH('County Scaled Consumption '!H$2,Production_Consumption!$AA$83:$AJ$83,0)))*'CA Population'!$L936*10^6</f>
        <v>422.32865672940346</v>
      </c>
      <c r="I936" s="143">
        <f>(INDEX(Production_Consumption!$AA$83:$AJ$99,MATCH('County Scaled Consumption '!$B936,Production_Consumption!$AA$83:$AA$99,0),MATCH('County Scaled Consumption '!I$2,Production_Consumption!$AA$83:$AJ$83,0)))*'CA Population'!$L936*10^6</f>
        <v>8188.3999307910963</v>
      </c>
      <c r="J936" s="143">
        <f>(INDEX(Production_Consumption!$AA$83:$AJ$99,MATCH('County Scaled Consumption '!$B936,Production_Consumption!$AA$83:$AA$99,0),MATCH('County Scaled Consumption '!J$2,Production_Consumption!$AA$83:$AJ$83,0)))*'CA Population'!$L936*10^6</f>
        <v>5338.8970616332272</v>
      </c>
      <c r="K936" s="143">
        <f>(INDEX(Production_Consumption!$AA$83:$AJ$99,MATCH('County Scaled Consumption '!$B936,Production_Consumption!$AA$83:$AA$99,0),MATCH('County Scaled Consumption '!K$2,Production_Consumption!$AA$83:$AJ$83,0)))*'CA Population'!$L936*10^6</f>
        <v>77284.132520770829</v>
      </c>
      <c r="L936" s="131">
        <f t="shared" si="14"/>
        <v>0</v>
      </c>
    </row>
    <row r="937" spans="1:12" x14ac:dyDescent="0.2">
      <c r="A937" s="132" t="s">
        <v>354</v>
      </c>
      <c r="B937" s="129">
        <v>2005</v>
      </c>
      <c r="C937" s="143">
        <f>(INDEX(Production_Consumption!$AA$83:$AJ$99,MATCH('County Scaled Consumption '!$B937,Production_Consumption!$AA$83:$AA$99,0),MATCH('County Scaled Consumption '!C$2,Production_Consumption!$AA$83:$AJ$83,0)))*'CA Population'!$L937*10^6</f>
        <v>6306.4459077785286</v>
      </c>
      <c r="D937" s="143">
        <f>(INDEX(Production_Consumption!$AA$83:$AJ$99,MATCH('County Scaled Consumption '!$B937,Production_Consumption!$AA$83:$AA$99,0),MATCH('County Scaled Consumption '!D$2,Production_Consumption!$AA$83:$AJ$83,0)))*'CA Population'!$L937*10^6</f>
        <v>24814.09285469375</v>
      </c>
      <c r="E937" s="143">
        <f>(INDEX(Production_Consumption!$AA$83:$AJ$99,MATCH('County Scaled Consumption '!$B937,Production_Consumption!$AA$83:$AA$99,0),MATCH('County Scaled Consumption '!E$2,Production_Consumption!$AA$83:$AJ$83,0)))*'CA Population'!$L937*10^6</f>
        <v>15346.226404777575</v>
      </c>
      <c r="F937" s="143">
        <f>(INDEX(Production_Consumption!$AA$83:$AJ$99,MATCH('County Scaled Consumption '!$B937,Production_Consumption!$AA$83:$AA$99,0),MATCH('County Scaled Consumption '!F$2,Production_Consumption!$AA$83:$AJ$83,0)))*'CA Population'!$L937*10^6</f>
        <v>4237.0395230353888</v>
      </c>
      <c r="G937" s="143">
        <f>(INDEX(Production_Consumption!$AA$83:$AJ$99,MATCH('County Scaled Consumption '!$B937,Production_Consumption!$AA$83:$AA$99,0),MATCH('County Scaled Consumption '!G$2,Production_Consumption!$AA$83:$AJ$83,0)))*'CA Population'!$L937*10^6</f>
        <v>15921.916597865835</v>
      </c>
      <c r="H937" s="143">
        <f>(INDEX(Production_Consumption!$AA$83:$AJ$99,MATCH('County Scaled Consumption '!$B937,Production_Consumption!$AA$83:$AA$99,0),MATCH('County Scaled Consumption '!H$2,Production_Consumption!$AA$83:$AJ$83,0)))*'CA Population'!$L937*10^6</f>
        <v>444.27521054659519</v>
      </c>
      <c r="I937" s="143">
        <f>(INDEX(Production_Consumption!$AA$83:$AJ$99,MATCH('County Scaled Consumption '!$B937,Production_Consumption!$AA$83:$AA$99,0),MATCH('County Scaled Consumption '!I$2,Production_Consumption!$AA$83:$AJ$83,0)))*'CA Population'!$L937*10^6</f>
        <v>8613.9148867249023</v>
      </c>
      <c r="J937" s="143">
        <f>(INDEX(Production_Consumption!$AA$83:$AJ$99,MATCH('County Scaled Consumption '!$B937,Production_Consumption!$AA$83:$AA$99,0),MATCH('County Scaled Consumption '!J$2,Production_Consumption!$AA$83:$AJ$83,0)))*'CA Population'!$L937*10^6</f>
        <v>5616.3359467777273</v>
      </c>
      <c r="K937" s="143">
        <f>(INDEX(Production_Consumption!$AA$83:$AJ$99,MATCH('County Scaled Consumption '!$B937,Production_Consumption!$AA$83:$AA$99,0),MATCH('County Scaled Consumption '!K$2,Production_Consumption!$AA$83:$AJ$83,0)))*'CA Population'!$L937*10^6</f>
        <v>81300.247332200306</v>
      </c>
      <c r="L937" s="131">
        <f t="shared" si="14"/>
        <v>0</v>
      </c>
    </row>
    <row r="938" spans="1:12" x14ac:dyDescent="0.2">
      <c r="A938" s="132" t="s">
        <v>355</v>
      </c>
      <c r="B938" s="129">
        <v>2005</v>
      </c>
      <c r="C938" s="143">
        <f>(INDEX(Production_Consumption!$AA$83:$AJ$99,MATCH('County Scaled Consumption '!$B938,Production_Consumption!$AA$83:$AA$99,0),MATCH('County Scaled Consumption '!C$2,Production_Consumption!$AA$83:$AJ$83,0)))*'CA Population'!$L938*10^6</f>
        <v>1111.5636721882415</v>
      </c>
      <c r="D938" s="143">
        <f>(INDEX(Production_Consumption!$AA$83:$AJ$99,MATCH('County Scaled Consumption '!$B938,Production_Consumption!$AA$83:$AA$99,0),MATCH('County Scaled Consumption '!D$2,Production_Consumption!$AA$83:$AJ$83,0)))*'CA Population'!$L938*10^6</f>
        <v>4373.6907568750439</v>
      </c>
      <c r="E938" s="143">
        <f>(INDEX(Production_Consumption!$AA$83:$AJ$99,MATCH('County Scaled Consumption '!$B938,Production_Consumption!$AA$83:$AA$99,0),MATCH('County Scaled Consumption '!E$2,Production_Consumption!$AA$83:$AJ$83,0)))*'CA Population'!$L938*10^6</f>
        <v>2704.9003553152779</v>
      </c>
      <c r="F938" s="143">
        <f>(INDEX(Production_Consumption!$AA$83:$AJ$99,MATCH('County Scaled Consumption '!$B938,Production_Consumption!$AA$83:$AA$99,0),MATCH('County Scaled Consumption '!F$2,Production_Consumption!$AA$83:$AJ$83,0)))*'CA Population'!$L938*10^6</f>
        <v>746.81354288995374</v>
      </c>
      <c r="G938" s="143">
        <f>(INDEX(Production_Consumption!$AA$83:$AJ$99,MATCH('County Scaled Consumption '!$B938,Production_Consumption!$AA$83:$AA$99,0),MATCH('County Scaled Consumption '!G$2,Production_Consumption!$AA$83:$AJ$83,0)))*'CA Population'!$L938*10^6</f>
        <v>2806.3705517507456</v>
      </c>
      <c r="H938" s="143">
        <f>(INDEX(Production_Consumption!$AA$83:$AJ$99,MATCH('County Scaled Consumption '!$B938,Production_Consumption!$AA$83:$AA$99,0),MATCH('County Scaled Consumption '!H$2,Production_Consumption!$AA$83:$AJ$83,0)))*'CA Population'!$L938*10^6</f>
        <v>78.307210070296932</v>
      </c>
      <c r="I938" s="143">
        <f>(INDEX(Production_Consumption!$AA$83:$AJ$99,MATCH('County Scaled Consumption '!$B938,Production_Consumption!$AA$83:$AA$99,0),MATCH('County Scaled Consumption '!I$2,Production_Consumption!$AA$83:$AJ$83,0)))*'CA Population'!$L938*10^6</f>
        <v>1518.2743185975723</v>
      </c>
      <c r="J938" s="143">
        <f>(INDEX(Production_Consumption!$AA$83:$AJ$99,MATCH('County Scaled Consumption '!$B938,Production_Consumption!$AA$83:$AA$99,0),MATCH('County Scaled Consumption '!J$2,Production_Consumption!$AA$83:$AJ$83,0)))*'CA Population'!$L938*10^6</f>
        <v>989.92603766614548</v>
      </c>
      <c r="K938" s="143">
        <f>(INDEX(Production_Consumption!$AA$83:$AJ$99,MATCH('County Scaled Consumption '!$B938,Production_Consumption!$AA$83:$AA$99,0),MATCH('County Scaled Consumption '!K$2,Production_Consumption!$AA$83:$AJ$83,0)))*'CA Population'!$L938*10^6</f>
        <v>14329.84644535328</v>
      </c>
      <c r="L938" s="131">
        <f t="shared" si="14"/>
        <v>0</v>
      </c>
    </row>
    <row r="939" spans="1:12" x14ac:dyDescent="0.2">
      <c r="A939" s="132" t="s">
        <v>356</v>
      </c>
      <c r="B939" s="129">
        <v>2005</v>
      </c>
      <c r="C939" s="143">
        <f>(INDEX(Production_Consumption!$AA$83:$AJ$99,MATCH('County Scaled Consumption '!$B939,Production_Consumption!$AA$83:$AA$99,0),MATCH('County Scaled Consumption '!C$2,Production_Consumption!$AA$83:$AJ$83,0)))*'CA Population'!$L939*10^6</f>
        <v>765.43558105516809</v>
      </c>
      <c r="D939" s="143">
        <f>(INDEX(Production_Consumption!$AA$83:$AJ$99,MATCH('County Scaled Consumption '!$B939,Production_Consumption!$AA$83:$AA$99,0),MATCH('County Scaled Consumption '!D$2,Production_Consumption!$AA$83:$AJ$83,0)))*'CA Population'!$L939*10^6</f>
        <v>3011.7739627580468</v>
      </c>
      <c r="E939" s="143">
        <f>(INDEX(Production_Consumption!$AA$83:$AJ$99,MATCH('County Scaled Consumption '!$B939,Production_Consumption!$AA$83:$AA$99,0),MATCH('County Scaled Consumption '!E$2,Production_Consumption!$AA$83:$AJ$83,0)))*'CA Population'!$L939*10^6</f>
        <v>1862.625620978783</v>
      </c>
      <c r="F939" s="143">
        <f>(INDEX(Production_Consumption!$AA$83:$AJ$99,MATCH('County Scaled Consumption '!$B939,Production_Consumption!$AA$83:$AA$99,0),MATCH('County Scaled Consumption '!F$2,Production_Consumption!$AA$83:$AJ$83,0)))*'CA Population'!$L939*10^6</f>
        <v>514.26442986977577</v>
      </c>
      <c r="G939" s="143">
        <f>(INDEX(Production_Consumption!$AA$83:$AJ$99,MATCH('County Scaled Consumption '!$B939,Production_Consumption!$AA$83:$AA$99,0),MATCH('County Scaled Consumption '!G$2,Production_Consumption!$AA$83:$AJ$83,0)))*'CA Population'!$L939*10^6</f>
        <v>1932.4991700265532</v>
      </c>
      <c r="H939" s="143">
        <f>(INDEX(Production_Consumption!$AA$83:$AJ$99,MATCH('County Scaled Consumption '!$B939,Production_Consumption!$AA$83:$AA$99,0),MATCH('County Scaled Consumption '!H$2,Production_Consumption!$AA$83:$AJ$83,0)))*'CA Population'!$L939*10^6</f>
        <v>53.923249149524409</v>
      </c>
      <c r="I939" s="143">
        <f>(INDEX(Production_Consumption!$AA$83:$AJ$99,MATCH('County Scaled Consumption '!$B939,Production_Consumption!$AA$83:$AA$99,0),MATCH('County Scaled Consumption '!I$2,Production_Consumption!$AA$83:$AJ$83,0)))*'CA Population'!$L939*10^6</f>
        <v>1045.5012288851281</v>
      </c>
      <c r="J939" s="143">
        <f>(INDEX(Production_Consumption!$AA$83:$AJ$99,MATCH('County Scaled Consumption '!$B939,Production_Consumption!$AA$83:$AA$99,0),MATCH('County Scaled Consumption '!J$2,Production_Consumption!$AA$83:$AJ$83,0)))*'CA Population'!$L939*10^6</f>
        <v>681.67450124648065</v>
      </c>
      <c r="K939" s="143">
        <f>(INDEX(Production_Consumption!$AA$83:$AJ$99,MATCH('County Scaled Consumption '!$B939,Production_Consumption!$AA$83:$AA$99,0),MATCH('County Scaled Consumption '!K$2,Production_Consumption!$AA$83:$AJ$83,0)))*'CA Population'!$L939*10^6</f>
        <v>9867.6977439694601</v>
      </c>
      <c r="L939" s="131">
        <f t="shared" si="14"/>
        <v>0</v>
      </c>
    </row>
    <row r="940" spans="1:12" x14ac:dyDescent="0.2">
      <c r="A940" s="132" t="s">
        <v>357</v>
      </c>
      <c r="B940" s="129">
        <v>2005</v>
      </c>
      <c r="C940" s="143">
        <f>(INDEX(Production_Consumption!$AA$83:$AJ$99,MATCH('County Scaled Consumption '!$B940,Production_Consumption!$AA$83:$AA$99,0),MATCH('County Scaled Consumption '!C$2,Production_Consumption!$AA$83:$AJ$83,0)))*'CA Population'!$L940*10^6</f>
        <v>174.25732665945154</v>
      </c>
      <c r="D940" s="143">
        <f>(INDEX(Production_Consumption!$AA$83:$AJ$99,MATCH('County Scaled Consumption '!$B940,Production_Consumption!$AA$83:$AA$99,0),MATCH('County Scaled Consumption '!D$2,Production_Consumption!$AA$83:$AJ$83,0)))*'CA Population'!$L940*10^6</f>
        <v>685.65362290746918</v>
      </c>
      <c r="E940" s="143">
        <f>(INDEX(Production_Consumption!$AA$83:$AJ$99,MATCH('County Scaled Consumption '!$B940,Production_Consumption!$AA$83:$AA$99,0),MATCH('County Scaled Consumption '!E$2,Production_Consumption!$AA$83:$AJ$83,0)))*'CA Population'!$L940*10^6</f>
        <v>424.04112026217661</v>
      </c>
      <c r="F940" s="143">
        <f>(INDEX(Production_Consumption!$AA$83:$AJ$99,MATCH('County Scaled Consumption '!$B940,Production_Consumption!$AA$83:$AA$99,0),MATCH('County Scaled Consumption '!F$2,Production_Consumption!$AA$83:$AJ$83,0)))*'CA Population'!$L940*10^6</f>
        <v>117.07627259973853</v>
      </c>
      <c r="G940" s="143">
        <f>(INDEX(Production_Consumption!$AA$83:$AJ$99,MATCH('County Scaled Consumption '!$B940,Production_Consumption!$AA$83:$AA$99,0),MATCH('County Scaled Consumption '!G$2,Production_Consumption!$AA$83:$AJ$83,0)))*'CA Population'!$L940*10^6</f>
        <v>439.94837380856603</v>
      </c>
      <c r="H940" s="143">
        <f>(INDEX(Production_Consumption!$AA$83:$AJ$99,MATCH('County Scaled Consumption '!$B940,Production_Consumption!$AA$83:$AA$99,0),MATCH('County Scaled Consumption '!H$2,Production_Consumption!$AA$83:$AJ$83,0)))*'CA Population'!$L940*10^6</f>
        <v>12.276044482586473</v>
      </c>
      <c r="I940" s="143">
        <f>(INDEX(Production_Consumption!$AA$83:$AJ$99,MATCH('County Scaled Consumption '!$B940,Production_Consumption!$AA$83:$AA$99,0),MATCH('County Scaled Consumption '!I$2,Production_Consumption!$AA$83:$AJ$83,0)))*'CA Population'!$L940*10^6</f>
        <v>238.01643622778337</v>
      </c>
      <c r="J940" s="143">
        <f>(INDEX(Production_Consumption!$AA$83:$AJ$99,MATCH('County Scaled Consumption '!$B940,Production_Consumption!$AA$83:$AA$99,0),MATCH('County Scaled Consumption '!J$2,Production_Consumption!$AA$83:$AJ$83,0)))*'CA Population'!$L940*10^6</f>
        <v>155.18846938807934</v>
      </c>
      <c r="K940" s="143">
        <f>(INDEX(Production_Consumption!$AA$83:$AJ$99,MATCH('County Scaled Consumption '!$B940,Production_Consumption!$AA$83:$AA$99,0),MATCH('County Scaled Consumption '!K$2,Production_Consumption!$AA$83:$AJ$83,0)))*'CA Population'!$L940*10^6</f>
        <v>2246.4576663358512</v>
      </c>
      <c r="L940" s="131">
        <f t="shared" si="14"/>
        <v>0</v>
      </c>
    </row>
    <row r="941" spans="1:12" x14ac:dyDescent="0.2">
      <c r="A941" s="132" t="s">
        <v>358</v>
      </c>
      <c r="B941" s="129">
        <v>2005</v>
      </c>
      <c r="C941" s="143">
        <f>(INDEX(Production_Consumption!$AA$83:$AJ$99,MATCH('County Scaled Consumption '!$B941,Production_Consumption!$AA$83:$AA$99,0),MATCH('County Scaled Consumption '!C$2,Production_Consumption!$AA$83:$AJ$83,0)))*'CA Population'!$L941*10^6</f>
        <v>5157.8841405276125</v>
      </c>
      <c r="D941" s="143">
        <f>(INDEX(Production_Consumption!$AA$83:$AJ$99,MATCH('County Scaled Consumption '!$B941,Production_Consumption!$AA$83:$AA$99,0),MATCH('County Scaled Consumption '!D$2,Production_Consumption!$AA$83:$AJ$83,0)))*'CA Population'!$L941*10^6</f>
        <v>20294.824988340988</v>
      </c>
      <c r="E941" s="143">
        <f>(INDEX(Production_Consumption!$AA$83:$AJ$99,MATCH('County Scaled Consumption '!$B941,Production_Consumption!$AA$83:$AA$99,0),MATCH('County Scaled Consumption '!E$2,Production_Consumption!$AA$83:$AJ$83,0)))*'CA Population'!$L941*10^6</f>
        <v>12551.294175459072</v>
      </c>
      <c r="F941" s="143">
        <f>(INDEX(Production_Consumption!$AA$83:$AJ$99,MATCH('County Scaled Consumption '!$B941,Production_Consumption!$AA$83:$AA$99,0),MATCH('County Scaled Consumption '!F$2,Production_Consumption!$AA$83:$AJ$83,0)))*'CA Population'!$L941*10^6</f>
        <v>3465.3684941144816</v>
      </c>
      <c r="G941" s="143">
        <f>(INDEX(Production_Consumption!$AA$83:$AJ$99,MATCH('County Scaled Consumption '!$B941,Production_Consumption!$AA$83:$AA$99,0),MATCH('County Scaled Consumption '!G$2,Production_Consumption!$AA$83:$AJ$83,0)))*'CA Population'!$L941*10^6</f>
        <v>13022.136764170526</v>
      </c>
      <c r="H941" s="143">
        <f>(INDEX(Production_Consumption!$AA$83:$AJ$99,MATCH('County Scaled Consumption '!$B941,Production_Consumption!$AA$83:$AA$99,0),MATCH('County Scaled Consumption '!H$2,Production_Consumption!$AA$83:$AJ$83,0)))*'CA Population'!$L941*10^6</f>
        <v>363.36156624786571</v>
      </c>
      <c r="I941" s="143">
        <f>(INDEX(Production_Consumption!$AA$83:$AJ$99,MATCH('County Scaled Consumption '!$B941,Production_Consumption!$AA$83:$AA$99,0),MATCH('County Scaled Consumption '!I$2,Production_Consumption!$AA$83:$AJ$83,0)))*'CA Population'!$L941*10^6</f>
        <v>7045.1052196122901</v>
      </c>
      <c r="J941" s="143">
        <f>(INDEX(Production_Consumption!$AA$83:$AJ$99,MATCH('County Scaled Consumption '!$B941,Production_Consumption!$AA$83:$AA$99,0),MATCH('County Scaled Consumption '!J$2,Production_Consumption!$AA$83:$AJ$83,0)))*'CA Population'!$L941*10^6</f>
        <v>4593.4604896919218</v>
      </c>
      <c r="K941" s="143">
        <f>(INDEX(Production_Consumption!$AA$83:$AJ$99,MATCH('County Scaled Consumption '!$B941,Production_Consumption!$AA$83:$AA$99,0),MATCH('County Scaled Consumption '!K$2,Production_Consumption!$AA$83:$AJ$83,0)))*'CA Population'!$L941*10^6</f>
        <v>66493.435838164762</v>
      </c>
      <c r="L941" s="131">
        <f t="shared" si="14"/>
        <v>0</v>
      </c>
    </row>
    <row r="942" spans="1:12" x14ac:dyDescent="0.2">
      <c r="A942" s="132" t="s">
        <v>359</v>
      </c>
      <c r="B942" s="129">
        <v>2005</v>
      </c>
      <c r="C942" s="143">
        <f>(INDEX(Production_Consumption!$AA$83:$AJ$99,MATCH('County Scaled Consumption '!$B942,Production_Consumption!$AA$83:$AA$99,0),MATCH('County Scaled Consumption '!C$2,Production_Consumption!$AA$83:$AJ$83,0)))*'CA Population'!$L942*10^6</f>
        <v>719.93775114884431</v>
      </c>
      <c r="D942" s="143">
        <f>(INDEX(Production_Consumption!$AA$83:$AJ$99,MATCH('County Scaled Consumption '!$B942,Production_Consumption!$AA$83:$AA$99,0),MATCH('County Scaled Consumption '!D$2,Production_Consumption!$AA$83:$AJ$83,0)))*'CA Population'!$L942*10^6</f>
        <v>2832.7527846662697</v>
      </c>
      <c r="E942" s="143">
        <f>(INDEX(Production_Consumption!$AA$83:$AJ$99,MATCH('County Scaled Consumption '!$B942,Production_Consumption!$AA$83:$AA$99,0),MATCH('County Scaled Consumption '!E$2,Production_Consumption!$AA$83:$AJ$83,0)))*'CA Population'!$L942*10^6</f>
        <v>1751.9103292155885</v>
      </c>
      <c r="F942" s="143">
        <f>(INDEX(Production_Consumption!$AA$83:$AJ$99,MATCH('County Scaled Consumption '!$B942,Production_Consumption!$AA$83:$AA$99,0),MATCH('County Scaled Consumption '!F$2,Production_Consumption!$AA$83:$AJ$83,0)))*'CA Population'!$L942*10^6</f>
        <v>483.69632441949983</v>
      </c>
      <c r="G942" s="143">
        <f>(INDEX(Production_Consumption!$AA$83:$AJ$99,MATCH('County Scaled Consumption '!$B942,Production_Consumption!$AA$83:$AA$99,0),MATCH('County Scaled Consumption '!G$2,Production_Consumption!$AA$83:$AJ$83,0)))*'CA Population'!$L942*10^6</f>
        <v>1817.630563564891</v>
      </c>
      <c r="H942" s="143">
        <f>(INDEX(Production_Consumption!$AA$83:$AJ$99,MATCH('County Scaled Consumption '!$B942,Production_Consumption!$AA$83:$AA$99,0),MATCH('County Scaled Consumption '!H$2,Production_Consumption!$AA$83:$AJ$83,0)))*'CA Population'!$L942*10^6</f>
        <v>50.718027340499894</v>
      </c>
      <c r="I942" s="143">
        <f>(INDEX(Production_Consumption!$AA$83:$AJ$99,MATCH('County Scaled Consumption '!$B942,Production_Consumption!$AA$83:$AA$99,0),MATCH('County Scaled Consumption '!I$2,Production_Consumption!$AA$83:$AJ$83,0)))*'CA Population'!$L942*10^6</f>
        <v>983.35617284645446</v>
      </c>
      <c r="J942" s="143">
        <f>(INDEX(Production_Consumption!$AA$83:$AJ$99,MATCH('County Scaled Consumption '!$B942,Production_Consumption!$AA$83:$AA$99,0),MATCH('County Scaled Consumption '!J$2,Production_Consumption!$AA$83:$AJ$83,0)))*'CA Population'!$L942*10^6</f>
        <v>641.15546701706057</v>
      </c>
      <c r="K942" s="143">
        <f>(INDEX(Production_Consumption!$AA$83:$AJ$99,MATCH('County Scaled Consumption '!$B942,Production_Consumption!$AA$83:$AA$99,0),MATCH('County Scaled Consumption '!K$2,Production_Consumption!$AA$83:$AJ$83,0)))*'CA Population'!$L942*10^6</f>
        <v>9281.1574202191096</v>
      </c>
      <c r="L942" s="131">
        <f t="shared" si="14"/>
        <v>0</v>
      </c>
    </row>
    <row r="943" spans="1:12" x14ac:dyDescent="0.2">
      <c r="A943" s="132" t="s">
        <v>360</v>
      </c>
      <c r="B943" s="129">
        <v>2005</v>
      </c>
      <c r="C943" s="143">
        <f>(INDEX(Production_Consumption!$AA$83:$AJ$99,MATCH('County Scaled Consumption '!$B943,Production_Consumption!$AA$83:$AA$99,0),MATCH('County Scaled Consumption '!C$2,Production_Consumption!$AA$83:$AJ$83,0)))*'CA Population'!$L943*10^6</f>
        <v>10158.357275707513</v>
      </c>
      <c r="D943" s="143">
        <f>(INDEX(Production_Consumption!$AA$83:$AJ$99,MATCH('County Scaled Consumption '!$B943,Production_Consumption!$AA$83:$AA$99,0),MATCH('County Scaled Consumption '!D$2,Production_Consumption!$AA$83:$AJ$83,0)))*'CA Population'!$L943*10^6</f>
        <v>39970.281895171749</v>
      </c>
      <c r="E943" s="143">
        <f>(INDEX(Production_Consumption!$AA$83:$AJ$99,MATCH('County Scaled Consumption '!$B943,Production_Consumption!$AA$83:$AA$99,0),MATCH('County Scaled Consumption '!E$2,Production_Consumption!$AA$83:$AJ$83,0)))*'CA Population'!$L943*10^6</f>
        <v>24719.541391982031</v>
      </c>
      <c r="F943" s="143">
        <f>(INDEX(Production_Consumption!$AA$83:$AJ$99,MATCH('County Scaled Consumption '!$B943,Production_Consumption!$AA$83:$AA$99,0),MATCH('County Scaled Consumption '!F$2,Production_Consumption!$AA$83:$AJ$83,0)))*'CA Population'!$L943*10^6</f>
        <v>6824.979060424278</v>
      </c>
      <c r="G943" s="143">
        <f>(INDEX(Production_Consumption!$AA$83:$AJ$99,MATCH('County Scaled Consumption '!$B943,Production_Consumption!$AA$83:$AA$99,0),MATCH('County Scaled Consumption '!G$2,Production_Consumption!$AA$83:$AJ$83,0)))*'CA Population'!$L943*10^6</f>
        <v>25646.857149070885</v>
      </c>
      <c r="H943" s="143">
        <f>(INDEX(Production_Consumption!$AA$83:$AJ$99,MATCH('County Scaled Consumption '!$B943,Production_Consumption!$AA$83:$AA$99,0),MATCH('County Scaled Consumption '!H$2,Production_Consumption!$AA$83:$AJ$83,0)))*'CA Population'!$L943*10^6</f>
        <v>715.63387420891274</v>
      </c>
      <c r="I943" s="143">
        <f>(INDEX(Production_Consumption!$AA$83:$AJ$99,MATCH('County Scaled Consumption '!$B943,Production_Consumption!$AA$83:$AA$99,0),MATCH('County Scaled Consumption '!I$2,Production_Consumption!$AA$83:$AJ$83,0)))*'CA Population'!$L943*10^6</f>
        <v>13875.204234124722</v>
      </c>
      <c r="J943" s="143">
        <f>(INDEX(Production_Consumption!$AA$83:$AJ$99,MATCH('County Scaled Consumption '!$B943,Production_Consumption!$AA$83:$AA$99,0),MATCH('County Scaled Consumption '!J$2,Production_Consumption!$AA$83:$AJ$83,0)))*'CA Population'!$L943*10^6</f>
        <v>9046.7353501592534</v>
      </c>
      <c r="K943" s="143">
        <f>(INDEX(Production_Consumption!$AA$83:$AJ$99,MATCH('County Scaled Consumption '!$B943,Production_Consumption!$AA$83:$AA$99,0),MATCH('County Scaled Consumption '!K$2,Production_Consumption!$AA$83:$AJ$83,0)))*'CA Population'!$L943*10^6</f>
        <v>130957.59023084935</v>
      </c>
      <c r="L943" s="131">
        <f t="shared" si="14"/>
        <v>0</v>
      </c>
    </row>
    <row r="944" spans="1:12" x14ac:dyDescent="0.2">
      <c r="A944" s="132" t="s">
        <v>361</v>
      </c>
      <c r="B944" s="129">
        <v>2005</v>
      </c>
      <c r="C944" s="143">
        <f>(INDEX(Production_Consumption!$AA$83:$AJ$99,MATCH('County Scaled Consumption '!$B944,Production_Consumption!$AA$83:$AA$99,0),MATCH('County Scaled Consumption '!C$2,Production_Consumption!$AA$83:$AJ$83,0)))*'CA Population'!$L944*10^6</f>
        <v>2380.5638744534567</v>
      </c>
      <c r="D944" s="143">
        <f>(INDEX(Production_Consumption!$AA$83:$AJ$99,MATCH('County Scaled Consumption '!$B944,Production_Consumption!$AA$83:$AA$99,0),MATCH('County Scaled Consumption '!D$2,Production_Consumption!$AA$83:$AJ$83,0)))*'CA Population'!$L944*10^6</f>
        <v>9366.8500278988013</v>
      </c>
      <c r="E944" s="143">
        <f>(INDEX(Production_Consumption!$AA$83:$AJ$99,MATCH('County Scaled Consumption '!$B944,Production_Consumption!$AA$83:$AA$99,0),MATCH('County Scaled Consumption '!E$2,Production_Consumption!$AA$83:$AJ$83,0)))*'CA Population'!$L944*10^6</f>
        <v>5792.9097819323142</v>
      </c>
      <c r="F944" s="143">
        <f>(INDEX(Production_Consumption!$AA$83:$AJ$99,MATCH('County Scaled Consumption '!$B944,Production_Consumption!$AA$83:$AA$99,0),MATCH('County Scaled Consumption '!F$2,Production_Consumption!$AA$83:$AJ$83,0)))*'CA Population'!$L944*10^6</f>
        <v>1599.4021625918581</v>
      </c>
      <c r="G944" s="143">
        <f>(INDEX(Production_Consumption!$AA$83:$AJ$99,MATCH('County Scaled Consumption '!$B944,Production_Consumption!$AA$83:$AA$99,0),MATCH('County Scaled Consumption '!G$2,Production_Consumption!$AA$83:$AJ$83,0)))*'CA Population'!$L944*10^6</f>
        <v>6010.2219251876259</v>
      </c>
      <c r="H944" s="143">
        <f>(INDEX(Production_Consumption!$AA$83:$AJ$99,MATCH('County Scaled Consumption '!$B944,Production_Consumption!$AA$83:$AA$99,0),MATCH('County Scaled Consumption '!H$2,Production_Consumption!$AA$83:$AJ$83,0)))*'CA Population'!$L944*10^6</f>
        <v>167.70547658831515</v>
      </c>
      <c r="I944" s="143">
        <f>(INDEX(Production_Consumption!$AA$83:$AJ$99,MATCH('County Scaled Consumption '!$B944,Production_Consumption!$AA$83:$AA$99,0),MATCH('County Scaled Consumption '!I$2,Production_Consumption!$AA$83:$AJ$83,0)))*'CA Population'!$L944*10^6</f>
        <v>3251.5897062815616</v>
      </c>
      <c r="J944" s="143">
        <f>(INDEX(Production_Consumption!$AA$83:$AJ$99,MATCH('County Scaled Consumption '!$B944,Production_Consumption!$AA$83:$AA$99,0),MATCH('County Scaled Consumption '!J$2,Production_Consumption!$AA$83:$AJ$83,0)))*'CA Population'!$L944*10^6</f>
        <v>2120.0604361328878</v>
      </c>
      <c r="K944" s="143">
        <f>(INDEX(Production_Consumption!$AA$83:$AJ$99,MATCH('County Scaled Consumption '!$B944,Production_Consumption!$AA$83:$AA$99,0),MATCH('County Scaled Consumption '!K$2,Production_Consumption!$AA$83:$AJ$83,0)))*'CA Population'!$L944*10^6</f>
        <v>30689.303391066824</v>
      </c>
      <c r="L944" s="131">
        <f t="shared" si="14"/>
        <v>0</v>
      </c>
    </row>
    <row r="945" spans="1:12" x14ac:dyDescent="0.2">
      <c r="A945" s="132" t="s">
        <v>362</v>
      </c>
      <c r="B945" s="129">
        <v>2005</v>
      </c>
      <c r="C945" s="143">
        <f>(INDEX(Production_Consumption!$AA$83:$AJ$99,MATCH('County Scaled Consumption '!$B945,Production_Consumption!$AA$83:$AA$99,0),MATCH('County Scaled Consumption '!C$2,Production_Consumption!$AA$83:$AJ$83,0)))*'CA Population'!$L945*10^6</f>
        <v>848.41647588010994</v>
      </c>
      <c r="D945" s="143">
        <f>(INDEX(Production_Consumption!$AA$83:$AJ$99,MATCH('County Scaled Consumption '!$B945,Production_Consumption!$AA$83:$AA$99,0),MATCH('County Scaled Consumption '!D$2,Production_Consumption!$AA$83:$AJ$83,0)))*'CA Population'!$L945*10^6</f>
        <v>3338.2804704586747</v>
      </c>
      <c r="E945" s="143">
        <f>(INDEX(Production_Consumption!$AA$83:$AJ$99,MATCH('County Scaled Consumption '!$B945,Production_Consumption!$AA$83:$AA$99,0),MATCH('County Scaled Consumption '!E$2,Production_Consumption!$AA$83:$AJ$83,0)))*'CA Population'!$L945*10^6</f>
        <v>2064.5529216924697</v>
      </c>
      <c r="F945" s="143">
        <f>(INDEX(Production_Consumption!$AA$83:$AJ$99,MATCH('County Scaled Consumption '!$B945,Production_Consumption!$AA$83:$AA$99,0),MATCH('County Scaled Consumption '!F$2,Production_Consumption!$AA$83:$AJ$83,0)))*'CA Population'!$L945*10^6</f>
        <v>570.01585248904485</v>
      </c>
      <c r="G945" s="143">
        <f>(INDEX(Production_Consumption!$AA$83:$AJ$99,MATCH('County Scaled Consumption '!$B945,Production_Consumption!$AA$83:$AA$99,0),MATCH('County Scaled Consumption '!G$2,Production_Consumption!$AA$83:$AJ$83,0)))*'CA Population'!$L945*10^6</f>
        <v>2142.0014643361546</v>
      </c>
      <c r="H945" s="143">
        <f>(INDEX(Production_Consumption!$AA$83:$AJ$99,MATCH('County Scaled Consumption '!$B945,Production_Consumption!$AA$83:$AA$99,0),MATCH('County Scaled Consumption '!H$2,Production_Consumption!$AA$83:$AJ$83,0)))*'CA Population'!$L945*10^6</f>
        <v>59.769070244132386</v>
      </c>
      <c r="I945" s="143">
        <f>(INDEX(Production_Consumption!$AA$83:$AJ$99,MATCH('County Scaled Consumption '!$B945,Production_Consumption!$AA$83:$AA$99,0),MATCH('County Scaled Consumption '!I$2,Production_Consumption!$AA$83:$AJ$83,0)))*'CA Population'!$L945*10^6</f>
        <v>1158.8440491834326</v>
      </c>
      <c r="J945" s="143">
        <f>(INDEX(Production_Consumption!$AA$83:$AJ$99,MATCH('County Scaled Consumption '!$B945,Production_Consumption!$AA$83:$AA$99,0),MATCH('County Scaled Consumption '!J$2,Production_Consumption!$AA$83:$AJ$83,0)))*'CA Population'!$L945*10^6</f>
        <v>755.57485483966173</v>
      </c>
      <c r="K945" s="143">
        <f>(INDEX(Production_Consumption!$AA$83:$AJ$99,MATCH('County Scaled Consumption '!$B945,Production_Consumption!$AA$83:$AA$99,0),MATCH('County Scaled Consumption '!K$2,Production_Consumption!$AA$83:$AJ$83,0)))*'CA Population'!$L945*10^6</f>
        <v>10937.455159123681</v>
      </c>
      <c r="L945" s="131">
        <f t="shared" si="14"/>
        <v>0</v>
      </c>
    </row>
    <row r="946" spans="1:12" x14ac:dyDescent="0.2">
      <c r="A946" s="133" t="s">
        <v>363</v>
      </c>
      <c r="B946" s="129">
        <v>2005</v>
      </c>
      <c r="C946" s="143">
        <f>(INDEX(Production_Consumption!$AA$83:$AJ$99,MATCH('County Scaled Consumption '!$B946,Production_Consumption!$AA$83:$AA$99,0),MATCH('County Scaled Consumption '!C$2,Production_Consumption!$AA$83:$AJ$83,0)))*'CA Population'!$L946*10^6</f>
        <v>457775.46480631165</v>
      </c>
      <c r="D946" s="143">
        <f>(INDEX(Production_Consumption!$AA$83:$AJ$99,MATCH('County Scaled Consumption '!$B946,Production_Consumption!$AA$83:$AA$99,0),MATCH('County Scaled Consumption '!D$2,Production_Consumption!$AA$83:$AJ$83,0)))*'CA Population'!$L946*10^6</f>
        <v>1801217.842254634</v>
      </c>
      <c r="E946" s="143">
        <f>(INDEX(Production_Consumption!$AA$83:$AJ$99,MATCH('County Scaled Consumption '!$B946,Production_Consumption!$AA$83:$AA$99,0),MATCH('County Scaled Consumption '!E$2,Production_Consumption!$AA$83:$AJ$83,0)))*'CA Population'!$L946*10^6</f>
        <v>1113959.5943897627</v>
      </c>
      <c r="F946" s="143">
        <f>(INDEX(Production_Consumption!$AA$83:$AJ$99,MATCH('County Scaled Consumption '!$B946,Production_Consumption!$AA$83:$AA$99,0),MATCH('County Scaled Consumption '!F$2,Production_Consumption!$AA$83:$AJ$83,0)))*'CA Population'!$L946*10^6</f>
        <v>307560.35418743087</v>
      </c>
      <c r="G946" s="143">
        <f>(INDEX(Production_Consumption!$AA$83:$AJ$99,MATCH('County Scaled Consumption '!$B946,Production_Consumption!$AA$83:$AA$99,0),MATCH('County Scaled Consumption '!G$2,Production_Consumption!$AA$83:$AJ$83,0)))*'CA Population'!$L946*10^6</f>
        <v>1155748.0834340213</v>
      </c>
      <c r="H946" s="143">
        <f>(INDEX(Production_Consumption!$AA$83:$AJ$99,MATCH('County Scaled Consumption '!$B946,Production_Consumption!$AA$83:$AA$99,0),MATCH('County Scaled Consumption '!H$2,Production_Consumption!$AA$83:$AJ$83,0)))*'CA Population'!$L946*10^6</f>
        <v>32249.272250006565</v>
      </c>
      <c r="I946" s="143">
        <f>(INDEX(Production_Consumption!$AA$83:$AJ$99,MATCH('County Scaled Consumption '!$B946,Production_Consumption!$AA$83:$AA$99,0),MATCH('County Scaled Consumption '!I$2,Production_Consumption!$AA$83:$AJ$83,0)))*'CA Population'!$L946*10^6</f>
        <v>625271.18264961406</v>
      </c>
      <c r="J946" s="143">
        <f>(INDEX(Production_Consumption!$AA$83:$AJ$99,MATCH('County Scaled Consumption '!$B946,Production_Consumption!$AA$83:$AA$99,0),MATCH('County Scaled Consumption '!J$2,Production_Consumption!$AA$83:$AJ$83,0)))*'CA Population'!$L946*10^6</f>
        <v>407681.41614810482</v>
      </c>
      <c r="K946" s="143">
        <f>(INDEX(Production_Consumption!$AA$83:$AJ$99,MATCH('County Scaled Consumption '!$B946,Production_Consumption!$AA$83:$AA$99,0),MATCH('County Scaled Consumption '!K$2,Production_Consumption!$AA$83:$AJ$83,0)))*'CA Population'!$L946*10^6</f>
        <v>5901463.2101198863</v>
      </c>
      <c r="L946" s="131">
        <f t="shared" si="14"/>
        <v>0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B331-1F88-844D-934C-2ED28D6A6C72}">
  <dimension ref="A1:L946"/>
  <sheetViews>
    <sheetView zoomScale="125" workbookViewId="0">
      <selection activeCell="A3" sqref="A3:A18"/>
    </sheetView>
  </sheetViews>
  <sheetFormatPr baseColWidth="10" defaultRowHeight="16" x14ac:dyDescent="0.2"/>
  <cols>
    <col min="2" max="2" width="11.6640625" bestFit="1" customWidth="1"/>
    <col min="3" max="3" width="11" bestFit="1" customWidth="1"/>
    <col min="4" max="5" width="11.6640625" bestFit="1" customWidth="1"/>
    <col min="6" max="7" width="11.6640625" customWidth="1"/>
    <col min="12" max="12" width="14.33203125" bestFit="1" customWidth="1"/>
  </cols>
  <sheetData>
    <row r="1" spans="1:12" x14ac:dyDescent="0.2">
      <c r="A1" s="153" t="s">
        <v>369</v>
      </c>
      <c r="B1" s="154"/>
      <c r="C1" s="154"/>
      <c r="D1" s="154"/>
      <c r="E1" s="155"/>
      <c r="F1" s="144"/>
      <c r="G1" s="144"/>
      <c r="I1" s="153" t="s">
        <v>364</v>
      </c>
      <c r="J1" s="154"/>
      <c r="K1" s="154"/>
      <c r="L1" s="155"/>
    </row>
    <row r="2" spans="1:12" x14ac:dyDescent="0.2">
      <c r="A2" s="128" t="s">
        <v>0</v>
      </c>
      <c r="B2" s="137" t="s">
        <v>365</v>
      </c>
      <c r="C2" s="137" t="s">
        <v>366</v>
      </c>
      <c r="D2" s="137" t="s">
        <v>367</v>
      </c>
      <c r="E2" s="137" t="s">
        <v>368</v>
      </c>
      <c r="F2" s="137" t="s">
        <v>363</v>
      </c>
      <c r="G2" s="134" t="s">
        <v>370</v>
      </c>
      <c r="I2" s="127" t="s">
        <v>0</v>
      </c>
      <c r="J2" s="128" t="s">
        <v>303</v>
      </c>
      <c r="K2" s="128" t="s">
        <v>304</v>
      </c>
      <c r="L2" s="137" t="s">
        <v>370</v>
      </c>
    </row>
    <row r="3" spans="1:12" x14ac:dyDescent="0.2">
      <c r="A3" s="135">
        <v>2020</v>
      </c>
      <c r="B3" s="132">
        <v>335942003</v>
      </c>
      <c r="C3" s="138">
        <v>37888705</v>
      </c>
      <c r="D3" s="132">
        <v>125998302</v>
      </c>
      <c r="E3" s="132">
        <f>SUM(B3:D3)</f>
        <v>499829010</v>
      </c>
      <c r="F3" s="142">
        <f>K61</f>
        <v>39648938</v>
      </c>
      <c r="G3" s="140">
        <f>F3/E3</f>
        <v>7.9325003564719068E-2</v>
      </c>
      <c r="H3">
        <f>SUMIF($I$3:$I$946,$J$61,$K$3:$K$946)</f>
        <v>0</v>
      </c>
      <c r="I3" s="129">
        <v>2020</v>
      </c>
      <c r="J3" s="132" t="s">
        <v>305</v>
      </c>
      <c r="K3" s="132">
        <v>1663114</v>
      </c>
      <c r="L3" s="140">
        <f>K3/VLOOKUP(I3,$A$3:$E$18,5,FALSE)</f>
        <v>3.3273658925879472E-3</v>
      </c>
    </row>
    <row r="4" spans="1:12" x14ac:dyDescent="0.2">
      <c r="A4" s="135">
        <v>2019</v>
      </c>
      <c r="B4" s="132">
        <v>334319671</v>
      </c>
      <c r="C4" s="138">
        <v>37522584</v>
      </c>
      <c r="D4" s="132">
        <v>125085311</v>
      </c>
      <c r="E4" s="132">
        <f t="shared" ref="E4:E18" si="0">SUM(B4:D4)</f>
        <v>496927566</v>
      </c>
      <c r="F4" s="142">
        <f>K120</f>
        <v>39605361</v>
      </c>
      <c r="G4" s="140">
        <f t="shared" ref="G4:G17" si="1">F4/E4</f>
        <v>7.9700470873052751E-2</v>
      </c>
      <c r="I4" s="129">
        <v>2020</v>
      </c>
      <c r="J4" s="132" t="s">
        <v>306</v>
      </c>
      <c r="K4" s="132">
        <v>1146</v>
      </c>
      <c r="L4" s="140">
        <f t="shared" ref="L4:L67" si="2">K4/VLOOKUP(I4,$A$3:$E$18,5,FALSE)</f>
        <v>2.2927840863018334E-6</v>
      </c>
    </row>
    <row r="5" spans="1:12" x14ac:dyDescent="0.2">
      <c r="A5" s="135">
        <v>2018</v>
      </c>
      <c r="B5" s="132">
        <v>332140037</v>
      </c>
      <c r="C5" s="138">
        <v>37035254</v>
      </c>
      <c r="D5" s="132">
        <v>124013861</v>
      </c>
      <c r="E5" s="132">
        <f t="shared" si="0"/>
        <v>493189152</v>
      </c>
      <c r="F5" s="142">
        <f>K179</f>
        <v>39519535</v>
      </c>
      <c r="G5" s="140">
        <f t="shared" si="1"/>
        <v>8.0130584461841528E-2</v>
      </c>
      <c r="I5" s="129">
        <v>2020</v>
      </c>
      <c r="J5" s="132" t="s">
        <v>307</v>
      </c>
      <c r="K5" s="132">
        <v>37673</v>
      </c>
      <c r="L5" s="140">
        <f t="shared" si="2"/>
        <v>7.5371775639833307E-5</v>
      </c>
    </row>
    <row r="6" spans="1:12" x14ac:dyDescent="0.2">
      <c r="A6" s="135">
        <v>2017</v>
      </c>
      <c r="B6" s="132">
        <v>329791231</v>
      </c>
      <c r="C6" s="138">
        <v>36554348</v>
      </c>
      <c r="D6" s="132">
        <v>122839258</v>
      </c>
      <c r="E6" s="132">
        <f t="shared" si="0"/>
        <v>489184837</v>
      </c>
      <c r="F6" s="142">
        <f>K238</f>
        <v>39352398</v>
      </c>
      <c r="G6" s="140">
        <f t="shared" si="1"/>
        <v>8.0444844205177196E-2</v>
      </c>
      <c r="I6" s="129">
        <v>2020</v>
      </c>
      <c r="J6" s="132" t="s">
        <v>308</v>
      </c>
      <c r="K6" s="132">
        <v>208951</v>
      </c>
      <c r="L6" s="140">
        <f t="shared" si="2"/>
        <v>4.1804496301645235E-4</v>
      </c>
    </row>
    <row r="7" spans="1:12" x14ac:dyDescent="0.2">
      <c r="A7" s="135">
        <v>2016</v>
      </c>
      <c r="B7" s="132">
        <v>327210198</v>
      </c>
      <c r="C7" s="138">
        <v>36113532</v>
      </c>
      <c r="D7" s="132">
        <v>121519221</v>
      </c>
      <c r="E7" s="132">
        <f t="shared" si="0"/>
        <v>484842951</v>
      </c>
      <c r="F7" s="142">
        <f>K297</f>
        <v>39103587</v>
      </c>
      <c r="G7" s="140">
        <f t="shared" si="1"/>
        <v>8.0652068714927028E-2</v>
      </c>
      <c r="I7" s="129">
        <v>2020</v>
      </c>
      <c r="J7" s="132" t="s">
        <v>309</v>
      </c>
      <c r="K7" s="132">
        <v>45023</v>
      </c>
      <c r="L7" s="140">
        <f t="shared" si="2"/>
        <v>9.0076804465591143E-5</v>
      </c>
    </row>
    <row r="8" spans="1:12" x14ac:dyDescent="0.2">
      <c r="A8" s="135">
        <v>2015</v>
      </c>
      <c r="B8" s="132">
        <v>324607776</v>
      </c>
      <c r="C8" s="138">
        <v>35732126</v>
      </c>
      <c r="D8" s="132">
        <v>120149897</v>
      </c>
      <c r="E8" s="132">
        <f t="shared" si="0"/>
        <v>480489799</v>
      </c>
      <c r="F8" s="142">
        <f>K356</f>
        <v>38865532</v>
      </c>
      <c r="G8" s="140">
        <f t="shared" si="1"/>
        <v>8.0887319732671367E-2</v>
      </c>
      <c r="I8" s="129">
        <v>2020</v>
      </c>
      <c r="J8" s="132" t="s">
        <v>310</v>
      </c>
      <c r="K8" s="132">
        <v>22030</v>
      </c>
      <c r="L8" s="140">
        <f t="shared" si="2"/>
        <v>4.4075072793393885E-5</v>
      </c>
    </row>
    <row r="9" spans="1:12" x14ac:dyDescent="0.2">
      <c r="A9" s="135">
        <v>2014</v>
      </c>
      <c r="B9" s="132">
        <v>322033964</v>
      </c>
      <c r="C9" s="138">
        <v>35404608</v>
      </c>
      <c r="D9" s="132">
        <v>118755887</v>
      </c>
      <c r="E9" s="132">
        <f t="shared" si="0"/>
        <v>476194459</v>
      </c>
      <c r="F9" s="142">
        <f>K415</f>
        <v>38556731</v>
      </c>
      <c r="G9" s="140">
        <f t="shared" si="1"/>
        <v>8.0968457887915068E-2</v>
      </c>
      <c r="I9" s="129">
        <v>2020</v>
      </c>
      <c r="J9" s="132" t="s">
        <v>311</v>
      </c>
      <c r="K9" s="132">
        <v>1149853</v>
      </c>
      <c r="L9" s="140">
        <f t="shared" si="2"/>
        <v>2.300492722501241E-3</v>
      </c>
    </row>
    <row r="10" spans="1:12" x14ac:dyDescent="0.2">
      <c r="A10" s="135">
        <v>2013</v>
      </c>
      <c r="B10" s="132">
        <v>319375166</v>
      </c>
      <c r="C10" s="138">
        <v>35063691</v>
      </c>
      <c r="D10" s="132">
        <v>117290686</v>
      </c>
      <c r="E10" s="132">
        <f t="shared" si="0"/>
        <v>471729543</v>
      </c>
      <c r="F10" s="142">
        <f>K474</f>
        <v>38269864</v>
      </c>
      <c r="G10" s="140">
        <f t="shared" si="1"/>
        <v>8.1126706113464675E-2</v>
      </c>
      <c r="I10" s="129">
        <v>2020</v>
      </c>
      <c r="J10" s="132" t="s">
        <v>312</v>
      </c>
      <c r="K10" s="132">
        <v>27231</v>
      </c>
      <c r="L10" s="140">
        <f t="shared" si="2"/>
        <v>5.4480631286287283E-5</v>
      </c>
    </row>
    <row r="11" spans="1:12" x14ac:dyDescent="0.2">
      <c r="A11" s="135">
        <v>2012</v>
      </c>
      <c r="B11" s="132">
        <v>316651321</v>
      </c>
      <c r="C11" s="138">
        <v>34691878</v>
      </c>
      <c r="D11" s="132">
        <v>115755909</v>
      </c>
      <c r="E11" s="132">
        <f t="shared" si="0"/>
        <v>467099108</v>
      </c>
      <c r="F11" s="142">
        <f>K533</f>
        <v>37924661</v>
      </c>
      <c r="G11" s="140">
        <f t="shared" si="1"/>
        <v>8.1191893434315876E-2</v>
      </c>
      <c r="I11" s="129">
        <v>2020</v>
      </c>
      <c r="J11" s="132" t="s">
        <v>313</v>
      </c>
      <c r="K11" s="132">
        <v>193519</v>
      </c>
      <c r="L11" s="140">
        <f t="shared" si="2"/>
        <v>3.8717040453494286E-4</v>
      </c>
    </row>
    <row r="12" spans="1:12" x14ac:dyDescent="0.2">
      <c r="A12" s="135">
        <v>2011</v>
      </c>
      <c r="B12" s="132">
        <v>313876608</v>
      </c>
      <c r="C12" s="138">
        <v>34323531</v>
      </c>
      <c r="D12" s="132">
        <v>114150481</v>
      </c>
      <c r="E12" s="132">
        <f t="shared" si="0"/>
        <v>462350620</v>
      </c>
      <c r="F12" s="142">
        <f>K592</f>
        <v>37561624</v>
      </c>
      <c r="G12" s="140">
        <f t="shared" si="1"/>
        <v>8.1240561546127049E-2</v>
      </c>
      <c r="I12" s="129">
        <v>2020</v>
      </c>
      <c r="J12" s="132" t="s">
        <v>314</v>
      </c>
      <c r="K12" s="132">
        <v>1020292</v>
      </c>
      <c r="L12" s="140">
        <f t="shared" si="2"/>
        <v>2.0412820776449128E-3</v>
      </c>
    </row>
    <row r="13" spans="1:12" x14ac:dyDescent="0.2">
      <c r="A13" s="135">
        <v>2010</v>
      </c>
      <c r="B13" s="132">
        <v>311182845</v>
      </c>
      <c r="C13" s="138">
        <v>33963412</v>
      </c>
      <c r="D13" s="132">
        <v>112532401</v>
      </c>
      <c r="E13" s="132">
        <f t="shared" si="0"/>
        <v>457678658</v>
      </c>
      <c r="F13" s="142">
        <f>K651</f>
        <v>37253956</v>
      </c>
      <c r="G13" s="140">
        <f t="shared" si="1"/>
        <v>8.1397625492950126E-2</v>
      </c>
      <c r="I13" s="129">
        <v>2020</v>
      </c>
      <c r="J13" s="132" t="s">
        <v>315</v>
      </c>
      <c r="K13" s="132">
        <v>29582</v>
      </c>
      <c r="L13" s="140">
        <f t="shared" si="2"/>
        <v>5.9184239826335807E-5</v>
      </c>
    </row>
    <row r="14" spans="1:12" x14ac:dyDescent="0.2">
      <c r="A14" s="135">
        <v>2009</v>
      </c>
      <c r="B14" s="132">
        <v>308512035</v>
      </c>
      <c r="C14" s="138">
        <v>33593917</v>
      </c>
      <c r="D14" s="132">
        <v>111049428</v>
      </c>
      <c r="E14" s="132">
        <f t="shared" si="0"/>
        <v>453155380</v>
      </c>
      <c r="F14" s="142">
        <f>K710</f>
        <v>36966713</v>
      </c>
      <c r="G14" s="140">
        <f t="shared" si="1"/>
        <v>8.157624212692785E-2</v>
      </c>
      <c r="I14" s="129">
        <v>2020</v>
      </c>
      <c r="J14" s="132" t="s">
        <v>316</v>
      </c>
      <c r="K14" s="132">
        <v>132824</v>
      </c>
      <c r="L14" s="140">
        <f t="shared" si="2"/>
        <v>2.6573887738128683E-4</v>
      </c>
    </row>
    <row r="15" spans="1:12" x14ac:dyDescent="0.2">
      <c r="A15" s="135">
        <v>2008</v>
      </c>
      <c r="B15" s="132">
        <v>305694910</v>
      </c>
      <c r="C15" s="138">
        <v>33218541</v>
      </c>
      <c r="D15" s="132">
        <v>109684489</v>
      </c>
      <c r="E15" s="132">
        <f t="shared" si="0"/>
        <v>448597940</v>
      </c>
      <c r="F15" s="142">
        <f>K769</f>
        <v>36704375</v>
      </c>
      <c r="G15" s="140">
        <f t="shared" si="1"/>
        <v>8.1820204078511816E-2</v>
      </c>
      <c r="I15" s="129">
        <v>2020</v>
      </c>
      <c r="J15" s="132" t="s">
        <v>317</v>
      </c>
      <c r="K15" s="132">
        <v>188422</v>
      </c>
      <c r="L15" s="140">
        <f t="shared" si="2"/>
        <v>3.7697291719822345E-4</v>
      </c>
    </row>
    <row r="16" spans="1:12" x14ac:dyDescent="0.2">
      <c r="A16" s="135">
        <v>2007</v>
      </c>
      <c r="B16" s="132">
        <v>302743399</v>
      </c>
      <c r="C16" s="138">
        <v>32862459</v>
      </c>
      <c r="D16" s="132">
        <v>108302973</v>
      </c>
      <c r="E16" s="132">
        <f t="shared" si="0"/>
        <v>443908831</v>
      </c>
      <c r="F16" s="142">
        <f>K828</f>
        <v>36399676</v>
      </c>
      <c r="G16" s="140">
        <f t="shared" si="1"/>
        <v>8.1998089377951569E-2</v>
      </c>
      <c r="I16" s="129">
        <v>2020</v>
      </c>
      <c r="J16" s="132" t="s">
        <v>318</v>
      </c>
      <c r="K16" s="132">
        <v>18584</v>
      </c>
      <c r="L16" s="140">
        <f t="shared" si="2"/>
        <v>3.7180715060936542E-5</v>
      </c>
    </row>
    <row r="17" spans="1:12" x14ac:dyDescent="0.2">
      <c r="A17" s="135">
        <v>2006</v>
      </c>
      <c r="B17" s="132">
        <v>299753098</v>
      </c>
      <c r="C17" s="138">
        <v>32531867</v>
      </c>
      <c r="D17" s="132">
        <v>106886790</v>
      </c>
      <c r="E17" s="132">
        <f t="shared" si="0"/>
        <v>439171755</v>
      </c>
      <c r="F17" s="142">
        <f>K887</f>
        <v>36116202</v>
      </c>
      <c r="G17" s="140">
        <f t="shared" si="1"/>
        <v>8.2237078292979021E-2</v>
      </c>
      <c r="I17" s="129">
        <v>2020</v>
      </c>
      <c r="J17" s="132" t="s">
        <v>319</v>
      </c>
      <c r="K17" s="132">
        <v>916828</v>
      </c>
      <c r="L17" s="140">
        <f t="shared" si="2"/>
        <v>1.8342832881988983E-3</v>
      </c>
    </row>
    <row r="18" spans="1:12" x14ac:dyDescent="0.2">
      <c r="A18" s="136">
        <v>2005</v>
      </c>
      <c r="B18" s="133">
        <v>296842670</v>
      </c>
      <c r="C18" s="139">
        <v>32215916</v>
      </c>
      <c r="D18" s="133">
        <v>105442402</v>
      </c>
      <c r="E18" s="133">
        <f t="shared" si="0"/>
        <v>434500988</v>
      </c>
      <c r="F18" s="142">
        <f>K946</f>
        <v>35869173</v>
      </c>
      <c r="G18" s="140">
        <f>F18/E18</f>
        <v>8.2552569477701621E-2</v>
      </c>
      <c r="I18" s="129">
        <v>2020</v>
      </c>
      <c r="J18" s="132" t="s">
        <v>320</v>
      </c>
      <c r="K18" s="132">
        <v>153189</v>
      </c>
      <c r="L18" s="140">
        <f t="shared" si="2"/>
        <v>3.0648281099170295E-4</v>
      </c>
    </row>
    <row r="19" spans="1:12" x14ac:dyDescent="0.2">
      <c r="I19" s="129">
        <v>2020</v>
      </c>
      <c r="J19" s="132" t="s">
        <v>321</v>
      </c>
      <c r="K19" s="132">
        <v>64005</v>
      </c>
      <c r="L19" s="140">
        <f t="shared" si="2"/>
        <v>1.2805379183573198E-4</v>
      </c>
    </row>
    <row r="20" spans="1:12" x14ac:dyDescent="0.2">
      <c r="I20" s="129">
        <v>2020</v>
      </c>
      <c r="J20" s="132" t="s">
        <v>322</v>
      </c>
      <c r="K20" s="132">
        <v>28666</v>
      </c>
      <c r="L20" s="140">
        <f t="shared" si="2"/>
        <v>5.7351613104649529E-5</v>
      </c>
    </row>
    <row r="21" spans="1:12" x14ac:dyDescent="0.2">
      <c r="I21" s="129">
        <v>2020</v>
      </c>
      <c r="J21" s="132" t="s">
        <v>323</v>
      </c>
      <c r="K21" s="132">
        <v>10135614</v>
      </c>
      <c r="L21" s="140">
        <f t="shared" si="2"/>
        <v>2.0278162726089066E-2</v>
      </c>
    </row>
    <row r="22" spans="1:12" x14ac:dyDescent="0.2">
      <c r="I22" s="129">
        <v>2020</v>
      </c>
      <c r="J22" s="132" t="s">
        <v>324</v>
      </c>
      <c r="K22" s="132">
        <v>158602</v>
      </c>
      <c r="L22" s="140">
        <f t="shared" si="2"/>
        <v>3.1731251453372025E-4</v>
      </c>
    </row>
    <row r="23" spans="1:12" x14ac:dyDescent="0.2">
      <c r="I23" s="129">
        <v>2020</v>
      </c>
      <c r="J23" s="132" t="s">
        <v>325</v>
      </c>
      <c r="K23" s="132">
        <v>260388</v>
      </c>
      <c r="L23" s="140">
        <f t="shared" si="2"/>
        <v>5.2095415590223547E-4</v>
      </c>
    </row>
    <row r="24" spans="1:12" x14ac:dyDescent="0.2">
      <c r="I24" s="129">
        <v>2020</v>
      </c>
      <c r="J24" s="132" t="s">
        <v>326</v>
      </c>
      <c r="K24" s="132">
        <v>18074</v>
      </c>
      <c r="L24" s="140">
        <f t="shared" si="2"/>
        <v>3.6160366122006403E-5</v>
      </c>
    </row>
    <row r="25" spans="1:12" x14ac:dyDescent="0.2">
      <c r="I25" s="129">
        <v>2020</v>
      </c>
      <c r="J25" s="132" t="s">
        <v>327</v>
      </c>
      <c r="K25" s="132">
        <v>87708</v>
      </c>
      <c r="L25" s="140">
        <f t="shared" si="2"/>
        <v>1.7547600928565551E-4</v>
      </c>
    </row>
    <row r="26" spans="1:12" x14ac:dyDescent="0.2">
      <c r="I26" s="129">
        <v>2020</v>
      </c>
      <c r="J26" s="132" t="s">
        <v>328</v>
      </c>
      <c r="K26" s="132">
        <v>283352</v>
      </c>
      <c r="L26" s="140">
        <f t="shared" si="2"/>
        <v>5.6689786773280728E-4</v>
      </c>
    </row>
    <row r="27" spans="1:12" x14ac:dyDescent="0.2">
      <c r="I27" s="129">
        <v>2020</v>
      </c>
      <c r="J27" s="132" t="s">
        <v>329</v>
      </c>
      <c r="K27" s="132">
        <v>9563</v>
      </c>
      <c r="L27" s="140">
        <f t="shared" si="2"/>
        <v>1.9132542947037027E-5</v>
      </c>
    </row>
    <row r="28" spans="1:12" x14ac:dyDescent="0.2">
      <c r="I28" s="129">
        <v>2020</v>
      </c>
      <c r="J28" s="132" t="s">
        <v>330</v>
      </c>
      <c r="K28" s="132">
        <v>13449</v>
      </c>
      <c r="L28" s="140">
        <f t="shared" si="2"/>
        <v>2.6907201724845864E-5</v>
      </c>
    </row>
    <row r="29" spans="1:12" x14ac:dyDescent="0.2">
      <c r="I29" s="129">
        <v>2020</v>
      </c>
      <c r="J29" s="132" t="s">
        <v>331</v>
      </c>
      <c r="K29" s="132">
        <v>440393</v>
      </c>
      <c r="L29" s="140">
        <f t="shared" si="2"/>
        <v>8.8108731423972367E-4</v>
      </c>
    </row>
    <row r="30" spans="1:12" x14ac:dyDescent="0.2">
      <c r="I30" s="129">
        <v>2020</v>
      </c>
      <c r="J30" s="132" t="s">
        <v>332</v>
      </c>
      <c r="K30" s="132">
        <v>139000</v>
      </c>
      <c r="L30" s="140">
        <f t="shared" si="2"/>
        <v>2.7809510296331139E-4</v>
      </c>
    </row>
    <row r="31" spans="1:12" x14ac:dyDescent="0.2">
      <c r="I31" s="129">
        <v>2020</v>
      </c>
      <c r="J31" s="132" t="s">
        <v>333</v>
      </c>
      <c r="K31" s="132">
        <v>97775</v>
      </c>
      <c r="L31" s="140">
        <f t="shared" si="2"/>
        <v>1.9561689706645879E-4</v>
      </c>
    </row>
    <row r="32" spans="1:12" x14ac:dyDescent="0.2">
      <c r="I32" s="129">
        <v>2020</v>
      </c>
      <c r="J32" s="132" t="s">
        <v>334</v>
      </c>
      <c r="K32" s="132">
        <v>3180491</v>
      </c>
      <c r="L32" s="140">
        <f t="shared" si="2"/>
        <v>6.3631580727977356E-3</v>
      </c>
    </row>
    <row r="33" spans="9:12" x14ac:dyDescent="0.2">
      <c r="I33" s="129">
        <v>2020</v>
      </c>
      <c r="J33" s="132" t="s">
        <v>335</v>
      </c>
      <c r="K33" s="132">
        <v>399015</v>
      </c>
      <c r="L33" s="140">
        <f t="shared" si="2"/>
        <v>7.9830300366119211E-4</v>
      </c>
    </row>
    <row r="34" spans="9:12" x14ac:dyDescent="0.2">
      <c r="I34" s="129">
        <v>2020</v>
      </c>
      <c r="J34" s="132" t="s">
        <v>336</v>
      </c>
      <c r="K34" s="132">
        <v>18256</v>
      </c>
      <c r="L34" s="140">
        <f t="shared" si="2"/>
        <v>3.6524490645310884E-5</v>
      </c>
    </row>
    <row r="35" spans="9:12" x14ac:dyDescent="0.2">
      <c r="I35" s="129">
        <v>2020</v>
      </c>
      <c r="J35" s="132" t="s">
        <v>337</v>
      </c>
      <c r="K35" s="132">
        <v>2440719</v>
      </c>
      <c r="L35" s="140">
        <f t="shared" si="2"/>
        <v>4.8831079252482767E-3</v>
      </c>
    </row>
    <row r="36" spans="9:12" x14ac:dyDescent="0.2">
      <c r="I36" s="129">
        <v>2020</v>
      </c>
      <c r="J36" s="132" t="s">
        <v>338</v>
      </c>
      <c r="K36" s="132">
        <v>1553157</v>
      </c>
      <c r="L36" s="140">
        <f t="shared" si="2"/>
        <v>3.1073766606704162E-3</v>
      </c>
    </row>
    <row r="37" spans="9:12" x14ac:dyDescent="0.2">
      <c r="I37" s="129">
        <v>2020</v>
      </c>
      <c r="J37" s="132" t="s">
        <v>339</v>
      </c>
      <c r="K37" s="132">
        <v>62486</v>
      </c>
      <c r="L37" s="140">
        <f t="shared" si="2"/>
        <v>1.2501475254507536E-4</v>
      </c>
    </row>
    <row r="38" spans="9:12" x14ac:dyDescent="0.2">
      <c r="I38" s="129">
        <v>2020</v>
      </c>
      <c r="J38" s="132" t="s">
        <v>340</v>
      </c>
      <c r="K38" s="132">
        <v>2175424</v>
      </c>
      <c r="L38" s="140">
        <f t="shared" si="2"/>
        <v>4.3523364120061775E-3</v>
      </c>
    </row>
    <row r="39" spans="9:12" x14ac:dyDescent="0.2">
      <c r="I39" s="129">
        <v>2020</v>
      </c>
      <c r="J39" s="132" t="s">
        <v>341</v>
      </c>
      <c r="K39" s="132">
        <v>3331279</v>
      </c>
      <c r="L39" s="140">
        <f t="shared" si="2"/>
        <v>6.6648372410396907E-3</v>
      </c>
    </row>
    <row r="40" spans="9:12" x14ac:dyDescent="0.2">
      <c r="I40" s="129">
        <v>2020</v>
      </c>
      <c r="J40" s="132" t="s">
        <v>342</v>
      </c>
      <c r="K40" s="132">
        <v>889783</v>
      </c>
      <c r="L40" s="140">
        <f t="shared" si="2"/>
        <v>1.7801747841726914E-3</v>
      </c>
    </row>
    <row r="41" spans="9:12" x14ac:dyDescent="0.2">
      <c r="I41" s="129">
        <v>2020</v>
      </c>
      <c r="J41" s="132" t="s">
        <v>343</v>
      </c>
      <c r="K41" s="132">
        <v>773505</v>
      </c>
      <c r="L41" s="140">
        <f t="shared" si="2"/>
        <v>1.5475392274650085E-3</v>
      </c>
    </row>
    <row r="42" spans="9:12" x14ac:dyDescent="0.2">
      <c r="I42" s="129">
        <v>2020</v>
      </c>
      <c r="J42" s="132" t="s">
        <v>344</v>
      </c>
      <c r="K42" s="132">
        <v>276818</v>
      </c>
      <c r="L42" s="140">
        <f t="shared" si="2"/>
        <v>5.5382539720933766E-4</v>
      </c>
    </row>
    <row r="43" spans="9:12" x14ac:dyDescent="0.2">
      <c r="I43" s="129">
        <v>2020</v>
      </c>
      <c r="J43" s="132" t="s">
        <v>345</v>
      </c>
      <c r="K43" s="132">
        <v>771061</v>
      </c>
      <c r="L43" s="140">
        <f t="shared" si="2"/>
        <v>1.5426495552949197E-3</v>
      </c>
    </row>
    <row r="44" spans="9:12" x14ac:dyDescent="0.2">
      <c r="I44" s="129">
        <v>2020</v>
      </c>
      <c r="J44" s="132" t="s">
        <v>346</v>
      </c>
      <c r="K44" s="132">
        <v>450511</v>
      </c>
      <c r="L44" s="140">
        <f t="shared" si="2"/>
        <v>9.0133023691442004E-4</v>
      </c>
    </row>
    <row r="45" spans="9:12" x14ac:dyDescent="0.2">
      <c r="I45" s="129">
        <v>2020</v>
      </c>
      <c r="J45" s="132" t="s">
        <v>347</v>
      </c>
      <c r="K45" s="132">
        <v>1945166</v>
      </c>
      <c r="L45" s="140">
        <f t="shared" si="2"/>
        <v>3.8916628708685797E-3</v>
      </c>
    </row>
    <row r="46" spans="9:12" x14ac:dyDescent="0.2">
      <c r="I46" s="129">
        <v>2020</v>
      </c>
      <c r="J46" s="132" t="s">
        <v>348</v>
      </c>
      <c r="K46" s="132">
        <v>270373</v>
      </c>
      <c r="L46" s="140">
        <f t="shared" si="2"/>
        <v>5.4093098757913231E-4</v>
      </c>
    </row>
    <row r="47" spans="9:12" x14ac:dyDescent="0.2">
      <c r="I47" s="129">
        <v>2020</v>
      </c>
      <c r="J47" s="132" t="s">
        <v>349</v>
      </c>
      <c r="K47" s="132">
        <v>177536</v>
      </c>
      <c r="L47" s="140">
        <f t="shared" si="2"/>
        <v>3.5519346906254999E-4</v>
      </c>
    </row>
    <row r="48" spans="9:12" x14ac:dyDescent="0.2">
      <c r="I48" s="129">
        <v>2020</v>
      </c>
      <c r="J48" s="132" t="s">
        <v>350</v>
      </c>
      <c r="K48" s="132">
        <v>3200</v>
      </c>
      <c r="L48" s="140">
        <f t="shared" si="2"/>
        <v>6.4021894207381041E-6</v>
      </c>
    </row>
    <row r="49" spans="9:12" x14ac:dyDescent="0.2">
      <c r="I49" s="129">
        <v>2020</v>
      </c>
      <c r="J49" s="132" t="s">
        <v>351</v>
      </c>
      <c r="K49" s="132">
        <v>44463</v>
      </c>
      <c r="L49" s="140">
        <f t="shared" si="2"/>
        <v>8.895642131696197E-5</v>
      </c>
    </row>
    <row r="50" spans="9:12" x14ac:dyDescent="0.2">
      <c r="I50" s="129">
        <v>2020</v>
      </c>
      <c r="J50" s="132" t="s">
        <v>352</v>
      </c>
      <c r="K50" s="132">
        <v>439211</v>
      </c>
      <c r="L50" s="140">
        <f t="shared" si="2"/>
        <v>8.7872250552243855E-4</v>
      </c>
    </row>
    <row r="51" spans="9:12" x14ac:dyDescent="0.2">
      <c r="I51" s="129">
        <v>2020</v>
      </c>
      <c r="J51" s="132" t="s">
        <v>353</v>
      </c>
      <c r="K51" s="132">
        <v>491354</v>
      </c>
      <c r="L51" s="140">
        <f t="shared" si="2"/>
        <v>9.8304418144917207E-4</v>
      </c>
    </row>
    <row r="52" spans="9:12" x14ac:dyDescent="0.2">
      <c r="I52" s="129">
        <v>2020</v>
      </c>
      <c r="J52" s="132" t="s">
        <v>354</v>
      </c>
      <c r="K52" s="132">
        <v>554931</v>
      </c>
      <c r="L52" s="140">
        <f t="shared" si="2"/>
        <v>1.1102416804498803E-3</v>
      </c>
    </row>
    <row r="53" spans="9:12" x14ac:dyDescent="0.2">
      <c r="I53" s="129">
        <v>2020</v>
      </c>
      <c r="J53" s="132" t="s">
        <v>355</v>
      </c>
      <c r="K53" s="132">
        <v>101339</v>
      </c>
      <c r="L53" s="140">
        <f t="shared" si="2"/>
        <v>2.0274733553380585E-4</v>
      </c>
    </row>
    <row r="54" spans="9:12" x14ac:dyDescent="0.2">
      <c r="I54" s="129">
        <v>2020</v>
      </c>
      <c r="J54" s="132" t="s">
        <v>356</v>
      </c>
      <c r="K54" s="132">
        <v>65126</v>
      </c>
      <c r="L54" s="140">
        <f t="shared" si="2"/>
        <v>1.302965588171843E-4</v>
      </c>
    </row>
    <row r="55" spans="9:12" x14ac:dyDescent="0.2">
      <c r="I55" s="129">
        <v>2020</v>
      </c>
      <c r="J55" s="132" t="s">
        <v>357</v>
      </c>
      <c r="K55" s="132">
        <v>13551</v>
      </c>
      <c r="L55" s="140">
        <f t="shared" si="2"/>
        <v>2.7111271512631888E-5</v>
      </c>
    </row>
    <row r="56" spans="9:12" x14ac:dyDescent="0.2">
      <c r="I56" s="129">
        <v>2020</v>
      </c>
      <c r="J56" s="132" t="s">
        <v>358</v>
      </c>
      <c r="K56" s="132">
        <v>479403</v>
      </c>
      <c r="L56" s="140">
        <f t="shared" si="2"/>
        <v>9.591340046469091E-4</v>
      </c>
    </row>
    <row r="57" spans="9:12" x14ac:dyDescent="0.2">
      <c r="I57" s="129">
        <v>2020</v>
      </c>
      <c r="J57" s="132" t="s">
        <v>359</v>
      </c>
      <c r="K57" s="132">
        <v>54925</v>
      </c>
      <c r="L57" s="140">
        <f t="shared" si="2"/>
        <v>1.0988757935438761E-4</v>
      </c>
    </row>
    <row r="58" spans="9:12" x14ac:dyDescent="0.2">
      <c r="I58" s="129">
        <v>2020</v>
      </c>
      <c r="J58" s="132" t="s">
        <v>360</v>
      </c>
      <c r="K58" s="132">
        <v>841219</v>
      </c>
      <c r="L58" s="140">
        <f t="shared" si="2"/>
        <v>1.6830135569762146E-3</v>
      </c>
    </row>
    <row r="59" spans="9:12" x14ac:dyDescent="0.2">
      <c r="I59" s="129">
        <v>2020</v>
      </c>
      <c r="J59" s="132" t="s">
        <v>361</v>
      </c>
      <c r="K59" s="132">
        <v>221276</v>
      </c>
      <c r="L59" s="140">
        <f t="shared" si="2"/>
        <v>4.4270339570726396E-4</v>
      </c>
    </row>
    <row r="60" spans="9:12" x14ac:dyDescent="0.2">
      <c r="I60" s="129">
        <v>2020</v>
      </c>
      <c r="J60" s="132" t="s">
        <v>362</v>
      </c>
      <c r="K60" s="132">
        <v>78510</v>
      </c>
      <c r="L60" s="140">
        <f t="shared" si="2"/>
        <v>1.5707371606942143E-4</v>
      </c>
    </row>
    <row r="61" spans="9:12" x14ac:dyDescent="0.2">
      <c r="I61" s="129">
        <v>2020</v>
      </c>
      <c r="J61" s="132" t="s">
        <v>363</v>
      </c>
      <c r="K61" s="132">
        <v>39648938</v>
      </c>
      <c r="L61" s="140">
        <f t="shared" si="2"/>
        <v>7.9325003564719068E-2</v>
      </c>
    </row>
    <row r="62" spans="9:12" x14ac:dyDescent="0.2">
      <c r="I62" s="129">
        <v>2019</v>
      </c>
      <c r="J62" s="132" t="s">
        <v>305</v>
      </c>
      <c r="K62" s="132">
        <v>1659608</v>
      </c>
      <c r="L62" s="140">
        <f t="shared" si="2"/>
        <v>3.3397382507051338E-3</v>
      </c>
    </row>
    <row r="63" spans="9:12" x14ac:dyDescent="0.2">
      <c r="I63" s="129">
        <v>2019</v>
      </c>
      <c r="J63" s="132" t="s">
        <v>306</v>
      </c>
      <c r="K63" s="132">
        <v>1149</v>
      </c>
      <c r="L63" s="140">
        <f t="shared" si="2"/>
        <v>2.3122082142651751E-6</v>
      </c>
    </row>
    <row r="64" spans="9:12" x14ac:dyDescent="0.2">
      <c r="I64" s="129">
        <v>2019</v>
      </c>
      <c r="J64" s="132" t="s">
        <v>307</v>
      </c>
      <c r="K64" s="132">
        <v>37756</v>
      </c>
      <c r="L64" s="140">
        <f t="shared" si="2"/>
        <v>7.5978880189552615E-5</v>
      </c>
    </row>
    <row r="65" spans="9:12" x14ac:dyDescent="0.2">
      <c r="I65" s="129">
        <v>2019</v>
      </c>
      <c r="J65" s="132" t="s">
        <v>308</v>
      </c>
      <c r="K65" s="132">
        <v>220855</v>
      </c>
      <c r="L65" s="140">
        <f t="shared" si="2"/>
        <v>4.4444103147218039E-4</v>
      </c>
    </row>
    <row r="66" spans="9:12" x14ac:dyDescent="0.2">
      <c r="I66" s="129">
        <v>2019</v>
      </c>
      <c r="J66" s="132" t="s">
        <v>309</v>
      </c>
      <c r="K66" s="132">
        <v>45084</v>
      </c>
      <c r="L66" s="140">
        <f t="shared" si="2"/>
        <v>9.072549619837351E-5</v>
      </c>
    </row>
    <row r="67" spans="9:12" x14ac:dyDescent="0.2">
      <c r="I67" s="129">
        <v>2019</v>
      </c>
      <c r="J67" s="132" t="s">
        <v>310</v>
      </c>
      <c r="K67" s="132">
        <v>21942</v>
      </c>
      <c r="L67" s="140">
        <f t="shared" si="2"/>
        <v>4.4155328666150109E-5</v>
      </c>
    </row>
    <row r="68" spans="9:12" x14ac:dyDescent="0.2">
      <c r="I68" s="129">
        <v>2019</v>
      </c>
      <c r="J68" s="132" t="s">
        <v>311</v>
      </c>
      <c r="K68" s="132">
        <v>1147623</v>
      </c>
      <c r="L68" s="140">
        <f t="shared" ref="L68:L131" si="3">K68/VLOOKUP(I68,$A$3:$E$18,5,FALSE)</f>
        <v>2.3094371866663561E-3</v>
      </c>
    </row>
    <row r="69" spans="9:12" x14ac:dyDescent="0.2">
      <c r="I69" s="129">
        <v>2019</v>
      </c>
      <c r="J69" s="132" t="s">
        <v>312</v>
      </c>
      <c r="K69" s="132">
        <v>27145</v>
      </c>
      <c r="L69" s="140">
        <f t="shared" si="3"/>
        <v>5.4625667516299545E-5</v>
      </c>
    </row>
    <row r="70" spans="9:12" x14ac:dyDescent="0.2">
      <c r="I70" s="129">
        <v>2019</v>
      </c>
      <c r="J70" s="132" t="s">
        <v>313</v>
      </c>
      <c r="K70" s="132">
        <v>189691</v>
      </c>
      <c r="L70" s="140">
        <f t="shared" si="3"/>
        <v>3.8172766612025704E-4</v>
      </c>
    </row>
    <row r="71" spans="9:12" x14ac:dyDescent="0.2">
      <c r="I71" s="129">
        <v>2019</v>
      </c>
      <c r="J71" s="132" t="s">
        <v>314</v>
      </c>
      <c r="K71" s="132">
        <v>1013007</v>
      </c>
      <c r="L71" s="140">
        <f t="shared" si="3"/>
        <v>2.0385405626702543E-3</v>
      </c>
    </row>
    <row r="72" spans="9:12" x14ac:dyDescent="0.2">
      <c r="I72" s="129">
        <v>2019</v>
      </c>
      <c r="J72" s="132" t="s">
        <v>315</v>
      </c>
      <c r="K72" s="132">
        <v>28661</v>
      </c>
      <c r="L72" s="140">
        <f t="shared" si="3"/>
        <v>5.7676413950438802E-5</v>
      </c>
    </row>
    <row r="73" spans="9:12" x14ac:dyDescent="0.2">
      <c r="I73" s="129">
        <v>2019</v>
      </c>
      <c r="J73" s="132" t="s">
        <v>316</v>
      </c>
      <c r="K73" s="132">
        <v>133717</v>
      </c>
      <c r="L73" s="140">
        <f t="shared" si="3"/>
        <v>2.6908750721226844E-4</v>
      </c>
    </row>
    <row r="74" spans="9:12" x14ac:dyDescent="0.2">
      <c r="I74" s="129">
        <v>2019</v>
      </c>
      <c r="J74" s="132" t="s">
        <v>317</v>
      </c>
      <c r="K74" s="132">
        <v>188552</v>
      </c>
      <c r="L74" s="140">
        <f t="shared" si="3"/>
        <v>3.7943558156320917E-4</v>
      </c>
    </row>
    <row r="75" spans="9:12" x14ac:dyDescent="0.2">
      <c r="I75" s="129">
        <v>2019</v>
      </c>
      <c r="J75" s="132" t="s">
        <v>318</v>
      </c>
      <c r="K75" s="132">
        <v>18569</v>
      </c>
      <c r="L75" s="140">
        <f t="shared" si="3"/>
        <v>3.7367619086762435E-5</v>
      </c>
    </row>
    <row r="76" spans="9:12" x14ac:dyDescent="0.2">
      <c r="I76" s="129">
        <v>2019</v>
      </c>
      <c r="J76" s="132" t="s">
        <v>319</v>
      </c>
      <c r="K76" s="132">
        <v>907065</v>
      </c>
      <c r="L76" s="140">
        <f t="shared" si="3"/>
        <v>1.8253465133789739E-3</v>
      </c>
    </row>
    <row r="77" spans="9:12" x14ac:dyDescent="0.2">
      <c r="I77" s="129">
        <v>2019</v>
      </c>
      <c r="J77" s="132" t="s">
        <v>320</v>
      </c>
      <c r="K77" s="132">
        <v>152762</v>
      </c>
      <c r="L77" s="140">
        <f t="shared" si="3"/>
        <v>3.074130123825733E-4</v>
      </c>
    </row>
    <row r="78" spans="9:12" x14ac:dyDescent="0.2">
      <c r="I78" s="129">
        <v>2019</v>
      </c>
      <c r="J78" s="132" t="s">
        <v>321</v>
      </c>
      <c r="K78" s="132">
        <v>64187</v>
      </c>
      <c r="L78" s="140">
        <f t="shared" si="3"/>
        <v>1.2916771858053857E-4</v>
      </c>
    </row>
    <row r="79" spans="9:12" x14ac:dyDescent="0.2">
      <c r="I79" s="129">
        <v>2019</v>
      </c>
      <c r="J79" s="132" t="s">
        <v>322</v>
      </c>
      <c r="K79" s="132">
        <v>29235</v>
      </c>
      <c r="L79" s="140">
        <f t="shared" si="3"/>
        <v>5.8831511874710526E-5</v>
      </c>
    </row>
    <row r="80" spans="9:12" x14ac:dyDescent="0.2">
      <c r="I80" s="129">
        <v>2019</v>
      </c>
      <c r="J80" s="132" t="s">
        <v>323</v>
      </c>
      <c r="K80" s="132">
        <v>10163139</v>
      </c>
      <c r="L80" s="140">
        <f t="shared" si="3"/>
        <v>2.045195254875436E-2</v>
      </c>
    </row>
    <row r="81" spans="9:12" x14ac:dyDescent="0.2">
      <c r="I81" s="129">
        <v>2019</v>
      </c>
      <c r="J81" s="132" t="s">
        <v>324</v>
      </c>
      <c r="K81" s="132">
        <v>157969</v>
      </c>
      <c r="L81" s="140">
        <f t="shared" si="3"/>
        <v>3.1789140069560961E-4</v>
      </c>
    </row>
    <row r="82" spans="9:12" x14ac:dyDescent="0.2">
      <c r="I82" s="129">
        <v>2019</v>
      </c>
      <c r="J82" s="132" t="s">
        <v>325</v>
      </c>
      <c r="K82" s="132">
        <v>261478</v>
      </c>
      <c r="L82" s="140">
        <f t="shared" si="3"/>
        <v>5.2618936418592646E-4</v>
      </c>
    </row>
    <row r="83" spans="9:12" x14ac:dyDescent="0.2">
      <c r="I83" s="129">
        <v>2019</v>
      </c>
      <c r="J83" s="132" t="s">
        <v>326</v>
      </c>
      <c r="K83" s="132">
        <v>18066</v>
      </c>
      <c r="L83" s="140">
        <f t="shared" si="3"/>
        <v>3.635539912873338E-5</v>
      </c>
    </row>
    <row r="84" spans="9:12" x14ac:dyDescent="0.2">
      <c r="I84" s="129">
        <v>2019</v>
      </c>
      <c r="J84" s="132" t="s">
        <v>327</v>
      </c>
      <c r="K84" s="132">
        <v>88205</v>
      </c>
      <c r="L84" s="140">
        <f t="shared" si="3"/>
        <v>1.7750071848499546E-4</v>
      </c>
    </row>
    <row r="85" spans="9:12" x14ac:dyDescent="0.2">
      <c r="I85" s="129">
        <v>2019</v>
      </c>
      <c r="J85" s="132" t="s">
        <v>328</v>
      </c>
      <c r="K85" s="132">
        <v>280441</v>
      </c>
      <c r="L85" s="140">
        <f t="shared" si="3"/>
        <v>5.6434985536704967E-4</v>
      </c>
    </row>
    <row r="86" spans="9:12" x14ac:dyDescent="0.2">
      <c r="I86" s="129">
        <v>2019</v>
      </c>
      <c r="J86" s="132" t="s">
        <v>329</v>
      </c>
      <c r="K86" s="132">
        <v>9635</v>
      </c>
      <c r="L86" s="140">
        <f t="shared" si="3"/>
        <v>1.938914372884679E-5</v>
      </c>
    </row>
    <row r="87" spans="9:12" x14ac:dyDescent="0.2">
      <c r="I87" s="129">
        <v>2019</v>
      </c>
      <c r="J87" s="132" t="s">
        <v>330</v>
      </c>
      <c r="K87" s="132">
        <v>13524</v>
      </c>
      <c r="L87" s="140">
        <f t="shared" si="3"/>
        <v>2.721523402064598E-5</v>
      </c>
    </row>
    <row r="88" spans="9:12" x14ac:dyDescent="0.2">
      <c r="I88" s="129">
        <v>2019</v>
      </c>
      <c r="J88" s="132" t="s">
        <v>331</v>
      </c>
      <c r="K88" s="132">
        <v>440199</v>
      </c>
      <c r="L88" s="140">
        <f t="shared" si="3"/>
        <v>8.8584137833883016E-4</v>
      </c>
    </row>
    <row r="89" spans="9:12" x14ac:dyDescent="0.2">
      <c r="I89" s="129">
        <v>2019</v>
      </c>
      <c r="J89" s="132" t="s">
        <v>332</v>
      </c>
      <c r="K89" s="132">
        <v>139608</v>
      </c>
      <c r="L89" s="140">
        <f t="shared" si="3"/>
        <v>2.8094235367896655E-4</v>
      </c>
    </row>
    <row r="90" spans="9:12" x14ac:dyDescent="0.2">
      <c r="I90" s="129">
        <v>2019</v>
      </c>
      <c r="J90" s="132" t="s">
        <v>333</v>
      </c>
      <c r="K90" s="132">
        <v>97696</v>
      </c>
      <c r="L90" s="140">
        <f t="shared" si="3"/>
        <v>1.9660008154991345E-4</v>
      </c>
    </row>
    <row r="91" spans="9:12" x14ac:dyDescent="0.2">
      <c r="I91" s="129">
        <v>2019</v>
      </c>
      <c r="J91" s="132" t="s">
        <v>334</v>
      </c>
      <c r="K91" s="132">
        <v>3185378</v>
      </c>
      <c r="L91" s="140">
        <f t="shared" si="3"/>
        <v>6.4101454979456707E-3</v>
      </c>
    </row>
    <row r="92" spans="9:12" x14ac:dyDescent="0.2">
      <c r="I92" s="129">
        <v>2019</v>
      </c>
      <c r="J92" s="132" t="s">
        <v>335</v>
      </c>
      <c r="K92" s="132">
        <v>395345</v>
      </c>
      <c r="L92" s="140">
        <f t="shared" si="3"/>
        <v>7.9557872625645408E-4</v>
      </c>
    </row>
    <row r="93" spans="9:12" x14ac:dyDescent="0.2">
      <c r="I93" s="129">
        <v>2019</v>
      </c>
      <c r="J93" s="132" t="s">
        <v>336</v>
      </c>
      <c r="K93" s="132">
        <v>18287</v>
      </c>
      <c r="L93" s="140">
        <f t="shared" si="3"/>
        <v>3.680013195323521E-5</v>
      </c>
    </row>
    <row r="94" spans="9:12" x14ac:dyDescent="0.2">
      <c r="I94" s="129">
        <v>2019</v>
      </c>
      <c r="J94" s="132" t="s">
        <v>337</v>
      </c>
      <c r="K94" s="132">
        <v>2419057</v>
      </c>
      <c r="L94" s="140">
        <f t="shared" si="3"/>
        <v>4.8680273857055461E-3</v>
      </c>
    </row>
    <row r="95" spans="9:12" x14ac:dyDescent="0.2">
      <c r="I95" s="129">
        <v>2019</v>
      </c>
      <c r="J95" s="132" t="s">
        <v>338</v>
      </c>
      <c r="K95" s="132">
        <v>1538054</v>
      </c>
      <c r="L95" s="140">
        <f t="shared" si="3"/>
        <v>3.0951271477662403E-3</v>
      </c>
    </row>
    <row r="96" spans="9:12" x14ac:dyDescent="0.2">
      <c r="I96" s="129">
        <v>2019</v>
      </c>
      <c r="J96" s="132" t="s">
        <v>339</v>
      </c>
      <c r="K96" s="132">
        <v>61437</v>
      </c>
      <c r="L96" s="140">
        <f t="shared" si="3"/>
        <v>1.2363371284578725E-4</v>
      </c>
    </row>
    <row r="97" spans="9:12" x14ac:dyDescent="0.2">
      <c r="I97" s="129">
        <v>2019</v>
      </c>
      <c r="J97" s="132" t="s">
        <v>340</v>
      </c>
      <c r="K97" s="132">
        <v>2165876</v>
      </c>
      <c r="L97" s="140">
        <f t="shared" si="3"/>
        <v>4.3585346199127946E-3</v>
      </c>
    </row>
    <row r="98" spans="9:12" x14ac:dyDescent="0.2">
      <c r="I98" s="129">
        <v>2019</v>
      </c>
      <c r="J98" s="132" t="s">
        <v>341</v>
      </c>
      <c r="K98" s="132">
        <v>3333319</v>
      </c>
      <c r="L98" s="140">
        <f t="shared" si="3"/>
        <v>6.7078568951837942E-3</v>
      </c>
    </row>
    <row r="99" spans="9:12" x14ac:dyDescent="0.2">
      <c r="I99" s="129">
        <v>2019</v>
      </c>
      <c r="J99" s="132" t="s">
        <v>342</v>
      </c>
      <c r="K99" s="132">
        <v>886885</v>
      </c>
      <c r="L99" s="140">
        <f t="shared" si="3"/>
        <v>1.7847369731145081E-3</v>
      </c>
    </row>
    <row r="100" spans="9:12" x14ac:dyDescent="0.2">
      <c r="I100" s="129">
        <v>2019</v>
      </c>
      <c r="J100" s="132" t="s">
        <v>343</v>
      </c>
      <c r="K100" s="132">
        <v>764373</v>
      </c>
      <c r="L100" s="140">
        <f t="shared" si="3"/>
        <v>1.538198023814199E-3</v>
      </c>
    </row>
    <row r="101" spans="9:12" x14ac:dyDescent="0.2">
      <c r="I101" s="129">
        <v>2019</v>
      </c>
      <c r="J101" s="132" t="s">
        <v>344</v>
      </c>
      <c r="K101" s="132">
        <v>277850</v>
      </c>
      <c r="L101" s="140">
        <f t="shared" si="3"/>
        <v>5.5913581578205301E-4</v>
      </c>
    </row>
    <row r="102" spans="9:12" x14ac:dyDescent="0.2">
      <c r="I102" s="129">
        <v>2019</v>
      </c>
      <c r="J102" s="132" t="s">
        <v>345</v>
      </c>
      <c r="K102" s="132">
        <v>771160</v>
      </c>
      <c r="L102" s="140">
        <f t="shared" si="3"/>
        <v>1.5518559499675653E-3</v>
      </c>
    </row>
    <row r="103" spans="9:12" x14ac:dyDescent="0.2">
      <c r="I103" s="129">
        <v>2019</v>
      </c>
      <c r="J103" s="132" t="s">
        <v>346</v>
      </c>
      <c r="K103" s="132">
        <v>449795</v>
      </c>
      <c r="L103" s="140">
        <f t="shared" si="3"/>
        <v>9.0515203980452957E-4</v>
      </c>
    </row>
    <row r="104" spans="9:12" x14ac:dyDescent="0.2">
      <c r="I104" s="129">
        <v>2019</v>
      </c>
      <c r="J104" s="132" t="s">
        <v>347</v>
      </c>
      <c r="K104" s="132">
        <v>1944733</v>
      </c>
      <c r="L104" s="140">
        <f t="shared" si="3"/>
        <v>3.9135140271127564E-3</v>
      </c>
    </row>
    <row r="105" spans="9:12" x14ac:dyDescent="0.2">
      <c r="I105" s="129">
        <v>2019</v>
      </c>
      <c r="J105" s="132" t="s">
        <v>348</v>
      </c>
      <c r="K105" s="132">
        <v>271822</v>
      </c>
      <c r="L105" s="140">
        <f t="shared" si="3"/>
        <v>5.4700527521147821E-4</v>
      </c>
    </row>
    <row r="106" spans="9:12" x14ac:dyDescent="0.2">
      <c r="I106" s="129">
        <v>2019</v>
      </c>
      <c r="J106" s="132" t="s">
        <v>349</v>
      </c>
      <c r="K106" s="132">
        <v>177633</v>
      </c>
      <c r="L106" s="140">
        <f t="shared" si="3"/>
        <v>3.5746256024766392E-4</v>
      </c>
    </row>
    <row r="107" spans="9:12" x14ac:dyDescent="0.2">
      <c r="I107" s="129">
        <v>2019</v>
      </c>
      <c r="J107" s="132" t="s">
        <v>350</v>
      </c>
      <c r="K107" s="132">
        <v>3209</v>
      </c>
      <c r="L107" s="140">
        <f t="shared" si="3"/>
        <v>6.4576816010243231E-6</v>
      </c>
    </row>
    <row r="108" spans="9:12" x14ac:dyDescent="0.2">
      <c r="I108" s="129">
        <v>2019</v>
      </c>
      <c r="J108" s="132" t="s">
        <v>351</v>
      </c>
      <c r="K108" s="132">
        <v>44589</v>
      </c>
      <c r="L108" s="140">
        <f t="shared" si="3"/>
        <v>8.9729375166118272E-5</v>
      </c>
    </row>
    <row r="109" spans="9:12" x14ac:dyDescent="0.2">
      <c r="I109" s="129">
        <v>2019</v>
      </c>
      <c r="J109" s="132" t="s">
        <v>352</v>
      </c>
      <c r="K109" s="132">
        <v>438205</v>
      </c>
      <c r="L109" s="140">
        <f t="shared" si="3"/>
        <v>8.8182872108970506E-4</v>
      </c>
    </row>
    <row r="110" spans="9:12" x14ac:dyDescent="0.2">
      <c r="I110" s="129">
        <v>2019</v>
      </c>
      <c r="J110" s="132" t="s">
        <v>353</v>
      </c>
      <c r="K110" s="132">
        <v>495919</v>
      </c>
      <c r="L110" s="140">
        <f t="shared" si="3"/>
        <v>9.9797039635349987E-4</v>
      </c>
    </row>
    <row r="111" spans="9:12" x14ac:dyDescent="0.2">
      <c r="I111" s="129">
        <v>2019</v>
      </c>
      <c r="J111" s="132" t="s">
        <v>354</v>
      </c>
      <c r="K111" s="132">
        <v>553131</v>
      </c>
      <c r="L111" s="140">
        <f t="shared" si="3"/>
        <v>1.1131018640249874E-3</v>
      </c>
    </row>
    <row r="112" spans="9:12" x14ac:dyDescent="0.2">
      <c r="I112" s="129">
        <v>2019</v>
      </c>
      <c r="J112" s="132" t="s">
        <v>355</v>
      </c>
      <c r="K112" s="132">
        <v>102681</v>
      </c>
      <c r="L112" s="140">
        <f t="shared" si="3"/>
        <v>2.0663172467272624E-4</v>
      </c>
    </row>
    <row r="113" spans="9:12" x14ac:dyDescent="0.2">
      <c r="I113" s="129">
        <v>2019</v>
      </c>
      <c r="J113" s="132" t="s">
        <v>356</v>
      </c>
      <c r="K113" s="132">
        <v>64538</v>
      </c>
      <c r="L113" s="140">
        <f t="shared" si="3"/>
        <v>1.2987405894886501E-4</v>
      </c>
    </row>
    <row r="114" spans="9:12" x14ac:dyDescent="0.2">
      <c r="I114" s="129">
        <v>2019</v>
      </c>
      <c r="J114" s="132" t="s">
        <v>357</v>
      </c>
      <c r="K114" s="132">
        <v>13637</v>
      </c>
      <c r="L114" s="140">
        <f t="shared" si="3"/>
        <v>2.7442631347201213E-5</v>
      </c>
    </row>
    <row r="115" spans="9:12" x14ac:dyDescent="0.2">
      <c r="I115" s="129">
        <v>2019</v>
      </c>
      <c r="J115" s="132" t="s">
        <v>358</v>
      </c>
      <c r="K115" s="132">
        <v>475535</v>
      </c>
      <c r="L115" s="140">
        <f t="shared" si="3"/>
        <v>9.5695033348180167E-4</v>
      </c>
    </row>
    <row r="116" spans="9:12" x14ac:dyDescent="0.2">
      <c r="I116" s="129">
        <v>2019</v>
      </c>
      <c r="J116" s="132" t="s">
        <v>359</v>
      </c>
      <c r="K116" s="132">
        <v>54532</v>
      </c>
      <c r="L116" s="140">
        <f t="shared" si="3"/>
        <v>1.0973832753725722E-4</v>
      </c>
    </row>
    <row r="117" spans="9:12" x14ac:dyDescent="0.2">
      <c r="I117" s="129">
        <v>2019</v>
      </c>
      <c r="J117" s="132" t="s">
        <v>360</v>
      </c>
      <c r="K117" s="132">
        <v>844259</v>
      </c>
      <c r="L117" s="140">
        <f t="shared" si="3"/>
        <v>1.6989578718601414E-3</v>
      </c>
    </row>
    <row r="118" spans="9:12" x14ac:dyDescent="0.2">
      <c r="I118" s="129">
        <v>2019</v>
      </c>
      <c r="J118" s="132" t="s">
        <v>361</v>
      </c>
      <c r="K118" s="132">
        <v>220330</v>
      </c>
      <c r="L118" s="140">
        <f t="shared" si="3"/>
        <v>4.4338453946827334E-4</v>
      </c>
    </row>
    <row r="119" spans="9:12" x14ac:dyDescent="0.2">
      <c r="I119" s="129">
        <v>2019</v>
      </c>
      <c r="J119" s="132" t="s">
        <v>362</v>
      </c>
      <c r="K119" s="132">
        <v>77224</v>
      </c>
      <c r="L119" s="140">
        <f t="shared" si="3"/>
        <v>1.5540293049470311E-4</v>
      </c>
    </row>
    <row r="120" spans="9:12" x14ac:dyDescent="0.2">
      <c r="I120" s="129">
        <v>2019</v>
      </c>
      <c r="J120" s="132" t="s">
        <v>363</v>
      </c>
      <c r="K120" s="132">
        <v>39605361</v>
      </c>
      <c r="L120" s="140">
        <f t="shared" si="3"/>
        <v>7.9700470873052751E-2</v>
      </c>
    </row>
    <row r="121" spans="9:12" x14ac:dyDescent="0.2">
      <c r="I121" s="129">
        <v>2018</v>
      </c>
      <c r="J121" s="132" t="s">
        <v>305</v>
      </c>
      <c r="K121" s="132">
        <v>1651760</v>
      </c>
      <c r="L121" s="140">
        <f t="shared" si="3"/>
        <v>3.3491409802947165E-3</v>
      </c>
    </row>
    <row r="122" spans="9:12" x14ac:dyDescent="0.2">
      <c r="I122" s="129">
        <v>2018</v>
      </c>
      <c r="J122" s="132" t="s">
        <v>306</v>
      </c>
      <c r="K122" s="132">
        <v>1159</v>
      </c>
      <c r="L122" s="140">
        <f t="shared" si="3"/>
        <v>2.3500111373090379E-6</v>
      </c>
    </row>
    <row r="123" spans="9:12" x14ac:dyDescent="0.2">
      <c r="I123" s="129">
        <v>2018</v>
      </c>
      <c r="J123" s="132" t="s">
        <v>307</v>
      </c>
      <c r="K123" s="132">
        <v>37519</v>
      </c>
      <c r="L123" s="140">
        <f t="shared" si="3"/>
        <v>7.6074260449264712E-5</v>
      </c>
    </row>
    <row r="124" spans="9:12" x14ac:dyDescent="0.2">
      <c r="I124" s="129">
        <v>2018</v>
      </c>
      <c r="J124" s="132" t="s">
        <v>308</v>
      </c>
      <c r="K124" s="132">
        <v>226098</v>
      </c>
      <c r="L124" s="140">
        <f t="shared" si="3"/>
        <v>4.5844074039974017E-4</v>
      </c>
    </row>
    <row r="125" spans="9:12" x14ac:dyDescent="0.2">
      <c r="I125" s="129">
        <v>2018</v>
      </c>
      <c r="J125" s="132" t="s">
        <v>309</v>
      </c>
      <c r="K125" s="132">
        <v>45155</v>
      </c>
      <c r="L125" s="140">
        <f t="shared" si="3"/>
        <v>9.1557163852622609E-5</v>
      </c>
    </row>
    <row r="126" spans="9:12" x14ac:dyDescent="0.2">
      <c r="I126" s="129">
        <v>2018</v>
      </c>
      <c r="J126" s="132" t="s">
        <v>310</v>
      </c>
      <c r="K126" s="132">
        <v>21982</v>
      </c>
      <c r="L126" s="140">
        <f t="shared" si="3"/>
        <v>4.4571134443768141E-5</v>
      </c>
    </row>
    <row r="127" spans="9:12" x14ac:dyDescent="0.2">
      <c r="I127" s="129">
        <v>2018</v>
      </c>
      <c r="J127" s="132" t="s">
        <v>311</v>
      </c>
      <c r="K127" s="132">
        <v>1143188</v>
      </c>
      <c r="L127" s="140">
        <f t="shared" si="3"/>
        <v>2.3179504159085802E-3</v>
      </c>
    </row>
    <row r="128" spans="9:12" x14ac:dyDescent="0.2">
      <c r="I128" s="129">
        <v>2018</v>
      </c>
      <c r="J128" s="132" t="s">
        <v>312</v>
      </c>
      <c r="K128" s="132">
        <v>26895</v>
      </c>
      <c r="L128" s="140">
        <f t="shared" si="3"/>
        <v>5.4532829627201531E-5</v>
      </c>
    </row>
    <row r="129" spans="9:12" x14ac:dyDescent="0.2">
      <c r="I129" s="129">
        <v>2018</v>
      </c>
      <c r="J129" s="132" t="s">
        <v>313</v>
      </c>
      <c r="K129" s="132">
        <v>187940</v>
      </c>
      <c r="L129" s="140">
        <f t="shared" si="3"/>
        <v>3.8107083101454755E-4</v>
      </c>
    </row>
    <row r="130" spans="9:12" x14ac:dyDescent="0.2">
      <c r="I130" s="129">
        <v>2018</v>
      </c>
      <c r="J130" s="132" t="s">
        <v>314</v>
      </c>
      <c r="K130" s="132">
        <v>1003012</v>
      </c>
      <c r="L130" s="140">
        <f t="shared" si="3"/>
        <v>2.0337268083301233E-3</v>
      </c>
    </row>
    <row r="131" spans="9:12" x14ac:dyDescent="0.2">
      <c r="I131" s="129">
        <v>2018</v>
      </c>
      <c r="J131" s="132" t="s">
        <v>315</v>
      </c>
      <c r="K131" s="132">
        <v>28476</v>
      </c>
      <c r="L131" s="140">
        <f t="shared" si="3"/>
        <v>5.7738496243323697E-5</v>
      </c>
    </row>
    <row r="132" spans="9:12" x14ac:dyDescent="0.2">
      <c r="I132" s="129">
        <v>2018</v>
      </c>
      <c r="J132" s="132" t="s">
        <v>316</v>
      </c>
      <c r="K132" s="132">
        <v>134932</v>
      </c>
      <c r="L132" s="140">
        <f t="shared" ref="L132:L195" si="4">K132/VLOOKUP(I132,$A$3:$E$18,5,FALSE)</f>
        <v>2.7359077030145222E-4</v>
      </c>
    </row>
    <row r="133" spans="9:12" x14ac:dyDescent="0.2">
      <c r="I133" s="129">
        <v>2018</v>
      </c>
      <c r="J133" s="132" t="s">
        <v>317</v>
      </c>
      <c r="K133" s="132">
        <v>188042</v>
      </c>
      <c r="L133" s="140">
        <f t="shared" si="4"/>
        <v>3.8127764821558767E-4</v>
      </c>
    </row>
    <row r="134" spans="9:12" x14ac:dyDescent="0.2">
      <c r="I134" s="129">
        <v>2018</v>
      </c>
      <c r="J134" s="132" t="s">
        <v>318</v>
      </c>
      <c r="K134" s="132">
        <v>18579</v>
      </c>
      <c r="L134" s="140">
        <f t="shared" si="4"/>
        <v>3.7671144883576028E-5</v>
      </c>
    </row>
    <row r="135" spans="9:12" x14ac:dyDescent="0.2">
      <c r="I135" s="129">
        <v>2018</v>
      </c>
      <c r="J135" s="132" t="s">
        <v>319</v>
      </c>
      <c r="K135" s="132">
        <v>898824</v>
      </c>
      <c r="L135" s="140">
        <f t="shared" si="4"/>
        <v>1.8224731755657106E-3</v>
      </c>
    </row>
    <row r="136" spans="9:12" x14ac:dyDescent="0.2">
      <c r="I136" s="129">
        <v>2018</v>
      </c>
      <c r="J136" s="132" t="s">
        <v>320</v>
      </c>
      <c r="K136" s="132">
        <v>150807</v>
      </c>
      <c r="L136" s="140">
        <f t="shared" si="4"/>
        <v>3.0577923173784652E-4</v>
      </c>
    </row>
    <row r="137" spans="9:12" x14ac:dyDescent="0.2">
      <c r="I137" s="129">
        <v>2018</v>
      </c>
      <c r="J137" s="132" t="s">
        <v>321</v>
      </c>
      <c r="K137" s="132">
        <v>64599</v>
      </c>
      <c r="L137" s="140">
        <f t="shared" si="4"/>
        <v>1.3098219970580376E-4</v>
      </c>
    </row>
    <row r="138" spans="9:12" x14ac:dyDescent="0.2">
      <c r="I138" s="129">
        <v>2018</v>
      </c>
      <c r="J138" s="132" t="s">
        <v>322</v>
      </c>
      <c r="K138" s="132">
        <v>29629</v>
      </c>
      <c r="L138" s="140">
        <f t="shared" si="4"/>
        <v>6.0076341662924493E-5</v>
      </c>
    </row>
    <row r="139" spans="9:12" x14ac:dyDescent="0.2">
      <c r="I139" s="129">
        <v>2018</v>
      </c>
      <c r="J139" s="132" t="s">
        <v>323</v>
      </c>
      <c r="K139" s="132">
        <v>10192593</v>
      </c>
      <c r="L139" s="140">
        <f t="shared" si="4"/>
        <v>2.066670152550314E-2</v>
      </c>
    </row>
    <row r="140" spans="9:12" x14ac:dyDescent="0.2">
      <c r="I140" s="129">
        <v>2018</v>
      </c>
      <c r="J140" s="132" t="s">
        <v>324</v>
      </c>
      <c r="K140" s="132">
        <v>157195</v>
      </c>
      <c r="L140" s="140">
        <f t="shared" si="4"/>
        <v>3.1873166585788976E-4</v>
      </c>
    </row>
    <row r="141" spans="9:12" x14ac:dyDescent="0.2">
      <c r="I141" s="129">
        <v>2018</v>
      </c>
      <c r="J141" s="132" t="s">
        <v>325</v>
      </c>
      <c r="K141" s="132">
        <v>262179</v>
      </c>
      <c r="L141" s="140">
        <f t="shared" si="4"/>
        <v>5.3159928383826258E-4</v>
      </c>
    </row>
    <row r="142" spans="9:12" x14ac:dyDescent="0.2">
      <c r="I142" s="129">
        <v>2018</v>
      </c>
      <c r="J142" s="132" t="s">
        <v>326</v>
      </c>
      <c r="K142" s="132">
        <v>18128</v>
      </c>
      <c r="L142" s="140">
        <f t="shared" si="4"/>
        <v>3.6756688435839726E-5</v>
      </c>
    </row>
    <row r="143" spans="9:12" x14ac:dyDescent="0.2">
      <c r="I143" s="129">
        <v>2018</v>
      </c>
      <c r="J143" s="132" t="s">
        <v>327</v>
      </c>
      <c r="K143" s="132">
        <v>88542</v>
      </c>
      <c r="L143" s="140">
        <f t="shared" si="4"/>
        <v>1.7952949622054948E-4</v>
      </c>
    </row>
    <row r="144" spans="9:12" x14ac:dyDescent="0.2">
      <c r="I144" s="129">
        <v>2018</v>
      </c>
      <c r="J144" s="132" t="s">
        <v>328</v>
      </c>
      <c r="K144" s="132">
        <v>277203</v>
      </c>
      <c r="L144" s="140">
        <f t="shared" si="4"/>
        <v>5.6206224097970429E-4</v>
      </c>
    </row>
    <row r="145" spans="9:12" x14ac:dyDescent="0.2">
      <c r="I145" s="129">
        <v>2018</v>
      </c>
      <c r="J145" s="132" t="s">
        <v>329</v>
      </c>
      <c r="K145" s="132">
        <v>9612</v>
      </c>
      <c r="L145" s="140">
        <f t="shared" si="4"/>
        <v>1.9489479768606102E-5</v>
      </c>
    </row>
    <row r="146" spans="9:12" x14ac:dyDescent="0.2">
      <c r="I146" s="129">
        <v>2018</v>
      </c>
      <c r="J146" s="132" t="s">
        <v>330</v>
      </c>
      <c r="K146" s="132">
        <v>13513</v>
      </c>
      <c r="L146" s="140">
        <f t="shared" si="4"/>
        <v>2.7399223898582424E-5</v>
      </c>
    </row>
    <row r="147" spans="9:12" x14ac:dyDescent="0.2">
      <c r="I147" s="129">
        <v>2018</v>
      </c>
      <c r="J147" s="132" t="s">
        <v>331</v>
      </c>
      <c r="K147" s="132">
        <v>438639</v>
      </c>
      <c r="L147" s="140">
        <f t="shared" si="4"/>
        <v>8.8939304163770418E-4</v>
      </c>
    </row>
    <row r="148" spans="9:12" x14ac:dyDescent="0.2">
      <c r="I148" s="129">
        <v>2018</v>
      </c>
      <c r="J148" s="132" t="s">
        <v>332</v>
      </c>
      <c r="K148" s="132">
        <v>140340</v>
      </c>
      <c r="L148" s="140">
        <f t="shared" si="4"/>
        <v>2.8455613719581568E-4</v>
      </c>
    </row>
    <row r="149" spans="9:12" x14ac:dyDescent="0.2">
      <c r="I149" s="129">
        <v>2018</v>
      </c>
      <c r="J149" s="132" t="s">
        <v>333</v>
      </c>
      <c r="K149" s="132">
        <v>98076</v>
      </c>
      <c r="L149" s="140">
        <f t="shared" si="4"/>
        <v>1.988608216589484E-4</v>
      </c>
    </row>
    <row r="150" spans="9:12" x14ac:dyDescent="0.2">
      <c r="I150" s="129">
        <v>2018</v>
      </c>
      <c r="J150" s="132" t="s">
        <v>334</v>
      </c>
      <c r="K150" s="132">
        <v>3186254</v>
      </c>
      <c r="L150" s="140">
        <f t="shared" si="4"/>
        <v>6.4605111184602862E-3</v>
      </c>
    </row>
    <row r="151" spans="9:12" x14ac:dyDescent="0.2">
      <c r="I151" s="129">
        <v>2018</v>
      </c>
      <c r="J151" s="132" t="s">
        <v>335</v>
      </c>
      <c r="K151" s="132">
        <v>388872</v>
      </c>
      <c r="L151" s="140">
        <f t="shared" si="4"/>
        <v>7.884844961066783E-4</v>
      </c>
    </row>
    <row r="152" spans="9:12" x14ac:dyDescent="0.2">
      <c r="I152" s="129">
        <v>2018</v>
      </c>
      <c r="J152" s="132" t="s">
        <v>336</v>
      </c>
      <c r="K152" s="132">
        <v>18176</v>
      </c>
      <c r="L152" s="140">
        <f t="shared" si="4"/>
        <v>3.6854014177505669E-5</v>
      </c>
    </row>
    <row r="153" spans="9:12" x14ac:dyDescent="0.2">
      <c r="I153" s="129">
        <v>2018</v>
      </c>
      <c r="J153" s="132" t="s">
        <v>337</v>
      </c>
      <c r="K153" s="132">
        <v>2397662</v>
      </c>
      <c r="L153" s="140">
        <f t="shared" si="4"/>
        <v>4.8615465086304247E-3</v>
      </c>
    </row>
    <row r="154" spans="9:12" x14ac:dyDescent="0.2">
      <c r="I154" s="129">
        <v>2018</v>
      </c>
      <c r="J154" s="132" t="s">
        <v>338</v>
      </c>
      <c r="K154" s="132">
        <v>1525099</v>
      </c>
      <c r="L154" s="140">
        <f t="shared" si="4"/>
        <v>3.0923206518540781E-3</v>
      </c>
    </row>
    <row r="155" spans="9:12" x14ac:dyDescent="0.2">
      <c r="I155" s="129">
        <v>2018</v>
      </c>
      <c r="J155" s="132" t="s">
        <v>339</v>
      </c>
      <c r="K155" s="132">
        <v>59994</v>
      </c>
      <c r="L155" s="140">
        <f t="shared" si="4"/>
        <v>1.2164501136472686E-4</v>
      </c>
    </row>
    <row r="156" spans="9:12" x14ac:dyDescent="0.2">
      <c r="I156" s="129">
        <v>2018</v>
      </c>
      <c r="J156" s="132" t="s">
        <v>340</v>
      </c>
      <c r="K156" s="132">
        <v>2150017</v>
      </c>
      <c r="L156" s="140">
        <f t="shared" si="4"/>
        <v>4.3594166483207648E-3</v>
      </c>
    </row>
    <row r="157" spans="9:12" x14ac:dyDescent="0.2">
      <c r="I157" s="129">
        <v>2018</v>
      </c>
      <c r="J157" s="132" t="s">
        <v>341</v>
      </c>
      <c r="K157" s="132">
        <v>3321118</v>
      </c>
      <c r="L157" s="140">
        <f t="shared" si="4"/>
        <v>6.7339640106277117E-3</v>
      </c>
    </row>
    <row r="158" spans="9:12" x14ac:dyDescent="0.2">
      <c r="I158" s="129">
        <v>2018</v>
      </c>
      <c r="J158" s="132" t="s">
        <v>342</v>
      </c>
      <c r="K158" s="132">
        <v>885716</v>
      </c>
      <c r="L158" s="140">
        <f t="shared" si="4"/>
        <v>1.7958951376124347E-3</v>
      </c>
    </row>
    <row r="159" spans="9:12" x14ac:dyDescent="0.2">
      <c r="I159" s="129">
        <v>2018</v>
      </c>
      <c r="J159" s="132" t="s">
        <v>343</v>
      </c>
      <c r="K159" s="132">
        <v>752958</v>
      </c>
      <c r="L159" s="140">
        <f t="shared" si="4"/>
        <v>1.5267124123606029E-3</v>
      </c>
    </row>
    <row r="160" spans="9:12" x14ac:dyDescent="0.2">
      <c r="I160" s="129">
        <v>2018</v>
      </c>
      <c r="J160" s="132" t="s">
        <v>344</v>
      </c>
      <c r="K160" s="132">
        <v>278250</v>
      </c>
      <c r="L160" s="140">
        <f t="shared" si="4"/>
        <v>5.6418515871979277E-4</v>
      </c>
    </row>
    <row r="161" spans="9:12" x14ac:dyDescent="0.2">
      <c r="I161" s="129">
        <v>2018</v>
      </c>
      <c r="J161" s="132" t="s">
        <v>345</v>
      </c>
      <c r="K161" s="132">
        <v>770927</v>
      </c>
      <c r="L161" s="140">
        <f t="shared" si="4"/>
        <v>1.563146709277174E-3</v>
      </c>
    </row>
    <row r="162" spans="9:12" x14ac:dyDescent="0.2">
      <c r="I162" s="129">
        <v>2018</v>
      </c>
      <c r="J162" s="132" t="s">
        <v>346</v>
      </c>
      <c r="K162" s="132">
        <v>449049</v>
      </c>
      <c r="L162" s="140">
        <f t="shared" si="4"/>
        <v>9.1050056186150661E-4</v>
      </c>
    </row>
    <row r="163" spans="9:12" x14ac:dyDescent="0.2">
      <c r="I163" s="129">
        <v>2018</v>
      </c>
      <c r="J163" s="132" t="s">
        <v>347</v>
      </c>
      <c r="K163" s="132">
        <v>1943579</v>
      </c>
      <c r="L163" s="140">
        <f t="shared" si="4"/>
        <v>3.9408389096117023E-3</v>
      </c>
    </row>
    <row r="164" spans="9:12" x14ac:dyDescent="0.2">
      <c r="I164" s="129">
        <v>2018</v>
      </c>
      <c r="J164" s="132" t="s">
        <v>348</v>
      </c>
      <c r="K164" s="132">
        <v>273569</v>
      </c>
      <c r="L164" s="140">
        <f t="shared" si="4"/>
        <v>5.5469387128774473E-4</v>
      </c>
    </row>
    <row r="165" spans="9:12" x14ac:dyDescent="0.2">
      <c r="I165" s="129">
        <v>2018</v>
      </c>
      <c r="J165" s="132" t="s">
        <v>349</v>
      </c>
      <c r="K165" s="132">
        <v>178302</v>
      </c>
      <c r="L165" s="140">
        <f t="shared" si="4"/>
        <v>3.6152863313587236E-4</v>
      </c>
    </row>
    <row r="166" spans="9:12" x14ac:dyDescent="0.2">
      <c r="I166" s="129">
        <v>2018</v>
      </c>
      <c r="J166" s="132" t="s">
        <v>350</v>
      </c>
      <c r="K166" s="132">
        <v>3215</v>
      </c>
      <c r="L166" s="140">
        <f t="shared" si="4"/>
        <v>6.5187970720004808E-6</v>
      </c>
    </row>
    <row r="167" spans="9:12" x14ac:dyDescent="0.2">
      <c r="I167" s="129">
        <v>2018</v>
      </c>
      <c r="J167" s="132" t="s">
        <v>351</v>
      </c>
      <c r="K167" s="132">
        <v>44595</v>
      </c>
      <c r="L167" s="140">
        <f t="shared" si="4"/>
        <v>9.0421696866519887E-5</v>
      </c>
    </row>
    <row r="168" spans="9:12" x14ac:dyDescent="0.2">
      <c r="I168" s="129">
        <v>2018</v>
      </c>
      <c r="J168" s="132" t="s">
        <v>352</v>
      </c>
      <c r="K168" s="132">
        <v>436813</v>
      </c>
      <c r="L168" s="140">
        <f t="shared" si="4"/>
        <v>8.85690608215162E-4</v>
      </c>
    </row>
    <row r="169" spans="9:12" x14ac:dyDescent="0.2">
      <c r="I169" s="129">
        <v>2018</v>
      </c>
      <c r="J169" s="132" t="s">
        <v>353</v>
      </c>
      <c r="K169" s="132">
        <v>500485</v>
      </c>
      <c r="L169" s="140">
        <f t="shared" si="4"/>
        <v>1.0147932045350421E-3</v>
      </c>
    </row>
    <row r="170" spans="9:12" x14ac:dyDescent="0.2">
      <c r="I170" s="129">
        <v>2018</v>
      </c>
      <c r="J170" s="132" t="s">
        <v>354</v>
      </c>
      <c r="K170" s="132">
        <v>550289</v>
      </c>
      <c r="L170" s="140">
        <f t="shared" si="4"/>
        <v>1.1157767719919354E-3</v>
      </c>
    </row>
    <row r="171" spans="9:12" x14ac:dyDescent="0.2">
      <c r="I171" s="129">
        <v>2018</v>
      </c>
      <c r="J171" s="132" t="s">
        <v>355</v>
      </c>
      <c r="K171" s="132">
        <v>100514</v>
      </c>
      <c r="L171" s="140">
        <f t="shared" si="4"/>
        <v>2.0380415828773137E-4</v>
      </c>
    </row>
    <row r="172" spans="9:12" x14ac:dyDescent="0.2">
      <c r="I172" s="129">
        <v>2018</v>
      </c>
      <c r="J172" s="132" t="s">
        <v>356</v>
      </c>
      <c r="K172" s="132">
        <v>64353</v>
      </c>
      <c r="L172" s="140">
        <f t="shared" si="4"/>
        <v>1.3048340527976575E-4</v>
      </c>
    </row>
    <row r="173" spans="9:12" x14ac:dyDescent="0.2">
      <c r="I173" s="129">
        <v>2018</v>
      </c>
      <c r="J173" s="132" t="s">
        <v>357</v>
      </c>
      <c r="K173" s="132">
        <v>13639</v>
      </c>
      <c r="L173" s="140">
        <f t="shared" si="4"/>
        <v>2.7654703970455537E-5</v>
      </c>
    </row>
    <row r="174" spans="9:12" x14ac:dyDescent="0.2">
      <c r="I174" s="129">
        <v>2018</v>
      </c>
      <c r="J174" s="132" t="s">
        <v>358</v>
      </c>
      <c r="K174" s="132">
        <v>472348</v>
      </c>
      <c r="L174" s="140">
        <f t="shared" si="4"/>
        <v>9.5774207134223424E-4</v>
      </c>
    </row>
    <row r="175" spans="9:12" x14ac:dyDescent="0.2">
      <c r="I175" s="129">
        <v>2018</v>
      </c>
      <c r="J175" s="132" t="s">
        <v>359</v>
      </c>
      <c r="K175" s="132">
        <v>54733</v>
      </c>
      <c r="L175" s="140">
        <f t="shared" si="4"/>
        <v>1.1097770455421534E-4</v>
      </c>
    </row>
    <row r="176" spans="9:12" x14ac:dyDescent="0.2">
      <c r="I176" s="129">
        <v>2018</v>
      </c>
      <c r="J176" s="132" t="s">
        <v>360</v>
      </c>
      <c r="K176" s="132">
        <v>848112</v>
      </c>
      <c r="L176" s="140">
        <f t="shared" si="4"/>
        <v>1.7196485294956366E-3</v>
      </c>
    </row>
    <row r="177" spans="9:12" x14ac:dyDescent="0.2">
      <c r="I177" s="129">
        <v>2018</v>
      </c>
      <c r="J177" s="132" t="s">
        <v>361</v>
      </c>
      <c r="K177" s="132">
        <v>219651</v>
      </c>
      <c r="L177" s="140">
        <f t="shared" si="4"/>
        <v>4.4536867672223253E-4</v>
      </c>
    </row>
    <row r="178" spans="9:12" x14ac:dyDescent="0.2">
      <c r="I178" s="129">
        <v>2018</v>
      </c>
      <c r="J178" s="132" t="s">
        <v>362</v>
      </c>
      <c r="K178" s="132">
        <v>76630</v>
      </c>
      <c r="L178" s="140">
        <f t="shared" si="4"/>
        <v>1.5537649133045002E-4</v>
      </c>
    </row>
    <row r="179" spans="9:12" x14ac:dyDescent="0.2">
      <c r="I179" s="129">
        <v>2018</v>
      </c>
      <c r="J179" s="132" t="s">
        <v>363</v>
      </c>
      <c r="K179" s="132">
        <v>39519535</v>
      </c>
      <c r="L179" s="140">
        <f t="shared" si="4"/>
        <v>8.0130584461841528E-2</v>
      </c>
    </row>
    <row r="180" spans="9:12" x14ac:dyDescent="0.2">
      <c r="I180" s="129">
        <v>2017</v>
      </c>
      <c r="J180" s="132" t="s">
        <v>305</v>
      </c>
      <c r="K180" s="132">
        <v>1644303</v>
      </c>
      <c r="L180" s="140">
        <f t="shared" si="4"/>
        <v>3.3613122804131397E-3</v>
      </c>
    </row>
    <row r="181" spans="9:12" x14ac:dyDescent="0.2">
      <c r="I181" s="129">
        <v>2017</v>
      </c>
      <c r="J181" s="132" t="s">
        <v>306</v>
      </c>
      <c r="K181" s="132">
        <v>1161</v>
      </c>
      <c r="L181" s="140">
        <f t="shared" si="4"/>
        <v>2.3733360320814685E-6</v>
      </c>
    </row>
    <row r="182" spans="9:12" x14ac:dyDescent="0.2">
      <c r="I182" s="129">
        <v>2017</v>
      </c>
      <c r="J182" s="132" t="s">
        <v>307</v>
      </c>
      <c r="K182" s="132">
        <v>36900</v>
      </c>
      <c r="L182" s="140">
        <f t="shared" si="4"/>
        <v>7.5431610321969155E-5</v>
      </c>
    </row>
    <row r="183" spans="9:12" x14ac:dyDescent="0.2">
      <c r="I183" s="129">
        <v>2017</v>
      </c>
      <c r="J183" s="132" t="s">
        <v>308</v>
      </c>
      <c r="K183" s="132">
        <v>225468</v>
      </c>
      <c r="L183" s="140">
        <f t="shared" si="4"/>
        <v>4.6090553702096861E-4</v>
      </c>
    </row>
    <row r="184" spans="9:12" x14ac:dyDescent="0.2">
      <c r="I184" s="129">
        <v>2017</v>
      </c>
      <c r="J184" s="132" t="s">
        <v>309</v>
      </c>
      <c r="K184" s="132">
        <v>45170</v>
      </c>
      <c r="L184" s="140">
        <f t="shared" si="4"/>
        <v>9.2337285589250593E-5</v>
      </c>
    </row>
    <row r="185" spans="9:12" x14ac:dyDescent="0.2">
      <c r="I185" s="129">
        <v>2017</v>
      </c>
      <c r="J185" s="132" t="s">
        <v>310</v>
      </c>
      <c r="K185" s="132">
        <v>21925</v>
      </c>
      <c r="L185" s="140">
        <f t="shared" si="4"/>
        <v>4.4819459520573813E-5</v>
      </c>
    </row>
    <row r="186" spans="9:12" x14ac:dyDescent="0.2">
      <c r="I186" s="129">
        <v>2017</v>
      </c>
      <c r="J186" s="132" t="s">
        <v>311</v>
      </c>
      <c r="K186" s="132">
        <v>1137577</v>
      </c>
      <c r="L186" s="140">
        <f t="shared" si="4"/>
        <v>2.3254543353722142E-3</v>
      </c>
    </row>
    <row r="187" spans="9:12" x14ac:dyDescent="0.2">
      <c r="I187" s="129">
        <v>2017</v>
      </c>
      <c r="J187" s="132" t="s">
        <v>312</v>
      </c>
      <c r="K187" s="132">
        <v>26832</v>
      </c>
      <c r="L187" s="140">
        <f t="shared" si="4"/>
        <v>5.4850432741438385E-5</v>
      </c>
    </row>
    <row r="188" spans="9:12" x14ac:dyDescent="0.2">
      <c r="I188" s="129">
        <v>2017</v>
      </c>
      <c r="J188" s="132" t="s">
        <v>313</v>
      </c>
      <c r="K188" s="132">
        <v>184993</v>
      </c>
      <c r="L188" s="140">
        <f t="shared" si="4"/>
        <v>3.7816585063122059E-4</v>
      </c>
    </row>
    <row r="189" spans="9:12" x14ac:dyDescent="0.2">
      <c r="I189" s="129">
        <v>2017</v>
      </c>
      <c r="J189" s="132" t="s">
        <v>314</v>
      </c>
      <c r="K189" s="132">
        <v>992951</v>
      </c>
      <c r="L189" s="140">
        <f t="shared" si="4"/>
        <v>2.029807395685897E-3</v>
      </c>
    </row>
    <row r="190" spans="9:12" x14ac:dyDescent="0.2">
      <c r="I190" s="129">
        <v>2017</v>
      </c>
      <c r="J190" s="132" t="s">
        <v>315</v>
      </c>
      <c r="K190" s="132">
        <v>28328</v>
      </c>
      <c r="L190" s="140">
        <f t="shared" si="4"/>
        <v>5.7908581495955075E-5</v>
      </c>
    </row>
    <row r="191" spans="9:12" x14ac:dyDescent="0.2">
      <c r="I191" s="129">
        <v>2017</v>
      </c>
      <c r="J191" s="132" t="s">
        <v>316</v>
      </c>
      <c r="K191" s="132">
        <v>135449</v>
      </c>
      <c r="L191" s="140">
        <f t="shared" si="4"/>
        <v>2.7688715952575612E-4</v>
      </c>
    </row>
    <row r="192" spans="9:12" x14ac:dyDescent="0.2">
      <c r="I192" s="129">
        <v>2017</v>
      </c>
      <c r="J192" s="132" t="s">
        <v>317</v>
      </c>
      <c r="K192" s="132">
        <v>186664</v>
      </c>
      <c r="L192" s="140">
        <f t="shared" si="4"/>
        <v>3.8158173737506913E-4</v>
      </c>
    </row>
    <row r="193" spans="9:12" x14ac:dyDescent="0.2">
      <c r="I193" s="129">
        <v>2017</v>
      </c>
      <c r="J193" s="132" t="s">
        <v>318</v>
      </c>
      <c r="K193" s="132">
        <v>18595</v>
      </c>
      <c r="L193" s="140">
        <f t="shared" si="4"/>
        <v>3.8012216637859529E-5</v>
      </c>
    </row>
    <row r="194" spans="9:12" x14ac:dyDescent="0.2">
      <c r="I194" s="129">
        <v>2017</v>
      </c>
      <c r="J194" s="132" t="s">
        <v>319</v>
      </c>
      <c r="K194" s="132">
        <v>890052</v>
      </c>
      <c r="L194" s="140">
        <f t="shared" si="4"/>
        <v>1.8194595021758615E-3</v>
      </c>
    </row>
    <row r="195" spans="9:12" x14ac:dyDescent="0.2">
      <c r="I195" s="129">
        <v>2017</v>
      </c>
      <c r="J195" s="132" t="s">
        <v>320</v>
      </c>
      <c r="K195" s="132">
        <v>148731</v>
      </c>
      <c r="L195" s="140">
        <f t="shared" si="4"/>
        <v>3.0403845080750121E-4</v>
      </c>
    </row>
    <row r="196" spans="9:12" x14ac:dyDescent="0.2">
      <c r="I196" s="129">
        <v>2017</v>
      </c>
      <c r="J196" s="132" t="s">
        <v>321</v>
      </c>
      <c r="K196" s="132">
        <v>64451</v>
      </c>
      <c r="L196" s="140">
        <f t="shared" ref="L196:L259" si="5">K196/VLOOKUP(I196,$A$3:$E$18,5,FALSE)</f>
        <v>1.3175183514529089E-4</v>
      </c>
    </row>
    <row r="197" spans="9:12" x14ac:dyDescent="0.2">
      <c r="I197" s="129">
        <v>2017</v>
      </c>
      <c r="J197" s="132" t="s">
        <v>322</v>
      </c>
      <c r="K197" s="132">
        <v>29765</v>
      </c>
      <c r="L197" s="140">
        <f t="shared" si="5"/>
        <v>6.0846121442639893E-5</v>
      </c>
    </row>
    <row r="198" spans="9:12" x14ac:dyDescent="0.2">
      <c r="I198" s="129">
        <v>2017</v>
      </c>
      <c r="J198" s="132" t="s">
        <v>323</v>
      </c>
      <c r="K198" s="132">
        <v>10181162</v>
      </c>
      <c r="L198" s="140">
        <f t="shared" si="5"/>
        <v>2.0812505273952307E-2</v>
      </c>
    </row>
    <row r="199" spans="9:12" x14ac:dyDescent="0.2">
      <c r="I199" s="129">
        <v>2017</v>
      </c>
      <c r="J199" s="132" t="s">
        <v>324</v>
      </c>
      <c r="K199" s="132">
        <v>155976</v>
      </c>
      <c r="L199" s="140">
        <f t="shared" si="5"/>
        <v>3.1884880356583908E-4</v>
      </c>
    </row>
    <row r="200" spans="9:12" x14ac:dyDescent="0.2">
      <c r="I200" s="129">
        <v>2017</v>
      </c>
      <c r="J200" s="132" t="s">
        <v>325</v>
      </c>
      <c r="K200" s="132">
        <v>262695</v>
      </c>
      <c r="L200" s="140">
        <f t="shared" si="5"/>
        <v>5.3700560632871782E-4</v>
      </c>
    </row>
    <row r="201" spans="9:12" x14ac:dyDescent="0.2">
      <c r="I201" s="129">
        <v>2017</v>
      </c>
      <c r="J201" s="132" t="s">
        <v>326</v>
      </c>
      <c r="K201" s="132">
        <v>18137</v>
      </c>
      <c r="L201" s="140">
        <f t="shared" si="5"/>
        <v>3.7075965214351072E-5</v>
      </c>
    </row>
    <row r="202" spans="9:12" x14ac:dyDescent="0.2">
      <c r="I202" s="129">
        <v>2017</v>
      </c>
      <c r="J202" s="132" t="s">
        <v>327</v>
      </c>
      <c r="K202" s="132">
        <v>88646</v>
      </c>
      <c r="L202" s="140">
        <f t="shared" si="5"/>
        <v>1.8121166744176906E-4</v>
      </c>
    </row>
    <row r="203" spans="9:12" x14ac:dyDescent="0.2">
      <c r="I203" s="129">
        <v>2017</v>
      </c>
      <c r="J203" s="132" t="s">
        <v>328</v>
      </c>
      <c r="K203" s="132">
        <v>273215</v>
      </c>
      <c r="L203" s="140">
        <f t="shared" si="5"/>
        <v>5.585107700302657E-4</v>
      </c>
    </row>
    <row r="204" spans="9:12" x14ac:dyDescent="0.2">
      <c r="I204" s="129">
        <v>2017</v>
      </c>
      <c r="J204" s="132" t="s">
        <v>329</v>
      </c>
      <c r="K204" s="132">
        <v>9562</v>
      </c>
      <c r="L204" s="140">
        <f t="shared" si="5"/>
        <v>1.9546803737091302E-5</v>
      </c>
    </row>
    <row r="205" spans="9:12" x14ac:dyDescent="0.2">
      <c r="I205" s="129">
        <v>2017</v>
      </c>
      <c r="J205" s="132" t="s">
        <v>330</v>
      </c>
      <c r="K205" s="132">
        <v>13594</v>
      </c>
      <c r="L205" s="140">
        <f t="shared" si="5"/>
        <v>2.7789087011296715E-5</v>
      </c>
    </row>
    <row r="206" spans="9:12" x14ac:dyDescent="0.2">
      <c r="I206" s="129">
        <v>2017</v>
      </c>
      <c r="J206" s="132" t="s">
        <v>331</v>
      </c>
      <c r="K206" s="132">
        <v>438358</v>
      </c>
      <c r="L206" s="140">
        <f t="shared" si="5"/>
        <v>8.9609891158584708E-4</v>
      </c>
    </row>
    <row r="207" spans="9:12" x14ac:dyDescent="0.2">
      <c r="I207" s="129">
        <v>2017</v>
      </c>
      <c r="J207" s="132" t="s">
        <v>332</v>
      </c>
      <c r="K207" s="132">
        <v>141320</v>
      </c>
      <c r="L207" s="140">
        <f t="shared" si="5"/>
        <v>2.8888875801356858E-4</v>
      </c>
    </row>
    <row r="208" spans="9:12" x14ac:dyDescent="0.2">
      <c r="I208" s="129">
        <v>2017</v>
      </c>
      <c r="J208" s="132" t="s">
        <v>333</v>
      </c>
      <c r="K208" s="132">
        <v>97894</v>
      </c>
      <c r="L208" s="140">
        <f t="shared" si="5"/>
        <v>2.0011658701514495E-4</v>
      </c>
    </row>
    <row r="209" spans="9:12" x14ac:dyDescent="0.2">
      <c r="I209" s="129">
        <v>2017</v>
      </c>
      <c r="J209" s="132" t="s">
        <v>334</v>
      </c>
      <c r="K209" s="132">
        <v>3180125</v>
      </c>
      <c r="L209" s="140">
        <f t="shared" si="5"/>
        <v>6.5008658475650995E-3</v>
      </c>
    </row>
    <row r="210" spans="9:12" x14ac:dyDescent="0.2">
      <c r="I210" s="129">
        <v>2017</v>
      </c>
      <c r="J210" s="132" t="s">
        <v>335</v>
      </c>
      <c r="K210" s="132">
        <v>383258</v>
      </c>
      <c r="L210" s="140">
        <f t="shared" si="5"/>
        <v>7.8346255037336739E-4</v>
      </c>
    </row>
    <row r="211" spans="9:12" x14ac:dyDescent="0.2">
      <c r="I211" s="129">
        <v>2017</v>
      </c>
      <c r="J211" s="132" t="s">
        <v>336</v>
      </c>
      <c r="K211" s="132">
        <v>18309</v>
      </c>
      <c r="L211" s="140">
        <f t="shared" si="5"/>
        <v>3.7427570552437218E-5</v>
      </c>
    </row>
    <row r="212" spans="9:12" x14ac:dyDescent="0.2">
      <c r="I212" s="129">
        <v>2017</v>
      </c>
      <c r="J212" s="132" t="s">
        <v>337</v>
      </c>
      <c r="K212" s="132">
        <v>2374555</v>
      </c>
      <c r="L212" s="140">
        <f t="shared" si="5"/>
        <v>4.8541058929019911E-3</v>
      </c>
    </row>
    <row r="213" spans="9:12" x14ac:dyDescent="0.2">
      <c r="I213" s="129">
        <v>2017</v>
      </c>
      <c r="J213" s="132" t="s">
        <v>338</v>
      </c>
      <c r="K213" s="132">
        <v>1511390</v>
      </c>
      <c r="L213" s="140">
        <f t="shared" si="5"/>
        <v>3.0896092554070723E-3</v>
      </c>
    </row>
    <row r="214" spans="9:12" x14ac:dyDescent="0.2">
      <c r="I214" s="129">
        <v>2017</v>
      </c>
      <c r="J214" s="132" t="s">
        <v>339</v>
      </c>
      <c r="K214" s="132">
        <v>59498</v>
      </c>
      <c r="L214" s="140">
        <f t="shared" si="5"/>
        <v>1.2162682793865911E-4</v>
      </c>
    </row>
    <row r="215" spans="9:12" x14ac:dyDescent="0.2">
      <c r="I215" s="129">
        <v>2017</v>
      </c>
      <c r="J215" s="132" t="s">
        <v>340</v>
      </c>
      <c r="K215" s="132">
        <v>2139520</v>
      </c>
      <c r="L215" s="140">
        <f t="shared" si="5"/>
        <v>4.3736433310585217E-3</v>
      </c>
    </row>
    <row r="216" spans="9:12" x14ac:dyDescent="0.2">
      <c r="I216" s="129">
        <v>2017</v>
      </c>
      <c r="J216" s="132" t="s">
        <v>341</v>
      </c>
      <c r="K216" s="132">
        <v>3303366</v>
      </c>
      <c r="L216" s="140">
        <f t="shared" si="5"/>
        <v>6.7527972049550673E-3</v>
      </c>
    </row>
    <row r="217" spans="9:12" x14ac:dyDescent="0.2">
      <c r="I217" s="129">
        <v>2017</v>
      </c>
      <c r="J217" s="132" t="s">
        <v>342</v>
      </c>
      <c r="K217" s="132">
        <v>878697</v>
      </c>
      <c r="L217" s="140">
        <f t="shared" si="5"/>
        <v>1.7962474172109305E-3</v>
      </c>
    </row>
    <row r="218" spans="9:12" x14ac:dyDescent="0.2">
      <c r="I218" s="129">
        <v>2017</v>
      </c>
      <c r="J218" s="132" t="s">
        <v>343</v>
      </c>
      <c r="K218" s="132">
        <v>744843</v>
      </c>
      <c r="L218" s="140">
        <f t="shared" si="5"/>
        <v>1.5226207839307987E-3</v>
      </c>
    </row>
    <row r="219" spans="9:12" x14ac:dyDescent="0.2">
      <c r="I219" s="129">
        <v>2017</v>
      </c>
      <c r="J219" s="132" t="s">
        <v>344</v>
      </c>
      <c r="K219" s="132">
        <v>278361</v>
      </c>
      <c r="L219" s="140">
        <f t="shared" si="5"/>
        <v>5.6903031113370343E-4</v>
      </c>
    </row>
    <row r="220" spans="9:12" x14ac:dyDescent="0.2">
      <c r="I220" s="129">
        <v>2017</v>
      </c>
      <c r="J220" s="132" t="s">
        <v>345</v>
      </c>
      <c r="K220" s="132">
        <v>769401</v>
      </c>
      <c r="L220" s="140">
        <f t="shared" si="5"/>
        <v>1.5728226670280053E-3</v>
      </c>
    </row>
    <row r="221" spans="9:12" x14ac:dyDescent="0.2">
      <c r="I221" s="129">
        <v>2017</v>
      </c>
      <c r="J221" s="132" t="s">
        <v>346</v>
      </c>
      <c r="K221" s="132">
        <v>447174</v>
      </c>
      <c r="L221" s="140">
        <f t="shared" si="5"/>
        <v>9.1412072937984378E-4</v>
      </c>
    </row>
    <row r="222" spans="9:12" x14ac:dyDescent="0.2">
      <c r="I222" s="129">
        <v>2017</v>
      </c>
      <c r="J222" s="132" t="s">
        <v>347</v>
      </c>
      <c r="K222" s="132">
        <v>1937008</v>
      </c>
      <c r="L222" s="140">
        <f t="shared" si="5"/>
        <v>3.9596648413695616E-3</v>
      </c>
    </row>
    <row r="223" spans="9:12" x14ac:dyDescent="0.2">
      <c r="I223" s="129">
        <v>2017</v>
      </c>
      <c r="J223" s="132" t="s">
        <v>348</v>
      </c>
      <c r="K223" s="132">
        <v>274797</v>
      </c>
      <c r="L223" s="140">
        <f t="shared" si="5"/>
        <v>5.6174472145382548E-4</v>
      </c>
    </row>
    <row r="224" spans="9:12" x14ac:dyDescent="0.2">
      <c r="I224" s="129">
        <v>2017</v>
      </c>
      <c r="J224" s="132" t="s">
        <v>349</v>
      </c>
      <c r="K224" s="132">
        <v>177770</v>
      </c>
      <c r="L224" s="140">
        <f t="shared" si="5"/>
        <v>3.6340047064868446E-4</v>
      </c>
    </row>
    <row r="225" spans="9:12" x14ac:dyDescent="0.2">
      <c r="I225" s="129">
        <v>2017</v>
      </c>
      <c r="J225" s="132" t="s">
        <v>350</v>
      </c>
      <c r="K225" s="132">
        <v>3212</v>
      </c>
      <c r="L225" s="140">
        <f t="shared" si="5"/>
        <v>6.5660252670505405E-6</v>
      </c>
    </row>
    <row r="226" spans="9:12" x14ac:dyDescent="0.2">
      <c r="I226" s="129">
        <v>2017</v>
      </c>
      <c r="J226" s="132" t="s">
        <v>351</v>
      </c>
      <c r="K226" s="132">
        <v>44621</v>
      </c>
      <c r="L226" s="140">
        <f t="shared" si="5"/>
        <v>9.1215010411289588E-5</v>
      </c>
    </row>
    <row r="227" spans="9:12" x14ac:dyDescent="0.2">
      <c r="I227" s="129">
        <v>2017</v>
      </c>
      <c r="J227" s="132" t="s">
        <v>352</v>
      </c>
      <c r="K227" s="132">
        <v>435186</v>
      </c>
      <c r="L227" s="140">
        <f t="shared" si="5"/>
        <v>8.8961465500207238E-4</v>
      </c>
    </row>
    <row r="228" spans="9:12" x14ac:dyDescent="0.2">
      <c r="I228" s="129">
        <v>2017</v>
      </c>
      <c r="J228" s="132" t="s">
        <v>353</v>
      </c>
      <c r="K228" s="132">
        <v>503405</v>
      </c>
      <c r="L228" s="140">
        <f t="shared" si="5"/>
        <v>1.0290691001119481E-3</v>
      </c>
    </row>
    <row r="229" spans="9:12" x14ac:dyDescent="0.2">
      <c r="I229" s="129">
        <v>2017</v>
      </c>
      <c r="J229" s="132" t="s">
        <v>354</v>
      </c>
      <c r="K229" s="132">
        <v>546918</v>
      </c>
      <c r="L229" s="140">
        <f t="shared" si="5"/>
        <v>1.1180191179964967E-3</v>
      </c>
    </row>
    <row r="230" spans="9:12" x14ac:dyDescent="0.2">
      <c r="I230" s="129">
        <v>2017</v>
      </c>
      <c r="J230" s="132" t="s">
        <v>355</v>
      </c>
      <c r="K230" s="132">
        <v>98530</v>
      </c>
      <c r="L230" s="140">
        <f t="shared" si="5"/>
        <v>2.0141670907923093E-4</v>
      </c>
    </row>
    <row r="231" spans="9:12" x14ac:dyDescent="0.2">
      <c r="I231" s="129">
        <v>2017</v>
      </c>
      <c r="J231" s="132" t="s">
        <v>356</v>
      </c>
      <c r="K231" s="132">
        <v>63924</v>
      </c>
      <c r="L231" s="140">
        <f t="shared" si="5"/>
        <v>1.3067453274313162E-4</v>
      </c>
    </row>
    <row r="232" spans="9:12" x14ac:dyDescent="0.2">
      <c r="I232" s="129">
        <v>2017</v>
      </c>
      <c r="J232" s="132" t="s">
        <v>357</v>
      </c>
      <c r="K232" s="132">
        <v>13636</v>
      </c>
      <c r="L232" s="140">
        <f t="shared" si="5"/>
        <v>2.7874944128736353E-5</v>
      </c>
    </row>
    <row r="233" spans="9:12" x14ac:dyDescent="0.2">
      <c r="I233" s="129">
        <v>2017</v>
      </c>
      <c r="J233" s="132" t="s">
        <v>358</v>
      </c>
      <c r="K233" s="132">
        <v>468367</v>
      </c>
      <c r="L233" s="140">
        <f t="shared" si="5"/>
        <v>9.5744382199646958E-4</v>
      </c>
    </row>
    <row r="234" spans="9:12" x14ac:dyDescent="0.2">
      <c r="I234" s="129">
        <v>2017</v>
      </c>
      <c r="J234" s="132" t="s">
        <v>359</v>
      </c>
      <c r="K234" s="132">
        <v>54715</v>
      </c>
      <c r="L234" s="140">
        <f t="shared" si="5"/>
        <v>1.1184933763594965E-4</v>
      </c>
    </row>
    <row r="235" spans="9:12" x14ac:dyDescent="0.2">
      <c r="I235" s="129">
        <v>2017</v>
      </c>
      <c r="J235" s="132" t="s">
        <v>360</v>
      </c>
      <c r="K235" s="132">
        <v>848232</v>
      </c>
      <c r="L235" s="140">
        <f t="shared" si="5"/>
        <v>1.7339703438109632E-3</v>
      </c>
    </row>
    <row r="236" spans="9:12" x14ac:dyDescent="0.2">
      <c r="I236" s="129">
        <v>2017</v>
      </c>
      <c r="J236" s="132" t="s">
        <v>361</v>
      </c>
      <c r="K236" s="132">
        <v>217805</v>
      </c>
      <c r="L236" s="140">
        <f t="shared" si="5"/>
        <v>4.4524070152239818E-4</v>
      </c>
    </row>
    <row r="237" spans="9:12" x14ac:dyDescent="0.2">
      <c r="I237" s="129">
        <v>2017</v>
      </c>
      <c r="J237" s="132" t="s">
        <v>362</v>
      </c>
      <c r="K237" s="132">
        <v>75901</v>
      </c>
      <c r="L237" s="140">
        <f t="shared" si="5"/>
        <v>1.551581207330022E-4</v>
      </c>
    </row>
    <row r="238" spans="9:12" x14ac:dyDescent="0.2">
      <c r="I238" s="129">
        <v>2017</v>
      </c>
      <c r="J238" s="132" t="s">
        <v>363</v>
      </c>
      <c r="K238" s="132">
        <v>39352398</v>
      </c>
      <c r="L238" s="140">
        <f t="shared" si="5"/>
        <v>8.0444844205177196E-2</v>
      </c>
    </row>
    <row r="239" spans="9:12" x14ac:dyDescent="0.2">
      <c r="I239" s="129">
        <v>2016</v>
      </c>
      <c r="J239" s="132" t="s">
        <v>305</v>
      </c>
      <c r="K239" s="132">
        <v>1631230</v>
      </c>
      <c r="L239" s="140">
        <f t="shared" si="5"/>
        <v>3.3644502753634961E-3</v>
      </c>
    </row>
    <row r="240" spans="9:12" x14ac:dyDescent="0.2">
      <c r="I240" s="129">
        <v>2016</v>
      </c>
      <c r="J240" s="132" t="s">
        <v>306</v>
      </c>
      <c r="K240" s="132">
        <v>1162</v>
      </c>
      <c r="L240" s="140">
        <f t="shared" si="5"/>
        <v>2.3966523543414369E-6</v>
      </c>
    </row>
    <row r="241" spans="9:12" x14ac:dyDescent="0.2">
      <c r="I241" s="129">
        <v>2016</v>
      </c>
      <c r="J241" s="132" t="s">
        <v>307</v>
      </c>
      <c r="K241" s="132">
        <v>36039</v>
      </c>
      <c r="L241" s="140">
        <f t="shared" si="5"/>
        <v>7.4331285884777145E-5</v>
      </c>
    </row>
    <row r="242" spans="9:12" x14ac:dyDescent="0.2">
      <c r="I242" s="129">
        <v>2016</v>
      </c>
      <c r="J242" s="132" t="s">
        <v>308</v>
      </c>
      <c r="K242" s="132">
        <v>223986</v>
      </c>
      <c r="L242" s="140">
        <f t="shared" si="5"/>
        <v>4.6197639779648977E-4</v>
      </c>
    </row>
    <row r="243" spans="9:12" x14ac:dyDescent="0.2">
      <c r="I243" s="129">
        <v>2016</v>
      </c>
      <c r="J243" s="132" t="s">
        <v>309</v>
      </c>
      <c r="K243" s="132">
        <v>45244</v>
      </c>
      <c r="L243" s="140">
        <f t="shared" si="5"/>
        <v>9.3316815077301184E-5</v>
      </c>
    </row>
    <row r="244" spans="9:12" x14ac:dyDescent="0.2">
      <c r="I244" s="129">
        <v>2016</v>
      </c>
      <c r="J244" s="132" t="s">
        <v>310</v>
      </c>
      <c r="K244" s="132">
        <v>21660</v>
      </c>
      <c r="L244" s="140">
        <f t="shared" si="5"/>
        <v>4.4674259892457421E-5</v>
      </c>
    </row>
    <row r="245" spans="9:12" x14ac:dyDescent="0.2">
      <c r="I245" s="129">
        <v>2016</v>
      </c>
      <c r="J245" s="132" t="s">
        <v>311</v>
      </c>
      <c r="K245" s="132">
        <v>1127634</v>
      </c>
      <c r="L245" s="140">
        <f t="shared" si="5"/>
        <v>2.3257716703403201E-3</v>
      </c>
    </row>
    <row r="246" spans="9:12" x14ac:dyDescent="0.2">
      <c r="I246" s="129">
        <v>2016</v>
      </c>
      <c r="J246" s="132" t="s">
        <v>312</v>
      </c>
      <c r="K246" s="132">
        <v>26682</v>
      </c>
      <c r="L246" s="140">
        <f t="shared" si="5"/>
        <v>5.503225311406043E-5</v>
      </c>
    </row>
    <row r="247" spans="9:12" x14ac:dyDescent="0.2">
      <c r="I247" s="129">
        <v>2016</v>
      </c>
      <c r="J247" s="132" t="s">
        <v>313</v>
      </c>
      <c r="K247" s="132">
        <v>183586</v>
      </c>
      <c r="L247" s="140">
        <f t="shared" si="5"/>
        <v>3.7865044675053963E-4</v>
      </c>
    </row>
    <row r="248" spans="9:12" x14ac:dyDescent="0.2">
      <c r="I248" s="129">
        <v>2016</v>
      </c>
      <c r="J248" s="132" t="s">
        <v>314</v>
      </c>
      <c r="K248" s="132">
        <v>983722</v>
      </c>
      <c r="L248" s="140">
        <f t="shared" si="5"/>
        <v>2.0289497825451523E-3</v>
      </c>
    </row>
    <row r="249" spans="9:12" x14ac:dyDescent="0.2">
      <c r="I249" s="129">
        <v>2016</v>
      </c>
      <c r="J249" s="132" t="s">
        <v>315</v>
      </c>
      <c r="K249" s="132">
        <v>28175</v>
      </c>
      <c r="L249" s="140">
        <f t="shared" si="5"/>
        <v>5.8111600760387251E-5</v>
      </c>
    </row>
    <row r="250" spans="9:12" x14ac:dyDescent="0.2">
      <c r="I250" s="129">
        <v>2016</v>
      </c>
      <c r="J250" s="132" t="s">
        <v>316</v>
      </c>
      <c r="K250" s="132">
        <v>134819</v>
      </c>
      <c r="L250" s="140">
        <f t="shared" si="5"/>
        <v>2.7806736123920674E-4</v>
      </c>
    </row>
    <row r="251" spans="9:12" x14ac:dyDescent="0.2">
      <c r="I251" s="129">
        <v>2016</v>
      </c>
      <c r="J251" s="132" t="s">
        <v>317</v>
      </c>
      <c r="K251" s="132">
        <v>184843</v>
      </c>
      <c r="L251" s="140">
        <f t="shared" si="5"/>
        <v>3.8124303884125153E-4</v>
      </c>
    </row>
    <row r="252" spans="9:12" x14ac:dyDescent="0.2">
      <c r="I252" s="129">
        <v>2016</v>
      </c>
      <c r="J252" s="132" t="s">
        <v>318</v>
      </c>
      <c r="K252" s="132">
        <v>18633</v>
      </c>
      <c r="L252" s="140">
        <f t="shared" si="5"/>
        <v>3.8431001134633388E-5</v>
      </c>
    </row>
    <row r="253" spans="9:12" x14ac:dyDescent="0.2">
      <c r="I253" s="129">
        <v>2016</v>
      </c>
      <c r="J253" s="132" t="s">
        <v>319</v>
      </c>
      <c r="K253" s="132">
        <v>882395</v>
      </c>
      <c r="L253" s="140">
        <f t="shared" si="5"/>
        <v>1.8199604597324546E-3</v>
      </c>
    </row>
    <row r="254" spans="9:12" x14ac:dyDescent="0.2">
      <c r="I254" s="129">
        <v>2016</v>
      </c>
      <c r="J254" s="132" t="s">
        <v>320</v>
      </c>
      <c r="K254" s="132">
        <v>149042</v>
      </c>
      <c r="L254" s="140">
        <f t="shared" si="5"/>
        <v>3.0740263355917081E-4</v>
      </c>
    </row>
    <row r="255" spans="9:12" x14ac:dyDescent="0.2">
      <c r="I255" s="129">
        <v>2016</v>
      </c>
      <c r="J255" s="132" t="s">
        <v>321</v>
      </c>
      <c r="K255" s="132">
        <v>64550</v>
      </c>
      <c r="L255" s="140">
        <f t="shared" si="5"/>
        <v>1.331358945548535E-4</v>
      </c>
    </row>
    <row r="256" spans="9:12" x14ac:dyDescent="0.2">
      <c r="I256" s="129">
        <v>2016</v>
      </c>
      <c r="J256" s="132" t="s">
        <v>322</v>
      </c>
      <c r="K256" s="132">
        <v>29999</v>
      </c>
      <c r="L256" s="140">
        <f t="shared" si="5"/>
        <v>6.1873643698699454E-5</v>
      </c>
    </row>
    <row r="257" spans="9:12" x14ac:dyDescent="0.2">
      <c r="I257" s="129">
        <v>2016</v>
      </c>
      <c r="J257" s="132" t="s">
        <v>323</v>
      </c>
      <c r="K257" s="132">
        <v>10150386</v>
      </c>
      <c r="L257" s="140">
        <f t="shared" si="5"/>
        <v>2.0935410072611328E-2</v>
      </c>
    </row>
    <row r="258" spans="9:12" x14ac:dyDescent="0.2">
      <c r="I258" s="129">
        <v>2016</v>
      </c>
      <c r="J258" s="132" t="s">
        <v>324</v>
      </c>
      <c r="K258" s="132">
        <v>154373</v>
      </c>
      <c r="L258" s="140">
        <f t="shared" si="5"/>
        <v>3.1839794655486286E-4</v>
      </c>
    </row>
    <row r="259" spans="9:12" x14ac:dyDescent="0.2">
      <c r="I259" s="129">
        <v>2016</v>
      </c>
      <c r="J259" s="132" t="s">
        <v>325</v>
      </c>
      <c r="K259" s="132">
        <v>263130</v>
      </c>
      <c r="L259" s="140">
        <f t="shared" si="5"/>
        <v>5.427118192752688E-4</v>
      </c>
    </row>
    <row r="260" spans="9:12" x14ac:dyDescent="0.2">
      <c r="I260" s="129">
        <v>2016</v>
      </c>
      <c r="J260" s="132" t="s">
        <v>326</v>
      </c>
      <c r="K260" s="132">
        <v>18167</v>
      </c>
      <c r="L260" s="140">
        <f t="shared" ref="L260:L323" si="6">K260/VLOOKUP(I260,$A$3:$E$18,5,FALSE)</f>
        <v>3.7469865164647921E-5</v>
      </c>
    </row>
    <row r="261" spans="9:12" x14ac:dyDescent="0.2">
      <c r="I261" s="129">
        <v>2016</v>
      </c>
      <c r="J261" s="132" t="s">
        <v>327</v>
      </c>
      <c r="K261" s="132">
        <v>88442</v>
      </c>
      <c r="L261" s="140">
        <f t="shared" si="6"/>
        <v>1.8241370699024559E-4</v>
      </c>
    </row>
    <row r="262" spans="9:12" x14ac:dyDescent="0.2">
      <c r="I262" s="129">
        <v>2016</v>
      </c>
      <c r="J262" s="132" t="s">
        <v>328</v>
      </c>
      <c r="K262" s="132">
        <v>270332</v>
      </c>
      <c r="L262" s="140">
        <f t="shared" si="6"/>
        <v>5.5756611381568789E-4</v>
      </c>
    </row>
    <row r="263" spans="9:12" x14ac:dyDescent="0.2">
      <c r="I263" s="129">
        <v>2016</v>
      </c>
      <c r="J263" s="132" t="s">
        <v>329</v>
      </c>
      <c r="K263" s="132">
        <v>9626</v>
      </c>
      <c r="L263" s="140">
        <f t="shared" si="6"/>
        <v>1.9853851603176138E-5</v>
      </c>
    </row>
    <row r="264" spans="9:12" x14ac:dyDescent="0.2">
      <c r="I264" s="129">
        <v>2016</v>
      </c>
      <c r="J264" s="132" t="s">
        <v>330</v>
      </c>
      <c r="K264" s="132">
        <v>13556</v>
      </c>
      <c r="L264" s="140">
        <f t="shared" si="6"/>
        <v>2.7959569118289606E-5</v>
      </c>
    </row>
    <row r="265" spans="9:12" x14ac:dyDescent="0.2">
      <c r="I265" s="129">
        <v>2016</v>
      </c>
      <c r="J265" s="132" t="s">
        <v>331</v>
      </c>
      <c r="K265" s="132">
        <v>435185</v>
      </c>
      <c r="L265" s="140">
        <f t="shared" si="6"/>
        <v>8.9757930707752001E-4</v>
      </c>
    </row>
    <row r="266" spans="9:12" x14ac:dyDescent="0.2">
      <c r="I266" s="129">
        <v>2016</v>
      </c>
      <c r="J266" s="132" t="s">
        <v>332</v>
      </c>
      <c r="K266" s="132">
        <v>141530</v>
      </c>
      <c r="L266" s="140">
        <f t="shared" si="6"/>
        <v>2.9190895672112182E-4</v>
      </c>
    </row>
    <row r="267" spans="9:12" x14ac:dyDescent="0.2">
      <c r="I267" s="129">
        <v>2016</v>
      </c>
      <c r="J267" s="132" t="s">
        <v>333</v>
      </c>
      <c r="K267" s="132">
        <v>98149</v>
      </c>
      <c r="L267" s="140">
        <f t="shared" si="6"/>
        <v>2.0243462300022178E-4</v>
      </c>
    </row>
    <row r="268" spans="9:12" x14ac:dyDescent="0.2">
      <c r="I268" s="129">
        <v>2016</v>
      </c>
      <c r="J268" s="132" t="s">
        <v>334</v>
      </c>
      <c r="K268" s="132">
        <v>3160401</v>
      </c>
      <c r="L268" s="140">
        <f t="shared" si="6"/>
        <v>6.5184014606824714E-3</v>
      </c>
    </row>
    <row r="269" spans="9:12" x14ac:dyDescent="0.2">
      <c r="I269" s="129">
        <v>2016</v>
      </c>
      <c r="J269" s="132" t="s">
        <v>335</v>
      </c>
      <c r="K269" s="132">
        <v>376307</v>
      </c>
      <c r="L269" s="140">
        <f t="shared" si="6"/>
        <v>7.7614204604575137E-4</v>
      </c>
    </row>
    <row r="270" spans="9:12" x14ac:dyDescent="0.2">
      <c r="I270" s="129">
        <v>2016</v>
      </c>
      <c r="J270" s="132" t="s">
        <v>336</v>
      </c>
      <c r="K270" s="132">
        <v>18118</v>
      </c>
      <c r="L270" s="140">
        <f t="shared" si="6"/>
        <v>3.7368801511151597E-5</v>
      </c>
    </row>
    <row r="271" spans="9:12" x14ac:dyDescent="0.2">
      <c r="I271" s="129">
        <v>2016</v>
      </c>
      <c r="J271" s="132" t="s">
        <v>337</v>
      </c>
      <c r="K271" s="132">
        <v>2342612</v>
      </c>
      <c r="L271" s="140">
        <f t="shared" si="6"/>
        <v>4.8316923968231519E-3</v>
      </c>
    </row>
    <row r="272" spans="9:12" x14ac:dyDescent="0.2">
      <c r="I272" s="129">
        <v>2016</v>
      </c>
      <c r="J272" s="132" t="s">
        <v>338</v>
      </c>
      <c r="K272" s="132">
        <v>1495620</v>
      </c>
      <c r="L272" s="140">
        <f t="shared" si="6"/>
        <v>3.0847514580035628E-3</v>
      </c>
    </row>
    <row r="273" spans="9:12" x14ac:dyDescent="0.2">
      <c r="I273" s="129">
        <v>2016</v>
      </c>
      <c r="J273" s="132" t="s">
        <v>339</v>
      </c>
      <c r="K273" s="132">
        <v>58710</v>
      </c>
      <c r="L273" s="140">
        <f t="shared" si="6"/>
        <v>1.2109075707692407E-4</v>
      </c>
    </row>
    <row r="274" spans="9:12" x14ac:dyDescent="0.2">
      <c r="I274" s="129">
        <v>2016</v>
      </c>
      <c r="J274" s="132" t="s">
        <v>340</v>
      </c>
      <c r="K274" s="132">
        <v>2122579</v>
      </c>
      <c r="L274" s="140">
        <f t="shared" si="6"/>
        <v>4.3778691545832129E-3</v>
      </c>
    </row>
    <row r="275" spans="9:12" x14ac:dyDescent="0.2">
      <c r="I275" s="129">
        <v>2016</v>
      </c>
      <c r="J275" s="132" t="s">
        <v>341</v>
      </c>
      <c r="K275" s="132">
        <v>3283009</v>
      </c>
      <c r="L275" s="140">
        <f t="shared" si="6"/>
        <v>6.7712833469656857E-3</v>
      </c>
    </row>
    <row r="276" spans="9:12" x14ac:dyDescent="0.2">
      <c r="I276" s="129">
        <v>2016</v>
      </c>
      <c r="J276" s="132" t="s">
        <v>342</v>
      </c>
      <c r="K276" s="132">
        <v>871613</v>
      </c>
      <c r="L276" s="140">
        <f t="shared" si="6"/>
        <v>1.7977223309161815E-3</v>
      </c>
    </row>
    <row r="277" spans="9:12" x14ac:dyDescent="0.2">
      <c r="I277" s="129">
        <v>2016</v>
      </c>
      <c r="J277" s="132" t="s">
        <v>343</v>
      </c>
      <c r="K277" s="132">
        <v>733728</v>
      </c>
      <c r="L277" s="140">
        <f t="shared" si="6"/>
        <v>1.513331272501062E-3</v>
      </c>
    </row>
    <row r="278" spans="9:12" x14ac:dyDescent="0.2">
      <c r="I278" s="129">
        <v>2016</v>
      </c>
      <c r="J278" s="132" t="s">
        <v>344</v>
      </c>
      <c r="K278" s="132">
        <v>277704</v>
      </c>
      <c r="L278" s="140">
        <f t="shared" si="6"/>
        <v>5.7277103735803303E-4</v>
      </c>
    </row>
    <row r="279" spans="9:12" x14ac:dyDescent="0.2">
      <c r="I279" s="129">
        <v>2016</v>
      </c>
      <c r="J279" s="132" t="s">
        <v>345</v>
      </c>
      <c r="K279" s="132">
        <v>767099</v>
      </c>
      <c r="L279" s="140">
        <f t="shared" si="6"/>
        <v>1.582159745579141E-3</v>
      </c>
    </row>
    <row r="280" spans="9:12" x14ac:dyDescent="0.2">
      <c r="I280" s="129">
        <v>2016</v>
      </c>
      <c r="J280" s="132" t="s">
        <v>346</v>
      </c>
      <c r="K280" s="132">
        <v>445341</v>
      </c>
      <c r="L280" s="140">
        <f t="shared" si="6"/>
        <v>9.1852629615728904E-4</v>
      </c>
    </row>
    <row r="281" spans="9:12" x14ac:dyDescent="0.2">
      <c r="I281" s="129">
        <v>2016</v>
      </c>
      <c r="J281" s="132" t="s">
        <v>347</v>
      </c>
      <c r="K281" s="132">
        <v>1928438</v>
      </c>
      <c r="L281" s="140">
        <f t="shared" si="6"/>
        <v>3.9774487718601485E-3</v>
      </c>
    </row>
    <row r="282" spans="9:12" x14ac:dyDescent="0.2">
      <c r="I282" s="129">
        <v>2016</v>
      </c>
      <c r="J282" s="132" t="s">
        <v>348</v>
      </c>
      <c r="K282" s="132">
        <v>275101</v>
      </c>
      <c r="L282" s="140">
        <f t="shared" si="6"/>
        <v>5.6740228858148342E-4</v>
      </c>
    </row>
    <row r="283" spans="9:12" x14ac:dyDescent="0.2">
      <c r="I283" s="129">
        <v>2016</v>
      </c>
      <c r="J283" s="132" t="s">
        <v>349</v>
      </c>
      <c r="K283" s="132">
        <v>177785</v>
      </c>
      <c r="L283" s="140">
        <f t="shared" si="6"/>
        <v>3.6668574769069913E-4</v>
      </c>
    </row>
    <row r="284" spans="9:12" x14ac:dyDescent="0.2">
      <c r="I284" s="129">
        <v>2016</v>
      </c>
      <c r="J284" s="132" t="s">
        <v>350</v>
      </c>
      <c r="K284" s="132">
        <v>3201</v>
      </c>
      <c r="L284" s="140">
        <f t="shared" si="6"/>
        <v>6.6021378539130294E-6</v>
      </c>
    </row>
    <row r="285" spans="9:12" x14ac:dyDescent="0.2">
      <c r="I285" s="129">
        <v>2016</v>
      </c>
      <c r="J285" s="132" t="s">
        <v>351</v>
      </c>
      <c r="K285" s="132">
        <v>44704</v>
      </c>
      <c r="L285" s="140">
        <f t="shared" si="6"/>
        <v>9.2203052365300868E-5</v>
      </c>
    </row>
    <row r="286" spans="9:12" x14ac:dyDescent="0.2">
      <c r="I286" s="129">
        <v>2016</v>
      </c>
      <c r="J286" s="132" t="s">
        <v>352</v>
      </c>
      <c r="K286" s="132">
        <v>430315</v>
      </c>
      <c r="L286" s="140">
        <f t="shared" si="6"/>
        <v>8.875348174341097E-4</v>
      </c>
    </row>
    <row r="287" spans="9:12" x14ac:dyDescent="0.2">
      <c r="I287" s="129">
        <v>2016</v>
      </c>
      <c r="J287" s="132" t="s">
        <v>353</v>
      </c>
      <c r="K287" s="132">
        <v>502338</v>
      </c>
      <c r="L287" s="140">
        <f t="shared" si="6"/>
        <v>1.0360839504089231E-3</v>
      </c>
    </row>
    <row r="288" spans="9:12" x14ac:dyDescent="0.2">
      <c r="I288" s="129">
        <v>2016</v>
      </c>
      <c r="J288" s="132" t="s">
        <v>354</v>
      </c>
      <c r="K288" s="132">
        <v>539252</v>
      </c>
      <c r="L288" s="140">
        <f t="shared" si="6"/>
        <v>1.112219944391849E-3</v>
      </c>
    </row>
    <row r="289" spans="9:12" x14ac:dyDescent="0.2">
      <c r="I289" s="129">
        <v>2016</v>
      </c>
      <c r="J289" s="132" t="s">
        <v>355</v>
      </c>
      <c r="K289" s="132">
        <v>96823</v>
      </c>
      <c r="L289" s="140">
        <f t="shared" si="6"/>
        <v>1.9969971678519875E-4</v>
      </c>
    </row>
    <row r="290" spans="9:12" x14ac:dyDescent="0.2">
      <c r="I290" s="129">
        <v>2016</v>
      </c>
      <c r="J290" s="132" t="s">
        <v>356</v>
      </c>
      <c r="K290" s="132">
        <v>63694</v>
      </c>
      <c r="L290" s="140">
        <f t="shared" si="6"/>
        <v>1.3137037440397891E-4</v>
      </c>
    </row>
    <row r="291" spans="9:12" x14ac:dyDescent="0.2">
      <c r="I291" s="129">
        <v>2016</v>
      </c>
      <c r="J291" s="132" t="s">
        <v>357</v>
      </c>
      <c r="K291" s="132">
        <v>13650</v>
      </c>
      <c r="L291" s="140">
        <f t="shared" si="6"/>
        <v>2.815344633111929E-5</v>
      </c>
    </row>
    <row r="292" spans="9:12" x14ac:dyDescent="0.2">
      <c r="I292" s="129">
        <v>2016</v>
      </c>
      <c r="J292" s="132" t="s">
        <v>358</v>
      </c>
      <c r="K292" s="132">
        <v>465328</v>
      </c>
      <c r="L292" s="140">
        <f t="shared" si="6"/>
        <v>9.5974995416608629E-4</v>
      </c>
    </row>
    <row r="293" spans="9:12" x14ac:dyDescent="0.2">
      <c r="I293" s="129">
        <v>2016</v>
      </c>
      <c r="J293" s="132" t="s">
        <v>359</v>
      </c>
      <c r="K293" s="132">
        <v>54947</v>
      </c>
      <c r="L293" s="140">
        <f t="shared" si="6"/>
        <v>1.1332948099311441E-4</v>
      </c>
    </row>
    <row r="294" spans="9:12" x14ac:dyDescent="0.2">
      <c r="I294" s="129">
        <v>2016</v>
      </c>
      <c r="J294" s="132" t="s">
        <v>360</v>
      </c>
      <c r="K294" s="132">
        <v>849335</v>
      </c>
      <c r="L294" s="140">
        <f t="shared" si="6"/>
        <v>1.7517734314755459E-3</v>
      </c>
    </row>
    <row r="295" spans="9:12" x14ac:dyDescent="0.2">
      <c r="I295" s="129">
        <v>2016</v>
      </c>
      <c r="J295" s="132" t="s">
        <v>361</v>
      </c>
      <c r="K295" s="132">
        <v>214884</v>
      </c>
      <c r="L295" s="140">
        <f t="shared" si="6"/>
        <v>4.4320330852866212E-4</v>
      </c>
    </row>
    <row r="296" spans="9:12" x14ac:dyDescent="0.2">
      <c r="I296" s="129">
        <v>2016</v>
      </c>
      <c r="J296" s="132" t="s">
        <v>362</v>
      </c>
      <c r="K296" s="132">
        <v>74674</v>
      </c>
      <c r="L296" s="140">
        <f t="shared" si="6"/>
        <v>1.5401688288131882E-4</v>
      </c>
    </row>
    <row r="297" spans="9:12" x14ac:dyDescent="0.2">
      <c r="I297" s="129">
        <v>2016</v>
      </c>
      <c r="J297" s="132" t="s">
        <v>363</v>
      </c>
      <c r="K297" s="132">
        <v>39103587</v>
      </c>
      <c r="L297" s="140">
        <f t="shared" si="6"/>
        <v>8.0652068714927028E-2</v>
      </c>
    </row>
    <row r="298" spans="9:12" x14ac:dyDescent="0.2">
      <c r="I298" s="129">
        <v>2015</v>
      </c>
      <c r="J298" s="132" t="s">
        <v>305</v>
      </c>
      <c r="K298" s="132">
        <v>1613319</v>
      </c>
      <c r="L298" s="140">
        <f t="shared" si="6"/>
        <v>3.3576550498213595E-3</v>
      </c>
    </row>
    <row r="299" spans="9:12" x14ac:dyDescent="0.2">
      <c r="I299" s="129">
        <v>2015</v>
      </c>
      <c r="J299" s="132" t="s">
        <v>306</v>
      </c>
      <c r="K299" s="132">
        <v>1162</v>
      </c>
      <c r="L299" s="140">
        <f t="shared" si="6"/>
        <v>2.4183655978094967E-6</v>
      </c>
    </row>
    <row r="300" spans="9:12" x14ac:dyDescent="0.2">
      <c r="I300" s="129">
        <v>2015</v>
      </c>
      <c r="J300" s="132" t="s">
        <v>307</v>
      </c>
      <c r="K300" s="132">
        <v>36111</v>
      </c>
      <c r="L300" s="140">
        <f t="shared" si="6"/>
        <v>7.5154561189757959E-5</v>
      </c>
    </row>
    <row r="301" spans="9:12" x14ac:dyDescent="0.2">
      <c r="I301" s="129">
        <v>2015</v>
      </c>
      <c r="J301" s="132" t="s">
        <v>308</v>
      </c>
      <c r="K301" s="132">
        <v>223920</v>
      </c>
      <c r="L301" s="140">
        <f t="shared" si="6"/>
        <v>4.6602446184294539E-4</v>
      </c>
    </row>
    <row r="302" spans="9:12" x14ac:dyDescent="0.2">
      <c r="I302" s="129">
        <v>2015</v>
      </c>
      <c r="J302" s="132" t="s">
        <v>309</v>
      </c>
      <c r="K302" s="132">
        <v>45265</v>
      </c>
      <c r="L302" s="140">
        <f t="shared" si="6"/>
        <v>9.4205954203826911E-5</v>
      </c>
    </row>
    <row r="303" spans="9:12" x14ac:dyDescent="0.2">
      <c r="I303" s="129">
        <v>2015</v>
      </c>
      <c r="J303" s="132" t="s">
        <v>310</v>
      </c>
      <c r="K303" s="132">
        <v>21445</v>
      </c>
      <c r="L303" s="140">
        <f t="shared" si="6"/>
        <v>4.4631540658368898E-5</v>
      </c>
    </row>
    <row r="304" spans="9:12" x14ac:dyDescent="0.2">
      <c r="I304" s="129">
        <v>2015</v>
      </c>
      <c r="J304" s="132" t="s">
        <v>311</v>
      </c>
      <c r="K304" s="132">
        <v>1113221</v>
      </c>
      <c r="L304" s="140">
        <f t="shared" si="6"/>
        <v>2.3168462729424148E-3</v>
      </c>
    </row>
    <row r="305" spans="9:12" x14ac:dyDescent="0.2">
      <c r="I305" s="129">
        <v>2015</v>
      </c>
      <c r="J305" s="132" t="s">
        <v>312</v>
      </c>
      <c r="K305" s="132">
        <v>26744</v>
      </c>
      <c r="L305" s="140">
        <f t="shared" si="6"/>
        <v>5.5659870523078471E-5</v>
      </c>
    </row>
    <row r="306" spans="9:12" x14ac:dyDescent="0.2">
      <c r="I306" s="129">
        <v>2015</v>
      </c>
      <c r="J306" s="132" t="s">
        <v>313</v>
      </c>
      <c r="K306" s="132">
        <v>182530</v>
      </c>
      <c r="L306" s="140">
        <f t="shared" si="6"/>
        <v>3.7988319498121127E-4</v>
      </c>
    </row>
    <row r="307" spans="9:12" x14ac:dyDescent="0.2">
      <c r="I307" s="129">
        <v>2015</v>
      </c>
      <c r="J307" s="132" t="s">
        <v>314</v>
      </c>
      <c r="K307" s="132">
        <v>975108</v>
      </c>
      <c r="L307" s="140">
        <f t="shared" si="6"/>
        <v>2.0294041663931352E-3</v>
      </c>
    </row>
    <row r="308" spans="9:12" x14ac:dyDescent="0.2">
      <c r="I308" s="129">
        <v>2015</v>
      </c>
      <c r="J308" s="132" t="s">
        <v>315</v>
      </c>
      <c r="K308" s="132">
        <v>28347</v>
      </c>
      <c r="L308" s="140">
        <f t="shared" si="6"/>
        <v>5.8996049570659042E-5</v>
      </c>
    </row>
    <row r="309" spans="9:12" x14ac:dyDescent="0.2">
      <c r="I309" s="129">
        <v>2015</v>
      </c>
      <c r="J309" s="132" t="s">
        <v>316</v>
      </c>
      <c r="K309" s="132">
        <v>134727</v>
      </c>
      <c r="L309" s="140">
        <f t="shared" si="6"/>
        <v>2.8039513071951812E-4</v>
      </c>
    </row>
    <row r="310" spans="9:12" x14ac:dyDescent="0.2">
      <c r="I310" s="129">
        <v>2015</v>
      </c>
      <c r="J310" s="132" t="s">
        <v>317</v>
      </c>
      <c r="K310" s="132">
        <v>183856</v>
      </c>
      <c r="L310" s="140">
        <f t="shared" si="6"/>
        <v>3.8264287895943447E-4</v>
      </c>
    </row>
    <row r="311" spans="9:12" x14ac:dyDescent="0.2">
      <c r="I311" s="129">
        <v>2015</v>
      </c>
      <c r="J311" s="132" t="s">
        <v>318</v>
      </c>
      <c r="K311" s="132">
        <v>18564</v>
      </c>
      <c r="L311" s="140">
        <f t="shared" si="6"/>
        <v>3.8635575695125216E-5</v>
      </c>
    </row>
    <row r="312" spans="9:12" x14ac:dyDescent="0.2">
      <c r="I312" s="129">
        <v>2015</v>
      </c>
      <c r="J312" s="132" t="s">
        <v>319</v>
      </c>
      <c r="K312" s="132">
        <v>878038</v>
      </c>
      <c r="L312" s="140">
        <f t="shared" si="6"/>
        <v>1.8273811469616652E-3</v>
      </c>
    </row>
    <row r="313" spans="9:12" x14ac:dyDescent="0.2">
      <c r="I313" s="129">
        <v>2015</v>
      </c>
      <c r="J313" s="132" t="s">
        <v>320</v>
      </c>
      <c r="K313" s="132">
        <v>149275</v>
      </c>
      <c r="L313" s="140">
        <f t="shared" si="6"/>
        <v>3.1067256851378022E-4</v>
      </c>
    </row>
    <row r="314" spans="9:12" x14ac:dyDescent="0.2">
      <c r="I314" s="129">
        <v>2015</v>
      </c>
      <c r="J314" s="132" t="s">
        <v>321</v>
      </c>
      <c r="K314" s="132">
        <v>64958</v>
      </c>
      <c r="L314" s="140">
        <f t="shared" si="6"/>
        <v>1.3519121557875155E-4</v>
      </c>
    </row>
    <row r="315" spans="9:12" x14ac:dyDescent="0.2">
      <c r="I315" s="129">
        <v>2015</v>
      </c>
      <c r="J315" s="132" t="s">
        <v>322</v>
      </c>
      <c r="K315" s="132">
        <v>30862</v>
      </c>
      <c r="L315" s="140">
        <f t="shared" si="6"/>
        <v>6.423029180688184E-5</v>
      </c>
    </row>
    <row r="316" spans="9:12" x14ac:dyDescent="0.2">
      <c r="I316" s="129">
        <v>2015</v>
      </c>
      <c r="J316" s="132" t="s">
        <v>323</v>
      </c>
      <c r="K316" s="132">
        <v>10124800</v>
      </c>
      <c r="L316" s="140">
        <f t="shared" si="6"/>
        <v>2.1071831329347326E-2</v>
      </c>
    </row>
    <row r="317" spans="9:12" x14ac:dyDescent="0.2">
      <c r="I317" s="129">
        <v>2015</v>
      </c>
      <c r="J317" s="132" t="s">
        <v>324</v>
      </c>
      <c r="K317" s="132">
        <v>154214</v>
      </c>
      <c r="L317" s="140">
        <f t="shared" si="6"/>
        <v>3.2095166290928897E-4</v>
      </c>
    </row>
    <row r="318" spans="9:12" x14ac:dyDescent="0.2">
      <c r="I318" s="129">
        <v>2015</v>
      </c>
      <c r="J318" s="132" t="s">
        <v>325</v>
      </c>
      <c r="K318" s="132">
        <v>262711</v>
      </c>
      <c r="L318" s="140">
        <f t="shared" si="6"/>
        <v>5.4675666485897649E-4</v>
      </c>
    </row>
    <row r="319" spans="9:12" x14ac:dyDescent="0.2">
      <c r="I319" s="129">
        <v>2015</v>
      </c>
      <c r="J319" s="132" t="s">
        <v>326</v>
      </c>
      <c r="K319" s="132">
        <v>18172</v>
      </c>
      <c r="L319" s="140">
        <f t="shared" si="6"/>
        <v>3.7819741517550926E-5</v>
      </c>
    </row>
    <row r="320" spans="9:12" x14ac:dyDescent="0.2">
      <c r="I320" s="129">
        <v>2015</v>
      </c>
      <c r="J320" s="132" t="s">
        <v>327</v>
      </c>
      <c r="K320" s="132">
        <v>88102</v>
      </c>
      <c r="L320" s="140">
        <f t="shared" si="6"/>
        <v>1.8335873140982125E-4</v>
      </c>
    </row>
    <row r="321" spans="9:12" x14ac:dyDescent="0.2">
      <c r="I321" s="129">
        <v>2015</v>
      </c>
      <c r="J321" s="132" t="s">
        <v>328</v>
      </c>
      <c r="K321" s="132">
        <v>268231</v>
      </c>
      <c r="L321" s="140">
        <f t="shared" si="6"/>
        <v>5.5824494205339E-4</v>
      </c>
    </row>
    <row r="322" spans="9:12" x14ac:dyDescent="0.2">
      <c r="I322" s="129">
        <v>2015</v>
      </c>
      <c r="J322" s="132" t="s">
        <v>329</v>
      </c>
      <c r="K322" s="132">
        <v>9622</v>
      </c>
      <c r="L322" s="140">
        <f t="shared" si="6"/>
        <v>2.0025399124030103E-5</v>
      </c>
    </row>
    <row r="323" spans="9:12" x14ac:dyDescent="0.2">
      <c r="I323" s="129">
        <v>2015</v>
      </c>
      <c r="J323" s="132" t="s">
        <v>330</v>
      </c>
      <c r="K323" s="132">
        <v>13793</v>
      </c>
      <c r="L323" s="140">
        <f t="shared" si="6"/>
        <v>2.8706124518576927E-5</v>
      </c>
    </row>
    <row r="324" spans="9:12" x14ac:dyDescent="0.2">
      <c r="I324" s="129">
        <v>2015</v>
      </c>
      <c r="J324" s="132" t="s">
        <v>331</v>
      </c>
      <c r="K324" s="132">
        <v>430277</v>
      </c>
      <c r="L324" s="140">
        <f t="shared" ref="L324:L387" si="7">K324/VLOOKUP(I324,$A$3:$E$18,5,FALSE)</f>
        <v>8.9549663883707132E-4</v>
      </c>
    </row>
    <row r="325" spans="9:12" x14ac:dyDescent="0.2">
      <c r="I325" s="129">
        <v>2015</v>
      </c>
      <c r="J325" s="132" t="s">
        <v>332</v>
      </c>
      <c r="K325" s="132">
        <v>140993</v>
      </c>
      <c r="L325" s="140">
        <f t="shared" si="7"/>
        <v>2.9343599030288672E-4</v>
      </c>
    </row>
    <row r="326" spans="9:12" x14ac:dyDescent="0.2">
      <c r="I326" s="129">
        <v>2015</v>
      </c>
      <c r="J326" s="132" t="s">
        <v>333</v>
      </c>
      <c r="K326" s="132">
        <v>98156</v>
      </c>
      <c r="L326" s="140">
        <f t="shared" si="7"/>
        <v>2.0428321309689241E-4</v>
      </c>
    </row>
    <row r="327" spans="9:12" x14ac:dyDescent="0.2">
      <c r="I327" s="129">
        <v>2015</v>
      </c>
      <c r="J327" s="132" t="s">
        <v>334</v>
      </c>
      <c r="K327" s="132">
        <v>3144663</v>
      </c>
      <c r="L327" s="140">
        <f t="shared" si="7"/>
        <v>6.544702939676769E-3</v>
      </c>
    </row>
    <row r="328" spans="9:12" x14ac:dyDescent="0.2">
      <c r="I328" s="129">
        <v>2015</v>
      </c>
      <c r="J328" s="132" t="s">
        <v>335</v>
      </c>
      <c r="K328" s="132">
        <v>371234</v>
      </c>
      <c r="L328" s="140">
        <f t="shared" si="7"/>
        <v>7.7261577825921753E-4</v>
      </c>
    </row>
    <row r="329" spans="9:12" x14ac:dyDescent="0.2">
      <c r="I329" s="129">
        <v>2015</v>
      </c>
      <c r="J329" s="132" t="s">
        <v>336</v>
      </c>
      <c r="K329" s="132">
        <v>18292</v>
      </c>
      <c r="L329" s="140">
        <f t="shared" si="7"/>
        <v>3.8069486673951218E-5</v>
      </c>
    </row>
    <row r="330" spans="9:12" x14ac:dyDescent="0.2">
      <c r="I330" s="129">
        <v>2015</v>
      </c>
      <c r="J330" s="132" t="s">
        <v>337</v>
      </c>
      <c r="K330" s="132">
        <v>2315547</v>
      </c>
      <c r="L330" s="140">
        <f t="shared" si="7"/>
        <v>4.8191387305602301E-3</v>
      </c>
    </row>
    <row r="331" spans="9:12" x14ac:dyDescent="0.2">
      <c r="I331" s="129">
        <v>2015</v>
      </c>
      <c r="J331" s="132" t="s">
        <v>338</v>
      </c>
      <c r="K331" s="132">
        <v>1481641</v>
      </c>
      <c r="L331" s="140">
        <f t="shared" si="7"/>
        <v>3.0836055272840455E-3</v>
      </c>
    </row>
    <row r="332" spans="9:12" x14ac:dyDescent="0.2">
      <c r="I332" s="129">
        <v>2015</v>
      </c>
      <c r="J332" s="132" t="s">
        <v>339</v>
      </c>
      <c r="K332" s="132">
        <v>58135</v>
      </c>
      <c r="L332" s="140">
        <f t="shared" si="7"/>
        <v>1.2099112222775826E-4</v>
      </c>
    </row>
    <row r="333" spans="9:12" x14ac:dyDescent="0.2">
      <c r="I333" s="129">
        <v>2015</v>
      </c>
      <c r="J333" s="132" t="s">
        <v>340</v>
      </c>
      <c r="K333" s="132">
        <v>2112187</v>
      </c>
      <c r="L333" s="140">
        <f t="shared" si="7"/>
        <v>4.395903938847201E-3</v>
      </c>
    </row>
    <row r="334" spans="9:12" x14ac:dyDescent="0.2">
      <c r="I334" s="129">
        <v>2015</v>
      </c>
      <c r="J334" s="132" t="s">
        <v>341</v>
      </c>
      <c r="K334" s="132">
        <v>3264706</v>
      </c>
      <c r="L334" s="140">
        <f t="shared" si="7"/>
        <v>6.7945375880914382E-3</v>
      </c>
    </row>
    <row r="335" spans="9:12" x14ac:dyDescent="0.2">
      <c r="I335" s="129">
        <v>2015</v>
      </c>
      <c r="J335" s="132" t="s">
        <v>342</v>
      </c>
      <c r="K335" s="132">
        <v>863450</v>
      </c>
      <c r="L335" s="140">
        <f t="shared" si="7"/>
        <v>1.7970204607819363E-3</v>
      </c>
    </row>
    <row r="336" spans="9:12" x14ac:dyDescent="0.2">
      <c r="I336" s="129">
        <v>2015</v>
      </c>
      <c r="J336" s="132" t="s">
        <v>343</v>
      </c>
      <c r="K336" s="132">
        <v>722580</v>
      </c>
      <c r="L336" s="140">
        <f t="shared" si="7"/>
        <v>1.50384045926436E-3</v>
      </c>
    </row>
    <row r="337" spans="9:12" x14ac:dyDescent="0.2">
      <c r="I337" s="129">
        <v>2015</v>
      </c>
      <c r="J337" s="132" t="s">
        <v>344</v>
      </c>
      <c r="K337" s="132">
        <v>276858</v>
      </c>
      <c r="L337" s="140">
        <f t="shared" si="7"/>
        <v>5.7619953758893431E-4</v>
      </c>
    </row>
    <row r="338" spans="9:12" x14ac:dyDescent="0.2">
      <c r="I338" s="129">
        <v>2015</v>
      </c>
      <c r="J338" s="132" t="s">
        <v>345</v>
      </c>
      <c r="K338" s="132">
        <v>761621</v>
      </c>
      <c r="L338" s="140">
        <f t="shared" si="7"/>
        <v>1.5850929646895585E-3</v>
      </c>
    </row>
    <row r="339" spans="9:12" x14ac:dyDescent="0.2">
      <c r="I339" s="129">
        <v>2015</v>
      </c>
      <c r="J339" s="132" t="s">
        <v>346</v>
      </c>
      <c r="K339" s="132">
        <v>441926</v>
      </c>
      <c r="L339" s="140">
        <f t="shared" si="7"/>
        <v>9.197406498946297E-4</v>
      </c>
    </row>
    <row r="340" spans="9:12" x14ac:dyDescent="0.2">
      <c r="I340" s="129">
        <v>2015</v>
      </c>
      <c r="J340" s="132" t="s">
        <v>347</v>
      </c>
      <c r="K340" s="132">
        <v>1911670</v>
      </c>
      <c r="L340" s="140">
        <f t="shared" si="7"/>
        <v>3.9785860261312232E-3</v>
      </c>
    </row>
    <row r="341" spans="9:12" x14ac:dyDescent="0.2">
      <c r="I341" s="129">
        <v>2015</v>
      </c>
      <c r="J341" s="132" t="s">
        <v>348</v>
      </c>
      <c r="K341" s="132">
        <v>273774</v>
      </c>
      <c r="L341" s="140">
        <f t="shared" si="7"/>
        <v>5.6978108706944681E-4</v>
      </c>
    </row>
    <row r="342" spans="9:12" x14ac:dyDescent="0.2">
      <c r="I342" s="129">
        <v>2015</v>
      </c>
      <c r="J342" s="132" t="s">
        <v>349</v>
      </c>
      <c r="K342" s="132">
        <v>179113</v>
      </c>
      <c r="L342" s="140">
        <f t="shared" si="7"/>
        <v>3.7277170165271291E-4</v>
      </c>
    </row>
    <row r="343" spans="9:12" x14ac:dyDescent="0.2">
      <c r="I343" s="129">
        <v>2015</v>
      </c>
      <c r="J343" s="132" t="s">
        <v>350</v>
      </c>
      <c r="K343" s="132">
        <v>3197</v>
      </c>
      <c r="L343" s="140">
        <f t="shared" si="7"/>
        <v>6.65362720843112E-6</v>
      </c>
    </row>
    <row r="344" spans="9:12" x14ac:dyDescent="0.2">
      <c r="I344" s="129">
        <v>2015</v>
      </c>
      <c r="J344" s="132" t="s">
        <v>351</v>
      </c>
      <c r="K344" s="132">
        <v>44721</v>
      </c>
      <c r="L344" s="140">
        <f t="shared" si="7"/>
        <v>9.3073776161478928E-5</v>
      </c>
    </row>
    <row r="345" spans="9:12" x14ac:dyDescent="0.2">
      <c r="I345" s="129">
        <v>2015</v>
      </c>
      <c r="J345" s="132" t="s">
        <v>352</v>
      </c>
      <c r="K345" s="132">
        <v>426849</v>
      </c>
      <c r="L345" s="140">
        <f t="shared" si="7"/>
        <v>8.8836225220256966E-4</v>
      </c>
    </row>
    <row r="346" spans="9:12" x14ac:dyDescent="0.2">
      <c r="I346" s="129">
        <v>2015</v>
      </c>
      <c r="J346" s="132" t="s">
        <v>353</v>
      </c>
      <c r="K346" s="132">
        <v>500603</v>
      </c>
      <c r="L346" s="140">
        <f t="shared" si="7"/>
        <v>1.0418597877454626E-3</v>
      </c>
    </row>
    <row r="347" spans="9:12" x14ac:dyDescent="0.2">
      <c r="I347" s="129">
        <v>2015</v>
      </c>
      <c r="J347" s="132" t="s">
        <v>354</v>
      </c>
      <c r="K347" s="132">
        <v>533764</v>
      </c>
      <c r="L347" s="140">
        <f t="shared" si="7"/>
        <v>1.1108747805070468E-3</v>
      </c>
    </row>
    <row r="348" spans="9:12" x14ac:dyDescent="0.2">
      <c r="I348" s="129">
        <v>2015</v>
      </c>
      <c r="J348" s="132" t="s">
        <v>355</v>
      </c>
      <c r="K348" s="132">
        <v>96051</v>
      </c>
      <c r="L348" s="140">
        <f t="shared" si="7"/>
        <v>1.9990226681170395E-4</v>
      </c>
    </row>
    <row r="349" spans="9:12" x14ac:dyDescent="0.2">
      <c r="I349" s="129">
        <v>2015</v>
      </c>
      <c r="J349" s="132" t="s">
        <v>356</v>
      </c>
      <c r="K349" s="132">
        <v>63138</v>
      </c>
      <c r="L349" s="140">
        <f t="shared" si="7"/>
        <v>1.3140341404001377E-4</v>
      </c>
    </row>
    <row r="350" spans="9:12" x14ac:dyDescent="0.2">
      <c r="I350" s="129">
        <v>2015</v>
      </c>
      <c r="J350" s="132" t="s">
        <v>357</v>
      </c>
      <c r="K350" s="132">
        <v>13678</v>
      </c>
      <c r="L350" s="140">
        <f t="shared" si="7"/>
        <v>2.8466785410359981E-5</v>
      </c>
    </row>
    <row r="351" spans="9:12" x14ac:dyDescent="0.2">
      <c r="I351" s="129">
        <v>2015</v>
      </c>
      <c r="J351" s="132" t="s">
        <v>358</v>
      </c>
      <c r="K351" s="132">
        <v>461628</v>
      </c>
      <c r="L351" s="140">
        <f t="shared" si="7"/>
        <v>9.6074464215628434E-4</v>
      </c>
    </row>
    <row r="352" spans="9:12" x14ac:dyDescent="0.2">
      <c r="I352" s="129">
        <v>2015</v>
      </c>
      <c r="J352" s="132" t="s">
        <v>359</v>
      </c>
      <c r="K352" s="132">
        <v>54662</v>
      </c>
      <c r="L352" s="140">
        <f t="shared" si="7"/>
        <v>1.1376308115960648E-4</v>
      </c>
    </row>
    <row r="353" spans="9:12" x14ac:dyDescent="0.2">
      <c r="I353" s="129">
        <v>2015</v>
      </c>
      <c r="J353" s="132" t="s">
        <v>360</v>
      </c>
      <c r="K353" s="132">
        <v>848459</v>
      </c>
      <c r="L353" s="140">
        <f t="shared" si="7"/>
        <v>1.7658210471186298E-3</v>
      </c>
    </row>
    <row r="354" spans="9:12" x14ac:dyDescent="0.2">
      <c r="I354" s="129">
        <v>2015</v>
      </c>
      <c r="J354" s="132" t="s">
        <v>361</v>
      </c>
      <c r="K354" s="132">
        <v>210785</v>
      </c>
      <c r="L354" s="140">
        <f t="shared" si="7"/>
        <v>4.3868777326529673E-4</v>
      </c>
    </row>
    <row r="355" spans="9:12" x14ac:dyDescent="0.2">
      <c r="I355" s="129">
        <v>2015</v>
      </c>
      <c r="J355" s="132" t="s">
        <v>362</v>
      </c>
      <c r="K355" s="132">
        <v>74077</v>
      </c>
      <c r="L355" s="140">
        <f t="shared" si="7"/>
        <v>1.5416976625553708E-4</v>
      </c>
    </row>
    <row r="356" spans="9:12" x14ac:dyDescent="0.2">
      <c r="I356" s="129">
        <v>2015</v>
      </c>
      <c r="J356" s="132" t="s">
        <v>363</v>
      </c>
      <c r="K356" s="132">
        <v>38865532</v>
      </c>
      <c r="L356" s="140">
        <f t="shared" si="7"/>
        <v>8.0887319732671367E-2</v>
      </c>
    </row>
    <row r="357" spans="9:12" x14ac:dyDescent="0.2">
      <c r="I357" s="129">
        <v>2014</v>
      </c>
      <c r="J357" s="132" t="s">
        <v>305</v>
      </c>
      <c r="K357" s="132">
        <v>1590729</v>
      </c>
      <c r="L357" s="140">
        <f t="shared" si="7"/>
        <v>3.34050296036729E-3</v>
      </c>
    </row>
    <row r="358" spans="9:12" x14ac:dyDescent="0.2">
      <c r="I358" s="129">
        <v>2014</v>
      </c>
      <c r="J358" s="132" t="s">
        <v>306</v>
      </c>
      <c r="K358" s="132">
        <v>1163</v>
      </c>
      <c r="L358" s="140">
        <f t="shared" si="7"/>
        <v>2.4422795730178794E-6</v>
      </c>
    </row>
    <row r="359" spans="9:12" x14ac:dyDescent="0.2">
      <c r="I359" s="129">
        <v>2014</v>
      </c>
      <c r="J359" s="132" t="s">
        <v>307</v>
      </c>
      <c r="K359" s="132">
        <v>36029</v>
      </c>
      <c r="L359" s="140">
        <f t="shared" si="7"/>
        <v>7.5660267185091289E-5</v>
      </c>
    </row>
    <row r="360" spans="9:12" x14ac:dyDescent="0.2">
      <c r="I360" s="129">
        <v>2014</v>
      </c>
      <c r="J360" s="132" t="s">
        <v>308</v>
      </c>
      <c r="K360" s="132">
        <v>222988</v>
      </c>
      <c r="L360" s="140">
        <f t="shared" si="7"/>
        <v>4.6827088342915808E-4</v>
      </c>
    </row>
    <row r="361" spans="9:12" x14ac:dyDescent="0.2">
      <c r="I361" s="129">
        <v>2014</v>
      </c>
      <c r="J361" s="132" t="s">
        <v>309</v>
      </c>
      <c r="K361" s="132">
        <v>45358</v>
      </c>
      <c r="L361" s="140">
        <f t="shared" si="7"/>
        <v>9.5251003330133248E-5</v>
      </c>
    </row>
    <row r="362" spans="9:12" x14ac:dyDescent="0.2">
      <c r="I362" s="129">
        <v>2014</v>
      </c>
      <c r="J362" s="132" t="s">
        <v>310</v>
      </c>
      <c r="K362" s="132">
        <v>21526</v>
      </c>
      <c r="L362" s="140">
        <f t="shared" si="7"/>
        <v>4.5204221916408314E-5</v>
      </c>
    </row>
    <row r="363" spans="9:12" x14ac:dyDescent="0.2">
      <c r="I363" s="129">
        <v>2014</v>
      </c>
      <c r="J363" s="132" t="s">
        <v>311</v>
      </c>
      <c r="K363" s="132">
        <v>1098959</v>
      </c>
      <c r="L363" s="140">
        <f t="shared" si="7"/>
        <v>2.3077945978367633E-3</v>
      </c>
    </row>
    <row r="364" spans="9:12" x14ac:dyDescent="0.2">
      <c r="I364" s="129">
        <v>2014</v>
      </c>
      <c r="J364" s="132" t="s">
        <v>312</v>
      </c>
      <c r="K364" s="132">
        <v>27160</v>
      </c>
      <c r="L364" s="140">
        <f t="shared" si="7"/>
        <v>5.7035522960589511E-5</v>
      </c>
    </row>
    <row r="365" spans="9:12" x14ac:dyDescent="0.2">
      <c r="I365" s="129">
        <v>2014</v>
      </c>
      <c r="J365" s="132" t="s">
        <v>313</v>
      </c>
      <c r="K365" s="132">
        <v>181408</v>
      </c>
      <c r="L365" s="140">
        <f t="shared" si="7"/>
        <v>3.8095361374207003E-4</v>
      </c>
    </row>
    <row r="366" spans="9:12" x14ac:dyDescent="0.2">
      <c r="I366" s="129">
        <v>2014</v>
      </c>
      <c r="J366" s="132" t="s">
        <v>314</v>
      </c>
      <c r="K366" s="132">
        <v>964929</v>
      </c>
      <c r="L366" s="140">
        <f t="shared" si="7"/>
        <v>2.0263339519454595E-3</v>
      </c>
    </row>
    <row r="367" spans="9:12" x14ac:dyDescent="0.2">
      <c r="I367" s="129">
        <v>2014</v>
      </c>
      <c r="J367" s="132" t="s">
        <v>315</v>
      </c>
      <c r="K367" s="132">
        <v>28247</v>
      </c>
      <c r="L367" s="140">
        <f t="shared" si="7"/>
        <v>5.9318203868474664E-5</v>
      </c>
    </row>
    <row r="368" spans="9:12" x14ac:dyDescent="0.2">
      <c r="I368" s="129">
        <v>2014</v>
      </c>
      <c r="J368" s="132" t="s">
        <v>316</v>
      </c>
      <c r="K368" s="132">
        <v>134462</v>
      </c>
      <c r="L368" s="140">
        <f t="shared" si="7"/>
        <v>2.8236783830363723E-4</v>
      </c>
    </row>
    <row r="369" spans="9:12" x14ac:dyDescent="0.2">
      <c r="I369" s="129">
        <v>2014</v>
      </c>
      <c r="J369" s="132" t="s">
        <v>317</v>
      </c>
      <c r="K369" s="132">
        <v>181699</v>
      </c>
      <c r="L369" s="140">
        <f t="shared" si="7"/>
        <v>3.8156470863093348E-4</v>
      </c>
    </row>
    <row r="370" spans="9:12" x14ac:dyDescent="0.2">
      <c r="I370" s="129">
        <v>2014</v>
      </c>
      <c r="J370" s="132" t="s">
        <v>318</v>
      </c>
      <c r="K370" s="132">
        <v>18613</v>
      </c>
      <c r="L370" s="140">
        <f t="shared" si="7"/>
        <v>3.9086973080465853E-5</v>
      </c>
    </row>
    <row r="371" spans="9:12" x14ac:dyDescent="0.2">
      <c r="I371" s="129">
        <v>2014</v>
      </c>
      <c r="J371" s="132" t="s">
        <v>319</v>
      </c>
      <c r="K371" s="132">
        <v>870642</v>
      </c>
      <c r="L371" s="140">
        <f t="shared" si="7"/>
        <v>1.8283329080063908E-3</v>
      </c>
    </row>
    <row r="372" spans="9:12" x14ac:dyDescent="0.2">
      <c r="I372" s="129">
        <v>2014</v>
      </c>
      <c r="J372" s="132" t="s">
        <v>320</v>
      </c>
      <c r="K372" s="132">
        <v>149336</v>
      </c>
      <c r="L372" s="140">
        <f t="shared" si="7"/>
        <v>3.136029770560602E-4</v>
      </c>
    </row>
    <row r="373" spans="9:12" x14ac:dyDescent="0.2">
      <c r="I373" s="129">
        <v>2014</v>
      </c>
      <c r="J373" s="132" t="s">
        <v>321</v>
      </c>
      <c r="K373" s="132">
        <v>64891</v>
      </c>
      <c r="L373" s="140">
        <f t="shared" si="7"/>
        <v>1.3626996025167945E-4</v>
      </c>
    </row>
    <row r="374" spans="9:12" x14ac:dyDescent="0.2">
      <c r="I374" s="129">
        <v>2014</v>
      </c>
      <c r="J374" s="132" t="s">
        <v>322</v>
      </c>
      <c r="K374" s="132">
        <v>31411</v>
      </c>
      <c r="L374" s="140">
        <f t="shared" si="7"/>
        <v>6.5962548295842312E-5</v>
      </c>
    </row>
    <row r="375" spans="9:12" x14ac:dyDescent="0.2">
      <c r="I375" s="129">
        <v>2014</v>
      </c>
      <c r="J375" s="132" t="s">
        <v>323</v>
      </c>
      <c r="K375" s="132">
        <v>10078942</v>
      </c>
      <c r="L375" s="140">
        <f t="shared" si="7"/>
        <v>2.1165601173028348E-2</v>
      </c>
    </row>
    <row r="376" spans="9:12" x14ac:dyDescent="0.2">
      <c r="I376" s="129">
        <v>2014</v>
      </c>
      <c r="J376" s="132" t="s">
        <v>324</v>
      </c>
      <c r="K376" s="132">
        <v>153081</v>
      </c>
      <c r="L376" s="140">
        <f t="shared" si="7"/>
        <v>3.2146741127871879E-4</v>
      </c>
    </row>
    <row r="377" spans="9:12" x14ac:dyDescent="0.2">
      <c r="I377" s="129">
        <v>2014</v>
      </c>
      <c r="J377" s="132" t="s">
        <v>325</v>
      </c>
      <c r="K377" s="132">
        <v>261001</v>
      </c>
      <c r="L377" s="140">
        <f t="shared" si="7"/>
        <v>5.4809751576718785E-4</v>
      </c>
    </row>
    <row r="378" spans="9:12" x14ac:dyDescent="0.2">
      <c r="I378" s="129">
        <v>2014</v>
      </c>
      <c r="J378" s="132" t="s">
        <v>326</v>
      </c>
      <c r="K378" s="132">
        <v>18218</v>
      </c>
      <c r="L378" s="140">
        <f t="shared" si="7"/>
        <v>3.8257480018262873E-5</v>
      </c>
    </row>
    <row r="379" spans="9:12" x14ac:dyDescent="0.2">
      <c r="I379" s="129">
        <v>2014</v>
      </c>
      <c r="J379" s="132" t="s">
        <v>327</v>
      </c>
      <c r="K379" s="132">
        <v>88056</v>
      </c>
      <c r="L379" s="140">
        <f t="shared" si="7"/>
        <v>1.8491605338062113E-4</v>
      </c>
    </row>
    <row r="380" spans="9:12" x14ac:dyDescent="0.2">
      <c r="I380" s="129">
        <v>2014</v>
      </c>
      <c r="J380" s="132" t="s">
        <v>328</v>
      </c>
      <c r="K380" s="132">
        <v>265848</v>
      </c>
      <c r="L380" s="140">
        <f t="shared" si="7"/>
        <v>5.58276130634271E-4</v>
      </c>
    </row>
    <row r="381" spans="9:12" x14ac:dyDescent="0.2">
      <c r="I381" s="129">
        <v>2014</v>
      </c>
      <c r="J381" s="132" t="s">
        <v>329</v>
      </c>
      <c r="K381" s="132">
        <v>9636</v>
      </c>
      <c r="L381" s="140">
        <f t="shared" si="7"/>
        <v>2.0235430752880727E-5</v>
      </c>
    </row>
    <row r="382" spans="9:12" x14ac:dyDescent="0.2">
      <c r="I382" s="129">
        <v>2014</v>
      </c>
      <c r="J382" s="132" t="s">
        <v>330</v>
      </c>
      <c r="K382" s="132">
        <v>13806</v>
      </c>
      <c r="L382" s="140">
        <f t="shared" si="7"/>
        <v>2.8992357510821016E-5</v>
      </c>
    </row>
    <row r="383" spans="9:12" x14ac:dyDescent="0.2">
      <c r="I383" s="129">
        <v>2014</v>
      </c>
      <c r="J383" s="132" t="s">
        <v>331</v>
      </c>
      <c r="K383" s="132">
        <v>427733</v>
      </c>
      <c r="L383" s="140">
        <f t="shared" si="7"/>
        <v>8.982317872791544E-4</v>
      </c>
    </row>
    <row r="384" spans="9:12" x14ac:dyDescent="0.2">
      <c r="I384" s="129">
        <v>2014</v>
      </c>
      <c r="J384" s="132" t="s">
        <v>332</v>
      </c>
      <c r="K384" s="132">
        <v>140382</v>
      </c>
      <c r="L384" s="140">
        <f t="shared" si="7"/>
        <v>2.9479973432450208E-4</v>
      </c>
    </row>
    <row r="385" spans="9:12" x14ac:dyDescent="0.2">
      <c r="I385" s="129">
        <v>2014</v>
      </c>
      <c r="J385" s="132" t="s">
        <v>333</v>
      </c>
      <c r="K385" s="132">
        <v>97764</v>
      </c>
      <c r="L385" s="140">
        <f t="shared" si="7"/>
        <v>2.0530268286889075E-4</v>
      </c>
    </row>
    <row r="386" spans="9:12" x14ac:dyDescent="0.2">
      <c r="I386" s="129">
        <v>2014</v>
      </c>
      <c r="J386" s="132" t="s">
        <v>334</v>
      </c>
      <c r="K386" s="132">
        <v>3122962</v>
      </c>
      <c r="L386" s="140">
        <f t="shared" si="7"/>
        <v>6.5581653481608443E-3</v>
      </c>
    </row>
    <row r="387" spans="9:12" x14ac:dyDescent="0.2">
      <c r="I387" s="129">
        <v>2014</v>
      </c>
      <c r="J387" s="132" t="s">
        <v>335</v>
      </c>
      <c r="K387" s="132">
        <v>368059</v>
      </c>
      <c r="L387" s="140">
        <f t="shared" si="7"/>
        <v>7.7291743539586208E-4</v>
      </c>
    </row>
    <row r="388" spans="9:12" x14ac:dyDescent="0.2">
      <c r="I388" s="129">
        <v>2014</v>
      </c>
      <c r="J388" s="132" t="s">
        <v>336</v>
      </c>
      <c r="K388" s="132">
        <v>18533</v>
      </c>
      <c r="L388" s="140">
        <f t="shared" ref="L388:L451" si="8">K388/VLOOKUP(I388,$A$3:$E$18,5,FALSE)</f>
        <v>3.8918974485589298E-5</v>
      </c>
    </row>
    <row r="389" spans="9:12" x14ac:dyDescent="0.2">
      <c r="I389" s="129">
        <v>2014</v>
      </c>
      <c r="J389" s="132" t="s">
        <v>337</v>
      </c>
      <c r="K389" s="132">
        <v>2290907</v>
      </c>
      <c r="L389" s="140">
        <f t="shared" si="8"/>
        <v>4.8108644624107232E-3</v>
      </c>
    </row>
    <row r="390" spans="9:12" x14ac:dyDescent="0.2">
      <c r="I390" s="129">
        <v>2014</v>
      </c>
      <c r="J390" s="132" t="s">
        <v>338</v>
      </c>
      <c r="K390" s="132">
        <v>1466176</v>
      </c>
      <c r="L390" s="140">
        <f t="shared" si="8"/>
        <v>3.0789438480215495E-3</v>
      </c>
    </row>
    <row r="391" spans="9:12" x14ac:dyDescent="0.2">
      <c r="I391" s="129">
        <v>2014</v>
      </c>
      <c r="J391" s="132" t="s">
        <v>339</v>
      </c>
      <c r="K391" s="132">
        <v>57656</v>
      </c>
      <c r="L391" s="140">
        <f t="shared" si="8"/>
        <v>1.2107658732753125E-4</v>
      </c>
    </row>
    <row r="392" spans="9:12" x14ac:dyDescent="0.2">
      <c r="I392" s="129">
        <v>2014</v>
      </c>
      <c r="J392" s="132" t="s">
        <v>340</v>
      </c>
      <c r="K392" s="132">
        <v>2094951</v>
      </c>
      <c r="L392" s="140">
        <f t="shared" si="8"/>
        <v>4.3993603041903515E-3</v>
      </c>
    </row>
    <row r="393" spans="9:12" x14ac:dyDescent="0.2">
      <c r="I393" s="129">
        <v>2014</v>
      </c>
      <c r="J393" s="132" t="s">
        <v>341</v>
      </c>
      <c r="K393" s="132">
        <v>3232762</v>
      </c>
      <c r="L393" s="140">
        <f t="shared" si="8"/>
        <v>6.7887434196289122E-3</v>
      </c>
    </row>
    <row r="394" spans="9:12" x14ac:dyDescent="0.2">
      <c r="I394" s="129">
        <v>2014</v>
      </c>
      <c r="J394" s="132" t="s">
        <v>342</v>
      </c>
      <c r="K394" s="132">
        <v>852948</v>
      </c>
      <c r="L394" s="140">
        <f t="shared" si="8"/>
        <v>1.7911758187845693E-3</v>
      </c>
    </row>
    <row r="395" spans="9:12" x14ac:dyDescent="0.2">
      <c r="I395" s="129">
        <v>2014</v>
      </c>
      <c r="J395" s="132" t="s">
        <v>343</v>
      </c>
      <c r="K395" s="132">
        <v>711119</v>
      </c>
      <c r="L395" s="140">
        <f t="shared" si="8"/>
        <v>1.4933374098752374E-3</v>
      </c>
    </row>
    <row r="396" spans="9:12" x14ac:dyDescent="0.2">
      <c r="I396" s="129">
        <v>2014</v>
      </c>
      <c r="J396" s="132" t="s">
        <v>344</v>
      </c>
      <c r="K396" s="132">
        <v>276091</v>
      </c>
      <c r="L396" s="140">
        <f t="shared" si="8"/>
        <v>5.7978625072577759E-4</v>
      </c>
    </row>
    <row r="397" spans="9:12" x14ac:dyDescent="0.2">
      <c r="I397" s="129">
        <v>2014</v>
      </c>
      <c r="J397" s="132" t="s">
        <v>345</v>
      </c>
      <c r="K397" s="132">
        <v>754234</v>
      </c>
      <c r="L397" s="140">
        <f t="shared" si="8"/>
        <v>1.5838781526015195E-3</v>
      </c>
    </row>
    <row r="398" spans="9:12" x14ac:dyDescent="0.2">
      <c r="I398" s="129">
        <v>2014</v>
      </c>
      <c r="J398" s="132" t="s">
        <v>346</v>
      </c>
      <c r="K398" s="132">
        <v>437875</v>
      </c>
      <c r="L398" s="140">
        <f t="shared" si="8"/>
        <v>9.1952980914462932E-4</v>
      </c>
    </row>
    <row r="399" spans="9:12" x14ac:dyDescent="0.2">
      <c r="I399" s="129">
        <v>2014</v>
      </c>
      <c r="J399" s="132" t="s">
        <v>347</v>
      </c>
      <c r="K399" s="132">
        <v>1887079</v>
      </c>
      <c r="L399" s="140">
        <f t="shared" si="8"/>
        <v>3.962832755263118E-3</v>
      </c>
    </row>
    <row r="400" spans="9:12" x14ac:dyDescent="0.2">
      <c r="I400" s="129">
        <v>2014</v>
      </c>
      <c r="J400" s="132" t="s">
        <v>348</v>
      </c>
      <c r="K400" s="132">
        <v>271217</v>
      </c>
      <c r="L400" s="140">
        <f t="shared" si="8"/>
        <v>5.6955093633292357E-4</v>
      </c>
    </row>
    <row r="401" spans="9:12" x14ac:dyDescent="0.2">
      <c r="I401" s="129">
        <v>2014</v>
      </c>
      <c r="J401" s="132" t="s">
        <v>349</v>
      </c>
      <c r="K401" s="132">
        <v>179136</v>
      </c>
      <c r="L401" s="140">
        <f t="shared" si="8"/>
        <v>3.7618245364757596E-4</v>
      </c>
    </row>
    <row r="402" spans="9:12" x14ac:dyDescent="0.2">
      <c r="I402" s="129">
        <v>2014</v>
      </c>
      <c r="J402" s="132" t="s">
        <v>350</v>
      </c>
      <c r="K402" s="132">
        <v>3204</v>
      </c>
      <c r="L402" s="140">
        <f t="shared" si="8"/>
        <v>6.7283437248059199E-6</v>
      </c>
    </row>
    <row r="403" spans="9:12" x14ac:dyDescent="0.2">
      <c r="I403" s="129">
        <v>2014</v>
      </c>
      <c r="J403" s="132" t="s">
        <v>351</v>
      </c>
      <c r="K403" s="132">
        <v>44809</v>
      </c>
      <c r="L403" s="140">
        <f t="shared" si="8"/>
        <v>9.409811297279291E-5</v>
      </c>
    </row>
    <row r="404" spans="9:12" x14ac:dyDescent="0.2">
      <c r="I404" s="129">
        <v>2014</v>
      </c>
      <c r="J404" s="132" t="s">
        <v>352</v>
      </c>
      <c r="K404" s="132">
        <v>423383</v>
      </c>
      <c r="L404" s="140">
        <f t="shared" si="8"/>
        <v>8.8909686368274189E-4</v>
      </c>
    </row>
    <row r="405" spans="9:12" x14ac:dyDescent="0.2">
      <c r="I405" s="129">
        <v>2014</v>
      </c>
      <c r="J405" s="132" t="s">
        <v>353</v>
      </c>
      <c r="K405" s="132">
        <v>497121</v>
      </c>
      <c r="L405" s="140">
        <f t="shared" si="8"/>
        <v>1.043945368545332E-3</v>
      </c>
    </row>
    <row r="406" spans="9:12" x14ac:dyDescent="0.2">
      <c r="I406" s="129">
        <v>2014</v>
      </c>
      <c r="J406" s="132" t="s">
        <v>354</v>
      </c>
      <c r="K406" s="132">
        <v>529094</v>
      </c>
      <c r="L406" s="140">
        <f t="shared" si="8"/>
        <v>1.1110881069701822E-3</v>
      </c>
    </row>
    <row r="407" spans="9:12" x14ac:dyDescent="0.2">
      <c r="I407" s="129">
        <v>2014</v>
      </c>
      <c r="J407" s="132" t="s">
        <v>355</v>
      </c>
      <c r="K407" s="132">
        <v>95600</v>
      </c>
      <c r="L407" s="140">
        <f t="shared" si="8"/>
        <v>2.0075832087748001E-4</v>
      </c>
    </row>
    <row r="408" spans="9:12" x14ac:dyDescent="0.2">
      <c r="I408" s="129">
        <v>2014</v>
      </c>
      <c r="J408" s="132" t="s">
        <v>356</v>
      </c>
      <c r="K408" s="132">
        <v>62856</v>
      </c>
      <c r="L408" s="140">
        <f t="shared" si="8"/>
        <v>1.3199649599450716E-4</v>
      </c>
    </row>
    <row r="409" spans="9:12" x14ac:dyDescent="0.2">
      <c r="I409" s="129">
        <v>2014</v>
      </c>
      <c r="J409" s="132" t="s">
        <v>357</v>
      </c>
      <c r="K409" s="132">
        <v>13722</v>
      </c>
      <c r="L409" s="140">
        <f t="shared" si="8"/>
        <v>2.8815958986200635E-5</v>
      </c>
    </row>
    <row r="410" spans="9:12" x14ac:dyDescent="0.2">
      <c r="I410" s="129">
        <v>2014</v>
      </c>
      <c r="J410" s="132" t="s">
        <v>358</v>
      </c>
      <c r="K410" s="132">
        <v>458492</v>
      </c>
      <c r="L410" s="140">
        <f t="shared" si="8"/>
        <v>9.628251470267528E-4</v>
      </c>
    </row>
    <row r="411" spans="9:12" x14ac:dyDescent="0.2">
      <c r="I411" s="129">
        <v>2014</v>
      </c>
      <c r="J411" s="132" t="s">
        <v>359</v>
      </c>
      <c r="K411" s="132">
        <v>55082</v>
      </c>
      <c r="L411" s="140">
        <f t="shared" si="8"/>
        <v>1.1567123253737819E-4</v>
      </c>
    </row>
    <row r="412" spans="9:12" x14ac:dyDescent="0.2">
      <c r="I412" s="129">
        <v>2014</v>
      </c>
      <c r="J412" s="132" t="s">
        <v>360</v>
      </c>
      <c r="K412" s="132">
        <v>845279</v>
      </c>
      <c r="L412" s="140">
        <f t="shared" si="8"/>
        <v>1.7750710534832157E-3</v>
      </c>
    </row>
    <row r="413" spans="9:12" x14ac:dyDescent="0.2">
      <c r="I413" s="129">
        <v>2014</v>
      </c>
      <c r="J413" s="132" t="s">
        <v>361</v>
      </c>
      <c r="K413" s="132">
        <v>208637</v>
      </c>
      <c r="L413" s="140">
        <f t="shared" si="8"/>
        <v>4.3813403549074057E-4</v>
      </c>
    </row>
    <row r="414" spans="9:12" x14ac:dyDescent="0.2">
      <c r="I414" s="129">
        <v>2014</v>
      </c>
      <c r="J414" s="132" t="s">
        <v>362</v>
      </c>
      <c r="K414" s="132">
        <v>73730</v>
      </c>
      <c r="L414" s="140">
        <f t="shared" si="8"/>
        <v>1.5483170500310252E-4</v>
      </c>
    </row>
    <row r="415" spans="9:12" x14ac:dyDescent="0.2">
      <c r="I415" s="129">
        <v>2014</v>
      </c>
      <c r="J415" s="132" t="s">
        <v>363</v>
      </c>
      <c r="K415" s="132">
        <v>38556731</v>
      </c>
      <c r="L415" s="140">
        <f t="shared" si="8"/>
        <v>8.0968457887915068E-2</v>
      </c>
    </row>
    <row r="416" spans="9:12" x14ac:dyDescent="0.2">
      <c r="I416" s="129">
        <v>2013</v>
      </c>
      <c r="J416" s="132" t="s">
        <v>305</v>
      </c>
      <c r="K416" s="132">
        <v>1569989</v>
      </c>
      <c r="L416" s="140">
        <f t="shared" si="8"/>
        <v>3.3281549211769423E-3</v>
      </c>
    </row>
    <row r="417" spans="9:12" x14ac:dyDescent="0.2">
      <c r="I417" s="129">
        <v>2013</v>
      </c>
      <c r="J417" s="132" t="s">
        <v>306</v>
      </c>
      <c r="K417" s="132">
        <v>1164</v>
      </c>
      <c r="L417" s="140">
        <f t="shared" si="8"/>
        <v>2.4675155865741487E-6</v>
      </c>
    </row>
    <row r="418" spans="9:12" x14ac:dyDescent="0.2">
      <c r="I418" s="129">
        <v>2013</v>
      </c>
      <c r="J418" s="132" t="s">
        <v>307</v>
      </c>
      <c r="K418" s="132">
        <v>36267</v>
      </c>
      <c r="L418" s="140">
        <f t="shared" si="8"/>
        <v>7.6880917335296086E-5</v>
      </c>
    </row>
    <row r="419" spans="9:12" x14ac:dyDescent="0.2">
      <c r="I419" s="129">
        <v>2013</v>
      </c>
      <c r="J419" s="132" t="s">
        <v>308</v>
      </c>
      <c r="K419" s="132">
        <v>222374</v>
      </c>
      <c r="L419" s="140">
        <f t="shared" si="8"/>
        <v>4.7140146997322996E-4</v>
      </c>
    </row>
    <row r="420" spans="9:12" x14ac:dyDescent="0.2">
      <c r="I420" s="129">
        <v>2013</v>
      </c>
      <c r="J420" s="132" t="s">
        <v>309</v>
      </c>
      <c r="K420" s="132">
        <v>45424</v>
      </c>
      <c r="L420" s="140">
        <f t="shared" si="8"/>
        <v>9.6292463921429652E-5</v>
      </c>
    </row>
    <row r="421" spans="9:12" x14ac:dyDescent="0.2">
      <c r="I421" s="129">
        <v>2013</v>
      </c>
      <c r="J421" s="132" t="s">
        <v>310</v>
      </c>
      <c r="K421" s="132">
        <v>21480</v>
      </c>
      <c r="L421" s="140">
        <f t="shared" si="8"/>
        <v>4.5534565979048718E-5</v>
      </c>
    </row>
    <row r="422" spans="9:12" x14ac:dyDescent="0.2">
      <c r="I422" s="129">
        <v>2013</v>
      </c>
      <c r="J422" s="132" t="s">
        <v>311</v>
      </c>
      <c r="K422" s="132">
        <v>1086069</v>
      </c>
      <c r="L422" s="140">
        <f t="shared" si="8"/>
        <v>2.3023128742225077E-3</v>
      </c>
    </row>
    <row r="423" spans="9:12" x14ac:dyDescent="0.2">
      <c r="I423" s="129">
        <v>2013</v>
      </c>
      <c r="J423" s="132" t="s">
        <v>312</v>
      </c>
      <c r="K423" s="132">
        <v>27619</v>
      </c>
      <c r="L423" s="140">
        <f t="shared" si="8"/>
        <v>5.8548378853600864E-5</v>
      </c>
    </row>
    <row r="424" spans="9:12" x14ac:dyDescent="0.2">
      <c r="I424" s="129">
        <v>2013</v>
      </c>
      <c r="J424" s="132" t="s">
        <v>313</v>
      </c>
      <c r="K424" s="132">
        <v>180599</v>
      </c>
      <c r="L424" s="140">
        <f t="shared" si="8"/>
        <v>3.8284437063548511E-4</v>
      </c>
    </row>
    <row r="425" spans="9:12" x14ac:dyDescent="0.2">
      <c r="I425" s="129">
        <v>2013</v>
      </c>
      <c r="J425" s="132" t="s">
        <v>314</v>
      </c>
      <c r="K425" s="132">
        <v>956991</v>
      </c>
      <c r="L425" s="140">
        <f t="shared" si="8"/>
        <v>2.0286857463154475E-3</v>
      </c>
    </row>
    <row r="426" spans="9:12" x14ac:dyDescent="0.2">
      <c r="I426" s="129">
        <v>2013</v>
      </c>
      <c r="J426" s="132" t="s">
        <v>315</v>
      </c>
      <c r="K426" s="132">
        <v>28135</v>
      </c>
      <c r="L426" s="140">
        <f t="shared" si="8"/>
        <v>5.9642225969298682E-5</v>
      </c>
    </row>
    <row r="427" spans="9:12" x14ac:dyDescent="0.2">
      <c r="I427" s="129">
        <v>2013</v>
      </c>
      <c r="J427" s="132" t="s">
        <v>316</v>
      </c>
      <c r="K427" s="132">
        <v>134758</v>
      </c>
      <c r="L427" s="140">
        <f t="shared" si="8"/>
        <v>2.8566792561474151E-4</v>
      </c>
    </row>
    <row r="428" spans="9:12" x14ac:dyDescent="0.2">
      <c r="I428" s="129">
        <v>2013</v>
      </c>
      <c r="J428" s="132" t="s">
        <v>317</v>
      </c>
      <c r="K428" s="132">
        <v>180099</v>
      </c>
      <c r="L428" s="140">
        <f t="shared" si="8"/>
        <v>3.8178444125980889E-4</v>
      </c>
    </row>
    <row r="429" spans="9:12" x14ac:dyDescent="0.2">
      <c r="I429" s="129">
        <v>2013</v>
      </c>
      <c r="J429" s="132" t="s">
        <v>318</v>
      </c>
      <c r="K429" s="132">
        <v>18557</v>
      </c>
      <c r="L429" s="140">
        <f t="shared" si="8"/>
        <v>3.9338218848845765E-5</v>
      </c>
    </row>
    <row r="430" spans="9:12" x14ac:dyDescent="0.2">
      <c r="I430" s="129">
        <v>2013</v>
      </c>
      <c r="J430" s="132" t="s">
        <v>319</v>
      </c>
      <c r="K430" s="132">
        <v>864605</v>
      </c>
      <c r="L430" s="140">
        <f t="shared" si="8"/>
        <v>1.8328404757130083E-3</v>
      </c>
    </row>
    <row r="431" spans="9:12" x14ac:dyDescent="0.2">
      <c r="I431" s="129">
        <v>2013</v>
      </c>
      <c r="J431" s="132" t="s">
        <v>320</v>
      </c>
      <c r="K431" s="132">
        <v>150270</v>
      </c>
      <c r="L431" s="140">
        <f t="shared" si="8"/>
        <v>3.1855117456571934E-4</v>
      </c>
    </row>
    <row r="432" spans="9:12" x14ac:dyDescent="0.2">
      <c r="I432" s="129">
        <v>2013</v>
      </c>
      <c r="J432" s="132" t="s">
        <v>321</v>
      </c>
      <c r="K432" s="132">
        <v>64759</v>
      </c>
      <c r="L432" s="140">
        <f t="shared" si="8"/>
        <v>1.3727993287882757E-4</v>
      </c>
    </row>
    <row r="433" spans="9:12" x14ac:dyDescent="0.2">
      <c r="I433" s="129">
        <v>2013</v>
      </c>
      <c r="J433" s="132" t="s">
        <v>322</v>
      </c>
      <c r="K433" s="132">
        <v>32466</v>
      </c>
      <c r="L433" s="140">
        <f t="shared" si="8"/>
        <v>6.8823334221405761E-5</v>
      </c>
    </row>
    <row r="434" spans="9:12" x14ac:dyDescent="0.2">
      <c r="I434" s="129">
        <v>2013</v>
      </c>
      <c r="J434" s="132" t="s">
        <v>323</v>
      </c>
      <c r="K434" s="132">
        <v>10025721</v>
      </c>
      <c r="L434" s="140">
        <f t="shared" si="8"/>
        <v>2.1253112400467147E-2</v>
      </c>
    </row>
    <row r="435" spans="9:12" x14ac:dyDescent="0.2">
      <c r="I435" s="129">
        <v>2013</v>
      </c>
      <c r="J435" s="132" t="s">
        <v>324</v>
      </c>
      <c r="K435" s="132">
        <v>151396</v>
      </c>
      <c r="L435" s="140">
        <f t="shared" si="8"/>
        <v>3.2093813551974207E-4</v>
      </c>
    </row>
    <row r="436" spans="9:12" x14ac:dyDescent="0.2">
      <c r="I436" s="129">
        <v>2013</v>
      </c>
      <c r="J436" s="132" t="s">
        <v>325</v>
      </c>
      <c r="K436" s="132">
        <v>258133</v>
      </c>
      <c r="L436" s="140">
        <f t="shared" si="8"/>
        <v>5.4720549906283906E-4</v>
      </c>
    </row>
    <row r="437" spans="9:12" x14ac:dyDescent="0.2">
      <c r="I437" s="129">
        <v>2013</v>
      </c>
      <c r="J437" s="132" t="s">
        <v>326</v>
      </c>
      <c r="K437" s="132">
        <v>18195</v>
      </c>
      <c r="L437" s="140">
        <f t="shared" si="8"/>
        <v>3.8570829980856211E-5</v>
      </c>
    </row>
    <row r="438" spans="9:12" x14ac:dyDescent="0.2">
      <c r="I438" s="129">
        <v>2013</v>
      </c>
      <c r="J438" s="132" t="s">
        <v>327</v>
      </c>
      <c r="K438" s="132">
        <v>88210</v>
      </c>
      <c r="L438" s="140">
        <f t="shared" si="8"/>
        <v>1.8699274045679178E-4</v>
      </c>
    </row>
    <row r="439" spans="9:12" x14ac:dyDescent="0.2">
      <c r="I439" s="129">
        <v>2013</v>
      </c>
      <c r="J439" s="132" t="s">
        <v>328</v>
      </c>
      <c r="K439" s="132">
        <v>264365</v>
      </c>
      <c r="L439" s="140">
        <f t="shared" si="8"/>
        <v>5.6041645880126694E-4</v>
      </c>
    </row>
    <row r="440" spans="9:12" x14ac:dyDescent="0.2">
      <c r="I440" s="129">
        <v>2013</v>
      </c>
      <c r="J440" s="132" t="s">
        <v>329</v>
      </c>
      <c r="K440" s="132">
        <v>9646</v>
      </c>
      <c r="L440" s="140">
        <f t="shared" si="8"/>
        <v>2.0448157515544876E-5</v>
      </c>
    </row>
    <row r="441" spans="9:12" x14ac:dyDescent="0.2">
      <c r="I441" s="129">
        <v>2013</v>
      </c>
      <c r="J441" s="132" t="s">
        <v>330</v>
      </c>
      <c r="K441" s="132">
        <v>13934</v>
      </c>
      <c r="L441" s="140">
        <f t="shared" si="8"/>
        <v>2.9538111841343801E-5</v>
      </c>
    </row>
    <row r="442" spans="9:12" x14ac:dyDescent="0.2">
      <c r="I442" s="129">
        <v>2013</v>
      </c>
      <c r="J442" s="132" t="s">
        <v>331</v>
      </c>
      <c r="K442" s="132">
        <v>425968</v>
      </c>
      <c r="L442" s="140">
        <f t="shared" si="8"/>
        <v>9.0299199259606265E-4</v>
      </c>
    </row>
    <row r="443" spans="9:12" x14ac:dyDescent="0.2">
      <c r="I443" s="129">
        <v>2013</v>
      </c>
      <c r="J443" s="132" t="s">
        <v>332</v>
      </c>
      <c r="K443" s="132">
        <v>139005</v>
      </c>
      <c r="L443" s="140">
        <f t="shared" si="8"/>
        <v>2.94670965731735E-4</v>
      </c>
    </row>
    <row r="444" spans="9:12" x14ac:dyDescent="0.2">
      <c r="I444" s="129">
        <v>2013</v>
      </c>
      <c r="J444" s="132" t="s">
        <v>333</v>
      </c>
      <c r="K444" s="132">
        <v>97850</v>
      </c>
      <c r="L444" s="140">
        <f t="shared" si="8"/>
        <v>2.0742817881982855E-4</v>
      </c>
    </row>
    <row r="445" spans="9:12" x14ac:dyDescent="0.2">
      <c r="I445" s="129">
        <v>2013</v>
      </c>
      <c r="J445" s="132" t="s">
        <v>334</v>
      </c>
      <c r="K445" s="132">
        <v>3103018</v>
      </c>
      <c r="L445" s="140">
        <f t="shared" si="8"/>
        <v>6.5779598629039015E-3</v>
      </c>
    </row>
    <row r="446" spans="9:12" x14ac:dyDescent="0.2">
      <c r="I446" s="129">
        <v>2013</v>
      </c>
      <c r="J446" s="132" t="s">
        <v>335</v>
      </c>
      <c r="K446" s="132">
        <v>363837</v>
      </c>
      <c r="L446" s="140">
        <f t="shared" si="8"/>
        <v>7.7128304851578904E-4</v>
      </c>
    </row>
    <row r="447" spans="9:12" x14ac:dyDescent="0.2">
      <c r="I447" s="129">
        <v>2013</v>
      </c>
      <c r="J447" s="132" t="s">
        <v>336</v>
      </c>
      <c r="K447" s="132">
        <v>18915</v>
      </c>
      <c r="L447" s="140">
        <f t="shared" si="8"/>
        <v>4.0097128281829914E-5</v>
      </c>
    </row>
    <row r="448" spans="9:12" x14ac:dyDescent="0.2">
      <c r="I448" s="129">
        <v>2013</v>
      </c>
      <c r="J448" s="132" t="s">
        <v>337</v>
      </c>
      <c r="K448" s="132">
        <v>2268660</v>
      </c>
      <c r="L448" s="140">
        <f t="shared" si="8"/>
        <v>4.8092387548430478E-3</v>
      </c>
    </row>
    <row r="449" spans="9:12" x14ac:dyDescent="0.2">
      <c r="I449" s="129">
        <v>2013</v>
      </c>
      <c r="J449" s="132" t="s">
        <v>338</v>
      </c>
      <c r="K449" s="132">
        <v>1453969</v>
      </c>
      <c r="L449" s="140">
        <f t="shared" si="8"/>
        <v>3.0822089088450412E-3</v>
      </c>
    </row>
    <row r="450" spans="9:12" x14ac:dyDescent="0.2">
      <c r="I450" s="129">
        <v>2013</v>
      </c>
      <c r="J450" s="132" t="s">
        <v>339</v>
      </c>
      <c r="K450" s="132">
        <v>56978</v>
      </c>
      <c r="L450" s="140">
        <f t="shared" si="8"/>
        <v>1.2078531193455484E-4</v>
      </c>
    </row>
    <row r="451" spans="9:12" x14ac:dyDescent="0.2">
      <c r="I451" s="129">
        <v>2013</v>
      </c>
      <c r="J451" s="132" t="s">
        <v>340</v>
      </c>
      <c r="K451" s="132">
        <v>2084443</v>
      </c>
      <c r="L451" s="140">
        <f t="shared" si="8"/>
        <v>4.41872473524517E-3</v>
      </c>
    </row>
    <row r="452" spans="9:12" x14ac:dyDescent="0.2">
      <c r="I452" s="129">
        <v>2013</v>
      </c>
      <c r="J452" s="132" t="s">
        <v>341</v>
      </c>
      <c r="K452" s="132">
        <v>3199900</v>
      </c>
      <c r="L452" s="140">
        <f t="shared" ref="L452:L515" si="9">K452/VLOOKUP(I452,$A$3:$E$18,5,FALSE)</f>
        <v>6.7833360184524211E-3</v>
      </c>
    </row>
    <row r="453" spans="9:12" x14ac:dyDescent="0.2">
      <c r="I453" s="129">
        <v>2013</v>
      </c>
      <c r="J453" s="132" t="s">
        <v>342</v>
      </c>
      <c r="K453" s="132">
        <v>844169</v>
      </c>
      <c r="L453" s="140">
        <f t="shared" si="9"/>
        <v>1.7895190422703715E-3</v>
      </c>
    </row>
    <row r="454" spans="9:12" x14ac:dyDescent="0.2">
      <c r="I454" s="129">
        <v>2013</v>
      </c>
      <c r="J454" s="132" t="s">
        <v>343</v>
      </c>
      <c r="K454" s="132">
        <v>704615</v>
      </c>
      <c r="L454" s="140">
        <f t="shared" si="9"/>
        <v>1.4936842740841439E-3</v>
      </c>
    </row>
    <row r="455" spans="9:12" x14ac:dyDescent="0.2">
      <c r="I455" s="129">
        <v>2013</v>
      </c>
      <c r="J455" s="132" t="s">
        <v>344</v>
      </c>
      <c r="K455" s="132">
        <v>273882</v>
      </c>
      <c r="L455" s="140">
        <f t="shared" si="9"/>
        <v>5.8059115453788735E-4</v>
      </c>
    </row>
    <row r="456" spans="9:12" x14ac:dyDescent="0.2">
      <c r="I456" s="129">
        <v>2013</v>
      </c>
      <c r="J456" s="132" t="s">
        <v>345</v>
      </c>
      <c r="K456" s="132">
        <v>747550</v>
      </c>
      <c r="L456" s="140">
        <f t="shared" si="9"/>
        <v>1.5847004095734577E-3</v>
      </c>
    </row>
    <row r="457" spans="9:12" x14ac:dyDescent="0.2">
      <c r="I457" s="129">
        <v>2013</v>
      </c>
      <c r="J457" s="132" t="s">
        <v>346</v>
      </c>
      <c r="K457" s="132">
        <v>433078</v>
      </c>
      <c r="L457" s="140">
        <f t="shared" si="9"/>
        <v>9.180641883181779E-4</v>
      </c>
    </row>
    <row r="458" spans="9:12" x14ac:dyDescent="0.2">
      <c r="I458" s="129">
        <v>2013</v>
      </c>
      <c r="J458" s="132" t="s">
        <v>347</v>
      </c>
      <c r="K458" s="132">
        <v>1863975</v>
      </c>
      <c r="L458" s="140">
        <f t="shared" si="9"/>
        <v>3.9513637160520174E-3</v>
      </c>
    </row>
    <row r="459" spans="9:12" x14ac:dyDescent="0.2">
      <c r="I459" s="129">
        <v>2013</v>
      </c>
      <c r="J459" s="132" t="s">
        <v>348</v>
      </c>
      <c r="K459" s="132">
        <v>269463</v>
      </c>
      <c r="L459" s="140">
        <f t="shared" si="9"/>
        <v>5.7122349871566137E-4</v>
      </c>
    </row>
    <row r="460" spans="9:12" x14ac:dyDescent="0.2">
      <c r="I460" s="129">
        <v>2013</v>
      </c>
      <c r="J460" s="132" t="s">
        <v>349</v>
      </c>
      <c r="K460" s="132">
        <v>178866</v>
      </c>
      <c r="L460" s="140">
        <f t="shared" si="9"/>
        <v>3.7917065541939147E-4</v>
      </c>
    </row>
    <row r="461" spans="9:12" x14ac:dyDescent="0.2">
      <c r="I461" s="129">
        <v>2013</v>
      </c>
      <c r="J461" s="132" t="s">
        <v>350</v>
      </c>
      <c r="K461" s="132">
        <v>3215</v>
      </c>
      <c r="L461" s="140">
        <f t="shared" si="9"/>
        <v>6.815345885597841E-6</v>
      </c>
    </row>
    <row r="462" spans="9:12" x14ac:dyDescent="0.2">
      <c r="I462" s="129">
        <v>2013</v>
      </c>
      <c r="J462" s="132" t="s">
        <v>351</v>
      </c>
      <c r="K462" s="132">
        <v>44825</v>
      </c>
      <c r="L462" s="140">
        <f t="shared" si="9"/>
        <v>9.5022668529369598E-5</v>
      </c>
    </row>
    <row r="463" spans="9:12" x14ac:dyDescent="0.2">
      <c r="I463" s="129">
        <v>2013</v>
      </c>
      <c r="J463" s="132" t="s">
        <v>352</v>
      </c>
      <c r="K463" s="132">
        <v>419493</v>
      </c>
      <c r="L463" s="140">
        <f t="shared" si="9"/>
        <v>8.8926590718105606E-4</v>
      </c>
    </row>
    <row r="464" spans="9:12" x14ac:dyDescent="0.2">
      <c r="I464" s="129">
        <v>2013</v>
      </c>
      <c r="J464" s="132" t="s">
        <v>353</v>
      </c>
      <c r="K464" s="132">
        <v>493122</v>
      </c>
      <c r="L464" s="140">
        <f t="shared" si="9"/>
        <v>1.0453489871843791E-3</v>
      </c>
    </row>
    <row r="465" spans="9:12" x14ac:dyDescent="0.2">
      <c r="I465" s="129">
        <v>2013</v>
      </c>
      <c r="J465" s="132" t="s">
        <v>354</v>
      </c>
      <c r="K465" s="132">
        <v>525886</v>
      </c>
      <c r="L465" s="140">
        <f t="shared" si="9"/>
        <v>1.1148040393136878E-3</v>
      </c>
    </row>
    <row r="466" spans="9:12" x14ac:dyDescent="0.2">
      <c r="I466" s="129">
        <v>2013</v>
      </c>
      <c r="J466" s="132" t="s">
        <v>355</v>
      </c>
      <c r="K466" s="132">
        <v>94861</v>
      </c>
      <c r="L466" s="140">
        <f t="shared" si="9"/>
        <v>2.0109192101203633E-4</v>
      </c>
    </row>
    <row r="467" spans="9:12" x14ac:dyDescent="0.2">
      <c r="I467" s="129">
        <v>2013</v>
      </c>
      <c r="J467" s="132" t="s">
        <v>356</v>
      </c>
      <c r="K467" s="132">
        <v>63102</v>
      </c>
      <c r="L467" s="140">
        <f t="shared" si="9"/>
        <v>1.3376732692783669E-4</v>
      </c>
    </row>
    <row r="468" spans="9:12" x14ac:dyDescent="0.2">
      <c r="I468" s="129">
        <v>2013</v>
      </c>
      <c r="J468" s="132" t="s">
        <v>357</v>
      </c>
      <c r="K468" s="132">
        <v>13731</v>
      </c>
      <c r="L468" s="140">
        <f t="shared" si="9"/>
        <v>2.9107780514819271E-5</v>
      </c>
    </row>
    <row r="469" spans="9:12" x14ac:dyDescent="0.2">
      <c r="I469" s="129">
        <v>2013</v>
      </c>
      <c r="J469" s="132" t="s">
        <v>358</v>
      </c>
      <c r="K469" s="132">
        <v>455525</v>
      </c>
      <c r="L469" s="140">
        <f t="shared" si="9"/>
        <v>9.6564865770978436E-4</v>
      </c>
    </row>
    <row r="470" spans="9:12" x14ac:dyDescent="0.2">
      <c r="I470" s="129">
        <v>2013</v>
      </c>
      <c r="J470" s="132" t="s">
        <v>359</v>
      </c>
      <c r="K470" s="132">
        <v>54938</v>
      </c>
      <c r="L470" s="140">
        <f t="shared" si="9"/>
        <v>1.1646080008179603E-4</v>
      </c>
    </row>
    <row r="471" spans="9:12" x14ac:dyDescent="0.2">
      <c r="I471" s="129">
        <v>2013</v>
      </c>
      <c r="J471" s="132" t="s">
        <v>360</v>
      </c>
      <c r="K471" s="132">
        <v>840637</v>
      </c>
      <c r="L471" s="140">
        <f t="shared" si="9"/>
        <v>1.782031701160595E-3</v>
      </c>
    </row>
    <row r="472" spans="9:12" x14ac:dyDescent="0.2">
      <c r="I472" s="129">
        <v>2013</v>
      </c>
      <c r="J472" s="132" t="s">
        <v>361</v>
      </c>
      <c r="K472" s="132">
        <v>207801</v>
      </c>
      <c r="L472" s="140">
        <f t="shared" si="9"/>
        <v>4.4050876838977199E-4</v>
      </c>
    </row>
    <row r="473" spans="9:12" x14ac:dyDescent="0.2">
      <c r="I473" s="129">
        <v>2013</v>
      </c>
      <c r="J473" s="132" t="s">
        <v>362</v>
      </c>
      <c r="K473" s="132">
        <v>73362</v>
      </c>
      <c r="L473" s="140">
        <f t="shared" si="9"/>
        <v>1.5551707771671193E-4</v>
      </c>
    </row>
    <row r="474" spans="9:12" x14ac:dyDescent="0.2">
      <c r="I474" s="129">
        <v>2013</v>
      </c>
      <c r="J474" s="132" t="s">
        <v>363</v>
      </c>
      <c r="K474" s="132">
        <v>38269864</v>
      </c>
      <c r="L474" s="140">
        <f t="shared" si="9"/>
        <v>8.1126706113464675E-2</v>
      </c>
    </row>
    <row r="475" spans="9:12" x14ac:dyDescent="0.2">
      <c r="I475" s="129">
        <v>2012</v>
      </c>
      <c r="J475" s="132" t="s">
        <v>305</v>
      </c>
      <c r="K475" s="132">
        <v>1545917</v>
      </c>
      <c r="L475" s="140">
        <f t="shared" si="9"/>
        <v>3.3096124002874355E-3</v>
      </c>
    </row>
    <row r="476" spans="9:12" x14ac:dyDescent="0.2">
      <c r="I476" s="129">
        <v>2012</v>
      </c>
      <c r="J476" s="132" t="s">
        <v>306</v>
      </c>
      <c r="K476" s="132">
        <v>1166</v>
      </c>
      <c r="L476" s="140">
        <f t="shared" si="9"/>
        <v>2.4962582459052781E-6</v>
      </c>
    </row>
    <row r="477" spans="9:12" x14ac:dyDescent="0.2">
      <c r="I477" s="129">
        <v>2012</v>
      </c>
      <c r="J477" s="132" t="s">
        <v>307</v>
      </c>
      <c r="K477" s="132">
        <v>36777</v>
      </c>
      <c r="L477" s="140">
        <f t="shared" si="9"/>
        <v>7.8734896663514931E-5</v>
      </c>
    </row>
    <row r="478" spans="9:12" x14ac:dyDescent="0.2">
      <c r="I478" s="129">
        <v>2012</v>
      </c>
      <c r="J478" s="132" t="s">
        <v>308</v>
      </c>
      <c r="K478" s="132">
        <v>221340</v>
      </c>
      <c r="L478" s="140">
        <f t="shared" si="9"/>
        <v>4.7386089206575833E-4</v>
      </c>
    </row>
    <row r="479" spans="9:12" x14ac:dyDescent="0.2">
      <c r="I479" s="129">
        <v>2012</v>
      </c>
      <c r="J479" s="132" t="s">
        <v>309</v>
      </c>
      <c r="K479" s="132">
        <v>45496</v>
      </c>
      <c r="L479" s="140">
        <f t="shared" si="9"/>
        <v>9.7401170802492739E-5</v>
      </c>
    </row>
    <row r="480" spans="9:12" x14ac:dyDescent="0.2">
      <c r="I480" s="129">
        <v>2012</v>
      </c>
      <c r="J480" s="132" t="s">
        <v>310</v>
      </c>
      <c r="K480" s="132">
        <v>21340</v>
      </c>
      <c r="L480" s="140">
        <f t="shared" si="9"/>
        <v>4.5686235821285279E-5</v>
      </c>
    </row>
    <row r="481" spans="9:12" x14ac:dyDescent="0.2">
      <c r="I481" s="129">
        <v>2012</v>
      </c>
      <c r="J481" s="132" t="s">
        <v>311</v>
      </c>
      <c r="K481" s="132">
        <v>1072470</v>
      </c>
      <c r="L481" s="140">
        <f t="shared" si="9"/>
        <v>2.2960223679125502E-3</v>
      </c>
    </row>
    <row r="482" spans="9:12" x14ac:dyDescent="0.2">
      <c r="I482" s="129">
        <v>2012</v>
      </c>
      <c r="J482" s="132" t="s">
        <v>312</v>
      </c>
      <c r="K482" s="132">
        <v>28108</v>
      </c>
      <c r="L482" s="140">
        <f t="shared" si="9"/>
        <v>6.0175666188598243E-5</v>
      </c>
    </row>
    <row r="483" spans="9:12" x14ac:dyDescent="0.2">
      <c r="I483" s="129">
        <v>2012</v>
      </c>
      <c r="J483" s="132" t="s">
        <v>313</v>
      </c>
      <c r="K483" s="132">
        <v>180717</v>
      </c>
      <c r="L483" s="140">
        <f t="shared" si="9"/>
        <v>3.8689219676266222E-4</v>
      </c>
    </row>
    <row r="484" spans="9:12" x14ac:dyDescent="0.2">
      <c r="I484" s="129">
        <v>2012</v>
      </c>
      <c r="J484" s="132" t="s">
        <v>314</v>
      </c>
      <c r="K484" s="132">
        <v>948123</v>
      </c>
      <c r="L484" s="140">
        <f t="shared" si="9"/>
        <v>2.0298111980123928E-3</v>
      </c>
    </row>
    <row r="485" spans="9:12" x14ac:dyDescent="0.2">
      <c r="I485" s="129">
        <v>2012</v>
      </c>
      <c r="J485" s="132" t="s">
        <v>315</v>
      </c>
      <c r="K485" s="132">
        <v>28243</v>
      </c>
      <c r="L485" s="140">
        <f t="shared" si="9"/>
        <v>6.0464684081563262E-5</v>
      </c>
    </row>
    <row r="486" spans="9:12" x14ac:dyDescent="0.2">
      <c r="I486" s="129">
        <v>2012</v>
      </c>
      <c r="J486" s="132" t="s">
        <v>316</v>
      </c>
      <c r="K486" s="132">
        <v>135219</v>
      </c>
      <c r="L486" s="140">
        <f t="shared" si="9"/>
        <v>2.8948674421360701E-4</v>
      </c>
    </row>
    <row r="487" spans="9:12" x14ac:dyDescent="0.2">
      <c r="I487" s="129">
        <v>2012</v>
      </c>
      <c r="J487" s="132" t="s">
        <v>317</v>
      </c>
      <c r="K487" s="132">
        <v>179106</v>
      </c>
      <c r="L487" s="140">
        <f t="shared" si="9"/>
        <v>3.8344324990661295E-4</v>
      </c>
    </row>
    <row r="488" spans="9:12" x14ac:dyDescent="0.2">
      <c r="I488" s="129">
        <v>2012</v>
      </c>
      <c r="J488" s="132" t="s">
        <v>318</v>
      </c>
      <c r="K488" s="132">
        <v>18543</v>
      </c>
      <c r="L488" s="140">
        <f t="shared" si="9"/>
        <v>3.9698213253706318E-5</v>
      </c>
    </row>
    <row r="489" spans="9:12" x14ac:dyDescent="0.2">
      <c r="I489" s="129">
        <v>2012</v>
      </c>
      <c r="J489" s="132" t="s">
        <v>319</v>
      </c>
      <c r="K489" s="132">
        <v>855275</v>
      </c>
      <c r="L489" s="140">
        <f t="shared" si="9"/>
        <v>1.8310353955974586E-3</v>
      </c>
    </row>
    <row r="490" spans="9:12" x14ac:dyDescent="0.2">
      <c r="I490" s="129">
        <v>2012</v>
      </c>
      <c r="J490" s="132" t="s">
        <v>320</v>
      </c>
      <c r="K490" s="132">
        <v>151411</v>
      </c>
      <c r="L490" s="140">
        <f t="shared" si="9"/>
        <v>3.2415176438315953E-4</v>
      </c>
    </row>
    <row r="491" spans="9:12" x14ac:dyDescent="0.2">
      <c r="I491" s="129">
        <v>2012</v>
      </c>
      <c r="J491" s="132" t="s">
        <v>321</v>
      </c>
      <c r="K491" s="132">
        <v>64829</v>
      </c>
      <c r="L491" s="140">
        <f t="shared" si="9"/>
        <v>1.3879067394836472E-4</v>
      </c>
    </row>
    <row r="492" spans="9:12" x14ac:dyDescent="0.2">
      <c r="I492" s="129">
        <v>2012</v>
      </c>
      <c r="J492" s="132" t="s">
        <v>322</v>
      </c>
      <c r="K492" s="132">
        <v>33523</v>
      </c>
      <c r="L492" s="140">
        <f t="shared" si="9"/>
        <v>7.1768495006417347E-5</v>
      </c>
    </row>
    <row r="493" spans="9:12" x14ac:dyDescent="0.2">
      <c r="I493" s="129">
        <v>2012</v>
      </c>
      <c r="J493" s="132" t="s">
        <v>323</v>
      </c>
      <c r="K493" s="132">
        <v>9956888</v>
      </c>
      <c r="L493" s="140">
        <f t="shared" si="9"/>
        <v>2.1316435483323595E-2</v>
      </c>
    </row>
    <row r="494" spans="9:12" x14ac:dyDescent="0.2">
      <c r="I494" s="129">
        <v>2012</v>
      </c>
      <c r="J494" s="132" t="s">
        <v>324</v>
      </c>
      <c r="K494" s="132">
        <v>151628</v>
      </c>
      <c r="L494" s="140">
        <f t="shared" si="9"/>
        <v>3.2461633388518481E-4</v>
      </c>
    </row>
    <row r="495" spans="9:12" x14ac:dyDescent="0.2">
      <c r="I495" s="129">
        <v>2012</v>
      </c>
      <c r="J495" s="132" t="s">
        <v>325</v>
      </c>
      <c r="K495" s="132">
        <v>256662</v>
      </c>
      <c r="L495" s="140">
        <f t="shared" si="9"/>
        <v>5.4948081810509471E-4</v>
      </c>
    </row>
    <row r="496" spans="9:12" x14ac:dyDescent="0.2">
      <c r="I496" s="129">
        <v>2012</v>
      </c>
      <c r="J496" s="132" t="s">
        <v>326</v>
      </c>
      <c r="K496" s="132">
        <v>18249</v>
      </c>
      <c r="L496" s="140">
        <f t="shared" si="9"/>
        <v>3.9068796509026947E-5</v>
      </c>
    </row>
    <row r="497" spans="9:12" x14ac:dyDescent="0.2">
      <c r="I497" s="129">
        <v>2012</v>
      </c>
      <c r="J497" s="132" t="s">
        <v>327</v>
      </c>
      <c r="K497" s="132">
        <v>87696</v>
      </c>
      <c r="L497" s="140">
        <f t="shared" si="9"/>
        <v>1.8774602327007654E-4</v>
      </c>
    </row>
    <row r="498" spans="9:12" x14ac:dyDescent="0.2">
      <c r="I498" s="129">
        <v>2012</v>
      </c>
      <c r="J498" s="132" t="s">
        <v>328</v>
      </c>
      <c r="K498" s="132">
        <v>262329</v>
      </c>
      <c r="L498" s="140">
        <f t="shared" si="9"/>
        <v>5.6161314698978187E-4</v>
      </c>
    </row>
    <row r="499" spans="9:12" x14ac:dyDescent="0.2">
      <c r="I499" s="129">
        <v>2012</v>
      </c>
      <c r="J499" s="132" t="s">
        <v>329</v>
      </c>
      <c r="K499" s="132">
        <v>9659</v>
      </c>
      <c r="L499" s="140">
        <f t="shared" si="9"/>
        <v>2.0678695023326825E-5</v>
      </c>
    </row>
    <row r="500" spans="9:12" x14ac:dyDescent="0.2">
      <c r="I500" s="129">
        <v>2012</v>
      </c>
      <c r="J500" s="132" t="s">
        <v>330</v>
      </c>
      <c r="K500" s="132">
        <v>14225</v>
      </c>
      <c r="L500" s="140">
        <f t="shared" si="9"/>
        <v>3.0453922425388145E-5</v>
      </c>
    </row>
    <row r="501" spans="9:12" x14ac:dyDescent="0.2">
      <c r="I501" s="129">
        <v>2012</v>
      </c>
      <c r="J501" s="132" t="s">
        <v>331</v>
      </c>
      <c r="K501" s="132">
        <v>422621</v>
      </c>
      <c r="L501" s="140">
        <f t="shared" si="9"/>
        <v>9.0477800698347724E-4</v>
      </c>
    </row>
    <row r="502" spans="9:12" x14ac:dyDescent="0.2">
      <c r="I502" s="129">
        <v>2012</v>
      </c>
      <c r="J502" s="132" t="s">
        <v>332</v>
      </c>
      <c r="K502" s="132">
        <v>138374</v>
      </c>
      <c r="L502" s="140">
        <f t="shared" si="9"/>
        <v>2.9624119941586358E-4</v>
      </c>
    </row>
    <row r="503" spans="9:12" x14ac:dyDescent="0.2">
      <c r="I503" s="129">
        <v>2012</v>
      </c>
      <c r="J503" s="132" t="s">
        <v>333</v>
      </c>
      <c r="K503" s="132">
        <v>98090</v>
      </c>
      <c r="L503" s="140">
        <f t="shared" si="9"/>
        <v>2.0999826015510181E-4</v>
      </c>
    </row>
    <row r="504" spans="9:12" x14ac:dyDescent="0.2">
      <c r="I504" s="129">
        <v>2012</v>
      </c>
      <c r="J504" s="132" t="s">
        <v>334</v>
      </c>
      <c r="K504" s="132">
        <v>3072381</v>
      </c>
      <c r="L504" s="140">
        <f t="shared" si="9"/>
        <v>6.5775783926352522E-3</v>
      </c>
    </row>
    <row r="505" spans="9:12" x14ac:dyDescent="0.2">
      <c r="I505" s="129">
        <v>2012</v>
      </c>
      <c r="J505" s="132" t="s">
        <v>335</v>
      </c>
      <c r="K505" s="132">
        <v>359648</v>
      </c>
      <c r="L505" s="140">
        <f t="shared" si="9"/>
        <v>7.6996079384506128E-4</v>
      </c>
    </row>
    <row r="506" spans="9:12" x14ac:dyDescent="0.2">
      <c r="I506" s="129">
        <v>2012</v>
      </c>
      <c r="J506" s="132" t="s">
        <v>336</v>
      </c>
      <c r="K506" s="132">
        <v>19426</v>
      </c>
      <c r="L506" s="140">
        <f t="shared" si="9"/>
        <v>4.158860436102567E-5</v>
      </c>
    </row>
    <row r="507" spans="9:12" x14ac:dyDescent="0.2">
      <c r="I507" s="129">
        <v>2012</v>
      </c>
      <c r="J507" s="132" t="s">
        <v>337</v>
      </c>
      <c r="K507" s="132">
        <v>2244472</v>
      </c>
      <c r="L507" s="140">
        <f t="shared" si="9"/>
        <v>4.8051301352517251E-3</v>
      </c>
    </row>
    <row r="508" spans="9:12" x14ac:dyDescent="0.2">
      <c r="I508" s="129">
        <v>2012</v>
      </c>
      <c r="J508" s="132" t="s">
        <v>338</v>
      </c>
      <c r="K508" s="132">
        <v>1442546</v>
      </c>
      <c r="L508" s="140">
        <f t="shared" si="9"/>
        <v>3.0883081883341982E-3</v>
      </c>
    </row>
    <row r="509" spans="9:12" x14ac:dyDescent="0.2">
      <c r="I509" s="129">
        <v>2012</v>
      </c>
      <c r="J509" s="132" t="s">
        <v>339</v>
      </c>
      <c r="K509" s="132">
        <v>56518</v>
      </c>
      <c r="L509" s="140">
        <f t="shared" si="9"/>
        <v>1.2099787610812564E-4</v>
      </c>
    </row>
    <row r="510" spans="9:12" x14ac:dyDescent="0.2">
      <c r="I510" s="129">
        <v>2012</v>
      </c>
      <c r="J510" s="132" t="s">
        <v>340</v>
      </c>
      <c r="K510" s="132">
        <v>2071326</v>
      </c>
      <c r="L510" s="140">
        <f t="shared" si="9"/>
        <v>4.4344464901011973E-3</v>
      </c>
    </row>
    <row r="511" spans="9:12" x14ac:dyDescent="0.2">
      <c r="I511" s="129">
        <v>2012</v>
      </c>
      <c r="J511" s="132" t="s">
        <v>341</v>
      </c>
      <c r="K511" s="132">
        <v>3161808</v>
      </c>
      <c r="L511" s="140">
        <f t="shared" si="9"/>
        <v>6.7690302675551244E-3</v>
      </c>
    </row>
    <row r="512" spans="9:12" x14ac:dyDescent="0.2">
      <c r="I512" s="129">
        <v>2012</v>
      </c>
      <c r="J512" s="132" t="s">
        <v>342</v>
      </c>
      <c r="K512" s="132">
        <v>829289</v>
      </c>
      <c r="L512" s="140">
        <f t="shared" si="9"/>
        <v>1.7754026625116141E-3</v>
      </c>
    </row>
    <row r="513" spans="9:12" x14ac:dyDescent="0.2">
      <c r="I513" s="129">
        <v>2012</v>
      </c>
      <c r="J513" s="132" t="s">
        <v>343</v>
      </c>
      <c r="K513" s="132">
        <v>699127</v>
      </c>
      <c r="L513" s="140">
        <f t="shared" si="9"/>
        <v>1.4967423144811487E-3</v>
      </c>
    </row>
    <row r="514" spans="9:12" x14ac:dyDescent="0.2">
      <c r="I514" s="129">
        <v>2012</v>
      </c>
      <c r="J514" s="132" t="s">
        <v>344</v>
      </c>
      <c r="K514" s="132">
        <v>271933</v>
      </c>
      <c r="L514" s="140">
        <f t="shared" si="9"/>
        <v>5.8217409398264152E-4</v>
      </c>
    </row>
    <row r="515" spans="9:12" x14ac:dyDescent="0.2">
      <c r="I515" s="129">
        <v>2012</v>
      </c>
      <c r="J515" s="132" t="s">
        <v>345</v>
      </c>
      <c r="K515" s="132">
        <v>737002</v>
      </c>
      <c r="L515" s="140">
        <f t="shared" si="9"/>
        <v>1.5778278900074457E-3</v>
      </c>
    </row>
    <row r="516" spans="9:12" x14ac:dyDescent="0.2">
      <c r="I516" s="129">
        <v>2012</v>
      </c>
      <c r="J516" s="132" t="s">
        <v>346</v>
      </c>
      <c r="K516" s="132">
        <v>428337</v>
      </c>
      <c r="L516" s="140">
        <f t="shared" ref="L516:L579" si="10">K516/VLOOKUP(I516,$A$3:$E$18,5,FALSE)</f>
        <v>9.1701523865894425E-4</v>
      </c>
    </row>
    <row r="517" spans="9:12" x14ac:dyDescent="0.2">
      <c r="I517" s="129">
        <v>2012</v>
      </c>
      <c r="J517" s="132" t="s">
        <v>347</v>
      </c>
      <c r="K517" s="132">
        <v>1834926</v>
      </c>
      <c r="L517" s="140">
        <f t="shared" si="10"/>
        <v>3.9283440464202299E-3</v>
      </c>
    </row>
    <row r="518" spans="9:12" x14ac:dyDescent="0.2">
      <c r="I518" s="129">
        <v>2012</v>
      </c>
      <c r="J518" s="132" t="s">
        <v>348</v>
      </c>
      <c r="K518" s="132">
        <v>267332</v>
      </c>
      <c r="L518" s="140">
        <f t="shared" si="10"/>
        <v>5.7232393601573737E-4</v>
      </c>
    </row>
    <row r="519" spans="9:12" x14ac:dyDescent="0.2">
      <c r="I519" s="129">
        <v>2012</v>
      </c>
      <c r="J519" s="132" t="s">
        <v>349</v>
      </c>
      <c r="K519" s="132">
        <v>178076</v>
      </c>
      <c r="L519" s="140">
        <f t="shared" si="10"/>
        <v>3.8123815042695393E-4</v>
      </c>
    </row>
    <row r="520" spans="9:12" x14ac:dyDescent="0.2">
      <c r="I520" s="129">
        <v>2012</v>
      </c>
      <c r="J520" s="132" t="s">
        <v>350</v>
      </c>
      <c r="K520" s="132">
        <v>3233</v>
      </c>
      <c r="L520" s="140">
        <f t="shared" si="10"/>
        <v>6.9214433181919073E-6</v>
      </c>
    </row>
    <row r="521" spans="9:12" x14ac:dyDescent="0.2">
      <c r="I521" s="129">
        <v>2012</v>
      </c>
      <c r="J521" s="132" t="s">
        <v>351</v>
      </c>
      <c r="K521" s="132">
        <v>44841</v>
      </c>
      <c r="L521" s="140">
        <f t="shared" si="10"/>
        <v>9.5998898803292086E-5</v>
      </c>
    </row>
    <row r="522" spans="9:12" x14ac:dyDescent="0.2">
      <c r="I522" s="129">
        <v>2012</v>
      </c>
      <c r="J522" s="132" t="s">
        <v>352</v>
      </c>
      <c r="K522" s="132">
        <v>416495</v>
      </c>
      <c r="L522" s="140">
        <f t="shared" si="10"/>
        <v>8.9166301726270906E-4</v>
      </c>
    </row>
    <row r="523" spans="9:12" x14ac:dyDescent="0.2">
      <c r="I523" s="129">
        <v>2012</v>
      </c>
      <c r="J523" s="132" t="s">
        <v>353</v>
      </c>
      <c r="K523" s="132">
        <v>488837</v>
      </c>
      <c r="L523" s="140">
        <f t="shared" si="10"/>
        <v>1.0465380721728975E-3</v>
      </c>
    </row>
    <row r="524" spans="9:12" x14ac:dyDescent="0.2">
      <c r="I524" s="129">
        <v>2012</v>
      </c>
      <c r="J524" s="132" t="s">
        <v>354</v>
      </c>
      <c r="K524" s="132">
        <v>522176</v>
      </c>
      <c r="L524" s="140">
        <f t="shared" si="10"/>
        <v>1.1179126464955697E-3</v>
      </c>
    </row>
    <row r="525" spans="9:12" x14ac:dyDescent="0.2">
      <c r="I525" s="129">
        <v>2012</v>
      </c>
      <c r="J525" s="132" t="s">
        <v>355</v>
      </c>
      <c r="K525" s="132">
        <v>94950</v>
      </c>
      <c r="L525" s="140">
        <f t="shared" si="10"/>
        <v>2.0327591805206359E-4</v>
      </c>
    </row>
    <row r="526" spans="9:12" x14ac:dyDescent="0.2">
      <c r="I526" s="129">
        <v>2012</v>
      </c>
      <c r="J526" s="132" t="s">
        <v>356</v>
      </c>
      <c r="K526" s="132">
        <v>63104</v>
      </c>
      <c r="L526" s="140">
        <f t="shared" si="10"/>
        <v>1.3509766753825616E-4</v>
      </c>
    </row>
    <row r="527" spans="9:12" x14ac:dyDescent="0.2">
      <c r="I527" s="129">
        <v>2012</v>
      </c>
      <c r="J527" s="132" t="s">
        <v>357</v>
      </c>
      <c r="K527" s="132">
        <v>13740</v>
      </c>
      <c r="L527" s="140">
        <f t="shared" si="10"/>
        <v>2.9415598883995301E-5</v>
      </c>
    </row>
    <row r="528" spans="9:12" x14ac:dyDescent="0.2">
      <c r="I528" s="129">
        <v>2012</v>
      </c>
      <c r="J528" s="132" t="s">
        <v>358</v>
      </c>
      <c r="K528" s="132">
        <v>451153</v>
      </c>
      <c r="L528" s="140">
        <f t="shared" si="10"/>
        <v>9.6586140344331374E-4</v>
      </c>
    </row>
    <row r="529" spans="9:12" x14ac:dyDescent="0.2">
      <c r="I529" s="129">
        <v>2012</v>
      </c>
      <c r="J529" s="132" t="s">
        <v>359</v>
      </c>
      <c r="K529" s="132">
        <v>54991</v>
      </c>
      <c r="L529" s="140">
        <f t="shared" si="10"/>
        <v>1.177287626076991E-4</v>
      </c>
    </row>
    <row r="530" spans="9:12" x14ac:dyDescent="0.2">
      <c r="I530" s="129">
        <v>2012</v>
      </c>
      <c r="J530" s="132" t="s">
        <v>360</v>
      </c>
      <c r="K530" s="132">
        <v>834960</v>
      </c>
      <c r="L530" s="140">
        <f t="shared" si="10"/>
        <v>1.7875435548894262E-3</v>
      </c>
    </row>
    <row r="531" spans="9:12" x14ac:dyDescent="0.2">
      <c r="I531" s="129">
        <v>2012</v>
      </c>
      <c r="J531" s="132" t="s">
        <v>361</v>
      </c>
      <c r="K531" s="132">
        <v>204987</v>
      </c>
      <c r="L531" s="140">
        <f t="shared" si="10"/>
        <v>4.3885119129792903E-4</v>
      </c>
    </row>
    <row r="532" spans="9:12" x14ac:dyDescent="0.2">
      <c r="I532" s="129">
        <v>2012</v>
      </c>
      <c r="J532" s="132" t="s">
        <v>362</v>
      </c>
      <c r="K532" s="132">
        <v>73023</v>
      </c>
      <c r="L532" s="140">
        <f t="shared" si="10"/>
        <v>1.5633298961470078E-4</v>
      </c>
    </row>
    <row r="533" spans="9:12" x14ac:dyDescent="0.2">
      <c r="I533" s="129">
        <v>2012</v>
      </c>
      <c r="J533" s="132" t="s">
        <v>363</v>
      </c>
      <c r="K533" s="132">
        <v>37924661</v>
      </c>
      <c r="L533" s="140">
        <f t="shared" si="10"/>
        <v>8.1191893434315876E-2</v>
      </c>
    </row>
    <row r="534" spans="9:12" x14ac:dyDescent="0.2">
      <c r="I534" s="129">
        <v>2011</v>
      </c>
      <c r="J534" s="132" t="s">
        <v>305</v>
      </c>
      <c r="K534" s="132">
        <v>1525761</v>
      </c>
      <c r="L534" s="140">
        <f t="shared" si="10"/>
        <v>3.3000085519513307E-3</v>
      </c>
    </row>
    <row r="535" spans="9:12" x14ac:dyDescent="0.2">
      <c r="I535" s="129">
        <v>2011</v>
      </c>
      <c r="J535" s="132" t="s">
        <v>306</v>
      </c>
      <c r="K535" s="132">
        <v>1169</v>
      </c>
      <c r="L535" s="140">
        <f t="shared" si="10"/>
        <v>2.5283841946616186E-6</v>
      </c>
    </row>
    <row r="536" spans="9:12" x14ac:dyDescent="0.2">
      <c r="I536" s="129">
        <v>2011</v>
      </c>
      <c r="J536" s="132" t="s">
        <v>307</v>
      </c>
      <c r="K536" s="132">
        <v>36876</v>
      </c>
      <c r="L536" s="140">
        <f t="shared" si="10"/>
        <v>7.975765232022399E-5</v>
      </c>
    </row>
    <row r="537" spans="9:12" x14ac:dyDescent="0.2">
      <c r="I537" s="129">
        <v>2011</v>
      </c>
      <c r="J537" s="132" t="s">
        <v>308</v>
      </c>
      <c r="K537" s="132">
        <v>220826</v>
      </c>
      <c r="L537" s="140">
        <f t="shared" si="10"/>
        <v>4.7761588380696883E-4</v>
      </c>
    </row>
    <row r="538" spans="9:12" x14ac:dyDescent="0.2">
      <c r="I538" s="129">
        <v>2011</v>
      </c>
      <c r="J538" s="132" t="s">
        <v>309</v>
      </c>
      <c r="K538" s="132">
        <v>45540</v>
      </c>
      <c r="L538" s="140">
        <f t="shared" si="10"/>
        <v>9.849667769451677E-5</v>
      </c>
    </row>
    <row r="539" spans="9:12" x14ac:dyDescent="0.2">
      <c r="I539" s="129">
        <v>2011</v>
      </c>
      <c r="J539" s="132" t="s">
        <v>310</v>
      </c>
      <c r="K539" s="132">
        <v>21379</v>
      </c>
      <c r="L539" s="140">
        <f t="shared" si="10"/>
        <v>4.6239799570291482E-5</v>
      </c>
    </row>
    <row r="540" spans="9:12" x14ac:dyDescent="0.2">
      <c r="I540" s="129">
        <v>2011</v>
      </c>
      <c r="J540" s="132" t="s">
        <v>311</v>
      </c>
      <c r="K540" s="132">
        <v>1060420</v>
      </c>
      <c r="L540" s="140">
        <f t="shared" si="10"/>
        <v>2.2935407764782495E-3</v>
      </c>
    </row>
    <row r="541" spans="9:12" x14ac:dyDescent="0.2">
      <c r="I541" s="129">
        <v>2011</v>
      </c>
      <c r="J541" s="132" t="s">
        <v>312</v>
      </c>
      <c r="K541" s="132">
        <v>28155</v>
      </c>
      <c r="L541" s="140">
        <f t="shared" si="10"/>
        <v>6.0895343884258226E-5</v>
      </c>
    </row>
    <row r="542" spans="9:12" x14ac:dyDescent="0.2">
      <c r="I542" s="129">
        <v>2011</v>
      </c>
      <c r="J542" s="132" t="s">
        <v>313</v>
      </c>
      <c r="K542" s="132">
        <v>181143</v>
      </c>
      <c r="L542" s="140">
        <f t="shared" si="10"/>
        <v>3.9178708141453342E-4</v>
      </c>
    </row>
    <row r="543" spans="9:12" x14ac:dyDescent="0.2">
      <c r="I543" s="129">
        <v>2011</v>
      </c>
      <c r="J543" s="132" t="s">
        <v>314</v>
      </c>
      <c r="K543" s="132">
        <v>939567</v>
      </c>
      <c r="L543" s="140">
        <f t="shared" si="10"/>
        <v>2.03215256854203E-3</v>
      </c>
    </row>
    <row r="544" spans="9:12" x14ac:dyDescent="0.2">
      <c r="I544" s="129">
        <v>2011</v>
      </c>
      <c r="J544" s="132" t="s">
        <v>315</v>
      </c>
      <c r="K544" s="132">
        <v>28312</v>
      </c>
      <c r="L544" s="140">
        <f t="shared" si="10"/>
        <v>6.1234913019041695E-5</v>
      </c>
    </row>
    <row r="545" spans="9:12" x14ac:dyDescent="0.2">
      <c r="I545" s="129">
        <v>2011</v>
      </c>
      <c r="J545" s="132" t="s">
        <v>316</v>
      </c>
      <c r="K545" s="132">
        <v>135606</v>
      </c>
      <c r="L545" s="140">
        <f t="shared" si="10"/>
        <v>2.9329689230220995E-4</v>
      </c>
    </row>
    <row r="546" spans="9:12" x14ac:dyDescent="0.2">
      <c r="I546" s="129">
        <v>2011</v>
      </c>
      <c r="J546" s="132" t="s">
        <v>317</v>
      </c>
      <c r="K546" s="132">
        <v>176095</v>
      </c>
      <c r="L546" s="140">
        <f t="shared" si="10"/>
        <v>3.8086896044391594E-4</v>
      </c>
    </row>
    <row r="547" spans="9:12" x14ac:dyDescent="0.2">
      <c r="I547" s="129">
        <v>2011</v>
      </c>
      <c r="J547" s="132" t="s">
        <v>318</v>
      </c>
      <c r="K547" s="132">
        <v>18550</v>
      </c>
      <c r="L547" s="140">
        <f t="shared" si="10"/>
        <v>4.012106656199574E-5</v>
      </c>
    </row>
    <row r="548" spans="9:12" x14ac:dyDescent="0.2">
      <c r="I548" s="129">
        <v>2011</v>
      </c>
      <c r="J548" s="132" t="s">
        <v>319</v>
      </c>
      <c r="K548" s="132">
        <v>845995</v>
      </c>
      <c r="L548" s="140">
        <f t="shared" si="10"/>
        <v>1.8297693642110829E-3</v>
      </c>
    </row>
    <row r="549" spans="9:12" x14ac:dyDescent="0.2">
      <c r="I549" s="129">
        <v>2011</v>
      </c>
      <c r="J549" s="132" t="s">
        <v>320</v>
      </c>
      <c r="K549" s="132">
        <v>150146</v>
      </c>
      <c r="L549" s="140">
        <f t="shared" si="10"/>
        <v>3.247448873324751E-4</v>
      </c>
    </row>
    <row r="550" spans="9:12" x14ac:dyDescent="0.2">
      <c r="I550" s="129">
        <v>2011</v>
      </c>
      <c r="J550" s="132" t="s">
        <v>321</v>
      </c>
      <c r="K550" s="132">
        <v>64998</v>
      </c>
      <c r="L550" s="140">
        <f t="shared" si="10"/>
        <v>1.4058162180035575E-4</v>
      </c>
    </row>
    <row r="551" spans="9:12" x14ac:dyDescent="0.2">
      <c r="I551" s="129">
        <v>2011</v>
      </c>
      <c r="J551" s="132" t="s">
        <v>322</v>
      </c>
      <c r="K551" s="132">
        <v>34116</v>
      </c>
      <c r="L551" s="140">
        <f t="shared" si="10"/>
        <v>7.3788156702374484E-5</v>
      </c>
    </row>
    <row r="552" spans="9:12" x14ac:dyDescent="0.2">
      <c r="I552" s="129">
        <v>2011</v>
      </c>
      <c r="J552" s="132" t="s">
        <v>323</v>
      </c>
      <c r="K552" s="132">
        <v>9881070</v>
      </c>
      <c r="L552" s="140">
        <f t="shared" si="10"/>
        <v>2.1371378284298612E-2</v>
      </c>
    </row>
    <row r="553" spans="9:12" x14ac:dyDescent="0.2">
      <c r="I553" s="129">
        <v>2011</v>
      </c>
      <c r="J553" s="132" t="s">
        <v>324</v>
      </c>
      <c r="K553" s="132">
        <v>151257</v>
      </c>
      <c r="L553" s="140">
        <f t="shared" si="10"/>
        <v>3.271478256047326E-4</v>
      </c>
    </row>
    <row r="554" spans="9:12" x14ac:dyDescent="0.2">
      <c r="I554" s="129">
        <v>2011</v>
      </c>
      <c r="J554" s="132" t="s">
        <v>325</v>
      </c>
      <c r="K554" s="132">
        <v>254069</v>
      </c>
      <c r="L554" s="140">
        <f t="shared" si="10"/>
        <v>5.4951586309108871E-4</v>
      </c>
    </row>
    <row r="555" spans="9:12" x14ac:dyDescent="0.2">
      <c r="I555" s="129">
        <v>2011</v>
      </c>
      <c r="J555" s="132" t="s">
        <v>326</v>
      </c>
      <c r="K555" s="132">
        <v>18251</v>
      </c>
      <c r="L555" s="140">
        <f t="shared" si="10"/>
        <v>3.9474371203395382E-5</v>
      </c>
    </row>
    <row r="556" spans="9:12" x14ac:dyDescent="0.2">
      <c r="I556" s="129">
        <v>2011</v>
      </c>
      <c r="J556" s="132" t="s">
        <v>327</v>
      </c>
      <c r="K556" s="132">
        <v>87483</v>
      </c>
      <c r="L556" s="140">
        <f t="shared" si="10"/>
        <v>1.8921354533924924E-4</v>
      </c>
    </row>
    <row r="557" spans="9:12" x14ac:dyDescent="0.2">
      <c r="I557" s="129">
        <v>2011</v>
      </c>
      <c r="J557" s="132" t="s">
        <v>328</v>
      </c>
      <c r="K557" s="132">
        <v>259419</v>
      </c>
      <c r="L557" s="140">
        <f t="shared" si="10"/>
        <v>5.6108716800249987E-4</v>
      </c>
    </row>
    <row r="558" spans="9:12" x14ac:dyDescent="0.2">
      <c r="I558" s="129">
        <v>2011</v>
      </c>
      <c r="J558" s="132" t="s">
        <v>329</v>
      </c>
      <c r="K558" s="132">
        <v>9718</v>
      </c>
      <c r="L558" s="140">
        <f t="shared" si="10"/>
        <v>2.1018680584877339E-5</v>
      </c>
    </row>
    <row r="559" spans="9:12" x14ac:dyDescent="0.2">
      <c r="I559" s="129">
        <v>2011</v>
      </c>
      <c r="J559" s="132" t="s">
        <v>330</v>
      </c>
      <c r="K559" s="132">
        <v>14331</v>
      </c>
      <c r="L559" s="140">
        <f t="shared" si="10"/>
        <v>3.0995957137464206E-5</v>
      </c>
    </row>
    <row r="560" spans="9:12" x14ac:dyDescent="0.2">
      <c r="I560" s="129">
        <v>2011</v>
      </c>
      <c r="J560" s="132" t="s">
        <v>331</v>
      </c>
      <c r="K560" s="132">
        <v>416644</v>
      </c>
      <c r="L560" s="140">
        <f t="shared" si="10"/>
        <v>9.0114294645046657E-4</v>
      </c>
    </row>
    <row r="561" spans="9:12" x14ac:dyDescent="0.2">
      <c r="I561" s="129">
        <v>2011</v>
      </c>
      <c r="J561" s="132" t="s">
        <v>332</v>
      </c>
      <c r="K561" s="132">
        <v>136893</v>
      </c>
      <c r="L561" s="140">
        <f t="shared" si="10"/>
        <v>2.9608049406314196E-4</v>
      </c>
    </row>
    <row r="562" spans="9:12" x14ac:dyDescent="0.2">
      <c r="I562" s="129">
        <v>2011</v>
      </c>
      <c r="J562" s="132" t="s">
        <v>333</v>
      </c>
      <c r="K562" s="132">
        <v>98689</v>
      </c>
      <c r="L562" s="140">
        <f t="shared" si="10"/>
        <v>2.1345056269201067E-4</v>
      </c>
    </row>
    <row r="563" spans="9:12" x14ac:dyDescent="0.2">
      <c r="I563" s="129">
        <v>2011</v>
      </c>
      <c r="J563" s="132" t="s">
        <v>334</v>
      </c>
      <c r="K563" s="132">
        <v>3037205</v>
      </c>
      <c r="L563" s="140">
        <f t="shared" si="10"/>
        <v>6.5690514268154331E-3</v>
      </c>
    </row>
    <row r="564" spans="9:12" x14ac:dyDescent="0.2">
      <c r="I564" s="129">
        <v>2011</v>
      </c>
      <c r="J564" s="132" t="s">
        <v>335</v>
      </c>
      <c r="K564" s="132">
        <v>354247</v>
      </c>
      <c r="L564" s="140">
        <f t="shared" si="10"/>
        <v>7.6618692541171457E-4</v>
      </c>
    </row>
    <row r="565" spans="9:12" x14ac:dyDescent="0.2">
      <c r="I565" s="129">
        <v>2011</v>
      </c>
      <c r="J565" s="132" t="s">
        <v>336</v>
      </c>
      <c r="K565" s="132">
        <v>19859</v>
      </c>
      <c r="L565" s="140">
        <f t="shared" si="10"/>
        <v>4.2952251259012048E-5</v>
      </c>
    </row>
    <row r="566" spans="9:12" x14ac:dyDescent="0.2">
      <c r="I566" s="129">
        <v>2011</v>
      </c>
      <c r="J566" s="132" t="s">
        <v>337</v>
      </c>
      <c r="K566" s="132">
        <v>2215620</v>
      </c>
      <c r="L566" s="140">
        <f t="shared" si="10"/>
        <v>4.7920774930506199E-3</v>
      </c>
    </row>
    <row r="567" spans="9:12" x14ac:dyDescent="0.2">
      <c r="I567" s="129">
        <v>2011</v>
      </c>
      <c r="J567" s="132" t="s">
        <v>338</v>
      </c>
      <c r="K567" s="132">
        <v>1429528</v>
      </c>
      <c r="L567" s="140">
        <f t="shared" si="10"/>
        <v>3.0918699752149137E-3</v>
      </c>
    </row>
    <row r="568" spans="9:12" x14ac:dyDescent="0.2">
      <c r="I568" s="129">
        <v>2011</v>
      </c>
      <c r="J568" s="132" t="s">
        <v>339</v>
      </c>
      <c r="K568" s="132">
        <v>55723</v>
      </c>
      <c r="L568" s="140">
        <f t="shared" si="10"/>
        <v>1.2052108851935788E-4</v>
      </c>
    </row>
    <row r="569" spans="9:12" x14ac:dyDescent="0.2">
      <c r="I569" s="129">
        <v>2011</v>
      </c>
      <c r="J569" s="132" t="s">
        <v>340</v>
      </c>
      <c r="K569" s="132">
        <v>2055250</v>
      </c>
      <c r="L569" s="140">
        <f t="shared" si="10"/>
        <v>4.4452195176033285E-3</v>
      </c>
    </row>
    <row r="570" spans="9:12" x14ac:dyDescent="0.2">
      <c r="I570" s="129">
        <v>2011</v>
      </c>
      <c r="J570" s="132" t="s">
        <v>341</v>
      </c>
      <c r="K570" s="132">
        <v>3127603</v>
      </c>
      <c r="L570" s="140">
        <f t="shared" si="10"/>
        <v>6.7645697111858531E-3</v>
      </c>
    </row>
    <row r="571" spans="9:12" x14ac:dyDescent="0.2">
      <c r="I571" s="129">
        <v>2011</v>
      </c>
      <c r="J571" s="132" t="s">
        <v>342</v>
      </c>
      <c r="K571" s="132">
        <v>816975</v>
      </c>
      <c r="L571" s="140">
        <f t="shared" si="10"/>
        <v>1.7670031457944189E-3</v>
      </c>
    </row>
    <row r="572" spans="9:12" x14ac:dyDescent="0.2">
      <c r="I572" s="129">
        <v>2011</v>
      </c>
      <c r="J572" s="132" t="s">
        <v>343</v>
      </c>
      <c r="K572" s="132">
        <v>692211</v>
      </c>
      <c r="L572" s="140">
        <f t="shared" si="10"/>
        <v>1.4971559895388482E-3</v>
      </c>
    </row>
    <row r="573" spans="9:12" x14ac:dyDescent="0.2">
      <c r="I573" s="129">
        <v>2011</v>
      </c>
      <c r="J573" s="132" t="s">
        <v>344</v>
      </c>
      <c r="K573" s="132">
        <v>269958</v>
      </c>
      <c r="L573" s="140">
        <f t="shared" si="10"/>
        <v>5.8388155724761433E-4</v>
      </c>
    </row>
    <row r="574" spans="9:12" x14ac:dyDescent="0.2">
      <c r="I574" s="129">
        <v>2011</v>
      </c>
      <c r="J574" s="132" t="s">
        <v>345</v>
      </c>
      <c r="K574" s="132">
        <v>726732</v>
      </c>
      <c r="L574" s="140">
        <f t="shared" si="10"/>
        <v>1.5718201048373203E-3</v>
      </c>
    </row>
    <row r="575" spans="9:12" x14ac:dyDescent="0.2">
      <c r="I575" s="129">
        <v>2011</v>
      </c>
      <c r="J575" s="132" t="s">
        <v>346</v>
      </c>
      <c r="K575" s="132">
        <v>424984</v>
      </c>
      <c r="L575" s="140">
        <f t="shared" si="10"/>
        <v>9.1918120494788129E-4</v>
      </c>
    </row>
    <row r="576" spans="9:12" x14ac:dyDescent="0.2">
      <c r="I576" s="129">
        <v>2011</v>
      </c>
      <c r="J576" s="132" t="s">
        <v>347</v>
      </c>
      <c r="K576" s="132">
        <v>1806087</v>
      </c>
      <c r="L576" s="140">
        <f t="shared" si="10"/>
        <v>3.9063146492590408E-3</v>
      </c>
    </row>
    <row r="577" spans="9:12" x14ac:dyDescent="0.2">
      <c r="I577" s="129">
        <v>2011</v>
      </c>
      <c r="J577" s="132" t="s">
        <v>348</v>
      </c>
      <c r="K577" s="132">
        <v>265295</v>
      </c>
      <c r="L577" s="140">
        <f t="shared" si="10"/>
        <v>5.737961376584723E-4</v>
      </c>
    </row>
    <row r="578" spans="9:12" x14ac:dyDescent="0.2">
      <c r="I578" s="129">
        <v>2011</v>
      </c>
      <c r="J578" s="132" t="s">
        <v>349</v>
      </c>
      <c r="K578" s="132">
        <v>177879</v>
      </c>
      <c r="L578" s="140">
        <f t="shared" si="10"/>
        <v>3.8472750398820703E-4</v>
      </c>
    </row>
    <row r="579" spans="9:12" x14ac:dyDescent="0.2">
      <c r="I579" s="129">
        <v>2011</v>
      </c>
      <c r="J579" s="132" t="s">
        <v>350</v>
      </c>
      <c r="K579" s="132">
        <v>3241</v>
      </c>
      <c r="L579" s="140">
        <f t="shared" si="10"/>
        <v>7.0098316295109545E-6</v>
      </c>
    </row>
    <row r="580" spans="9:12" x14ac:dyDescent="0.2">
      <c r="I580" s="129">
        <v>2011</v>
      </c>
      <c r="J580" s="132" t="s">
        <v>351</v>
      </c>
      <c r="K580" s="132">
        <v>44964</v>
      </c>
      <c r="L580" s="140">
        <f t="shared" ref="L580:L643" si="11">K580/VLOOKUP(I580,$A$3:$E$18,5,FALSE)</f>
        <v>9.7250869913400353E-5</v>
      </c>
    </row>
    <row r="581" spans="9:12" x14ac:dyDescent="0.2">
      <c r="I581" s="129">
        <v>2011</v>
      </c>
      <c r="J581" s="132" t="s">
        <v>352</v>
      </c>
      <c r="K581" s="132">
        <v>413023</v>
      </c>
      <c r="L581" s="140">
        <f t="shared" si="11"/>
        <v>8.933112277431357E-4</v>
      </c>
    </row>
    <row r="582" spans="9:12" x14ac:dyDescent="0.2">
      <c r="I582" s="129">
        <v>2011</v>
      </c>
      <c r="J582" s="132" t="s">
        <v>353</v>
      </c>
      <c r="K582" s="132">
        <v>486076</v>
      </c>
      <c r="L582" s="140">
        <f t="shared" si="11"/>
        <v>1.0513146927325413E-3</v>
      </c>
    </row>
    <row r="583" spans="9:12" x14ac:dyDescent="0.2">
      <c r="I583" s="129">
        <v>2011</v>
      </c>
      <c r="J583" s="132" t="s">
        <v>354</v>
      </c>
      <c r="K583" s="132">
        <v>518035</v>
      </c>
      <c r="L583" s="140">
        <f t="shared" si="11"/>
        <v>1.1204375588379227E-3</v>
      </c>
    </row>
    <row r="584" spans="9:12" x14ac:dyDescent="0.2">
      <c r="I584" s="129">
        <v>2011</v>
      </c>
      <c r="J584" s="132" t="s">
        <v>355</v>
      </c>
      <c r="K584" s="132">
        <v>94635</v>
      </c>
      <c r="L584" s="140">
        <f t="shared" si="11"/>
        <v>2.0468232528811145E-4</v>
      </c>
    </row>
    <row r="585" spans="9:12" x14ac:dyDescent="0.2">
      <c r="I585" s="129">
        <v>2011</v>
      </c>
      <c r="J585" s="132" t="s">
        <v>356</v>
      </c>
      <c r="K585" s="132">
        <v>63295</v>
      </c>
      <c r="L585" s="140">
        <f t="shared" si="11"/>
        <v>1.3689826997528412E-4</v>
      </c>
    </row>
    <row r="586" spans="9:12" x14ac:dyDescent="0.2">
      <c r="I586" s="129">
        <v>2011</v>
      </c>
      <c r="J586" s="132" t="s">
        <v>357</v>
      </c>
      <c r="K586" s="132">
        <v>13751</v>
      </c>
      <c r="L586" s="140">
        <f t="shared" si="11"/>
        <v>2.9741497913423368E-5</v>
      </c>
    </row>
    <row r="587" spans="9:12" x14ac:dyDescent="0.2">
      <c r="I587" s="129">
        <v>2011</v>
      </c>
      <c r="J587" s="132" t="s">
        <v>358</v>
      </c>
      <c r="K587" s="132">
        <v>445960</v>
      </c>
      <c r="L587" s="140">
        <f t="shared" si="11"/>
        <v>9.6454937164353754E-4</v>
      </c>
    </row>
    <row r="588" spans="9:12" x14ac:dyDescent="0.2">
      <c r="I588" s="129">
        <v>2011</v>
      </c>
      <c r="J588" s="132" t="s">
        <v>359</v>
      </c>
      <c r="K588" s="132">
        <v>55259</v>
      </c>
      <c r="L588" s="140">
        <f t="shared" si="11"/>
        <v>1.1951752114012521E-4</v>
      </c>
    </row>
    <row r="589" spans="9:12" x14ac:dyDescent="0.2">
      <c r="I589" s="129">
        <v>2011</v>
      </c>
      <c r="J589" s="132" t="s">
        <v>360</v>
      </c>
      <c r="K589" s="132">
        <v>829960</v>
      </c>
      <c r="L589" s="140">
        <f t="shared" si="11"/>
        <v>1.7950878923878159E-3</v>
      </c>
    </row>
    <row r="590" spans="9:12" x14ac:dyDescent="0.2">
      <c r="I590" s="129">
        <v>2011</v>
      </c>
      <c r="J590" s="132" t="s">
        <v>361</v>
      </c>
      <c r="K590" s="132">
        <v>203156</v>
      </c>
      <c r="L590" s="140">
        <f t="shared" si="11"/>
        <v>4.3939813468834541E-4</v>
      </c>
    </row>
    <row r="591" spans="9:12" x14ac:dyDescent="0.2">
      <c r="I591" s="129">
        <v>2011</v>
      </c>
      <c r="J591" s="132" t="s">
        <v>362</v>
      </c>
      <c r="K591" s="132">
        <v>72635</v>
      </c>
      <c r="L591" s="140">
        <f t="shared" si="11"/>
        <v>1.5709938920380382E-4</v>
      </c>
    </row>
    <row r="592" spans="9:12" x14ac:dyDescent="0.2">
      <c r="I592" s="129">
        <v>2011</v>
      </c>
      <c r="J592" s="132" t="s">
        <v>363</v>
      </c>
      <c r="K592" s="132">
        <v>37561624</v>
      </c>
      <c r="L592" s="140">
        <f t="shared" si="11"/>
        <v>8.1240561546127049E-2</v>
      </c>
    </row>
    <row r="593" spans="9:12" x14ac:dyDescent="0.2">
      <c r="I593" s="129">
        <v>2010</v>
      </c>
      <c r="J593" s="132" t="s">
        <v>305</v>
      </c>
      <c r="K593" s="132">
        <v>1510271</v>
      </c>
      <c r="L593" s="140">
        <f t="shared" si="11"/>
        <v>3.2998501756662641E-3</v>
      </c>
    </row>
    <row r="594" spans="9:12" x14ac:dyDescent="0.2">
      <c r="I594" s="129">
        <v>2010</v>
      </c>
      <c r="J594" s="132" t="s">
        <v>306</v>
      </c>
      <c r="K594" s="132">
        <v>1175</v>
      </c>
      <c r="L594" s="140">
        <f t="shared" si="11"/>
        <v>2.5673034550804858E-6</v>
      </c>
    </row>
    <row r="595" spans="9:12" x14ac:dyDescent="0.2">
      <c r="I595" s="129">
        <v>2010</v>
      </c>
      <c r="J595" s="132" t="s">
        <v>307</v>
      </c>
      <c r="K595" s="132">
        <v>38091</v>
      </c>
      <c r="L595" s="140">
        <f t="shared" si="11"/>
        <v>8.3226515665932581E-5</v>
      </c>
    </row>
    <row r="596" spans="9:12" x14ac:dyDescent="0.2">
      <c r="I596" s="129">
        <v>2010</v>
      </c>
      <c r="J596" s="132" t="s">
        <v>308</v>
      </c>
      <c r="K596" s="132">
        <v>220000</v>
      </c>
      <c r="L596" s="140">
        <f t="shared" si="11"/>
        <v>4.806866043554952E-4</v>
      </c>
    </row>
    <row r="597" spans="9:12" x14ac:dyDescent="0.2">
      <c r="I597" s="129">
        <v>2010</v>
      </c>
      <c r="J597" s="132" t="s">
        <v>309</v>
      </c>
      <c r="K597" s="132">
        <v>45578</v>
      </c>
      <c r="L597" s="140">
        <f t="shared" si="11"/>
        <v>9.9585154787794361E-5</v>
      </c>
    </row>
    <row r="598" spans="9:12" x14ac:dyDescent="0.2">
      <c r="I598" s="129">
        <v>2010</v>
      </c>
      <c r="J598" s="132" t="s">
        <v>310</v>
      </c>
      <c r="K598" s="132">
        <v>21419</v>
      </c>
      <c r="L598" s="140">
        <f t="shared" si="11"/>
        <v>4.679921081222887E-5</v>
      </c>
    </row>
    <row r="599" spans="9:12" x14ac:dyDescent="0.2">
      <c r="I599" s="129">
        <v>2010</v>
      </c>
      <c r="J599" s="132" t="s">
        <v>311</v>
      </c>
      <c r="K599" s="132">
        <v>1049025</v>
      </c>
      <c r="L599" s="140">
        <f t="shared" si="11"/>
        <v>2.2920557506091971E-3</v>
      </c>
    </row>
    <row r="600" spans="9:12" x14ac:dyDescent="0.2">
      <c r="I600" s="129">
        <v>2010</v>
      </c>
      <c r="J600" s="132" t="s">
        <v>312</v>
      </c>
      <c r="K600" s="132">
        <v>28610</v>
      </c>
      <c r="L600" s="140">
        <f t="shared" si="11"/>
        <v>6.2511107957321439E-5</v>
      </c>
    </row>
    <row r="601" spans="9:12" x14ac:dyDescent="0.2">
      <c r="I601" s="129">
        <v>2010</v>
      </c>
      <c r="J601" s="132" t="s">
        <v>313</v>
      </c>
      <c r="K601" s="132">
        <v>181058</v>
      </c>
      <c r="L601" s="140">
        <f t="shared" si="11"/>
        <v>3.9560070550635111E-4</v>
      </c>
    </row>
    <row r="602" spans="9:12" x14ac:dyDescent="0.2">
      <c r="I602" s="129">
        <v>2010</v>
      </c>
      <c r="J602" s="132" t="s">
        <v>314</v>
      </c>
      <c r="K602" s="132">
        <v>930450</v>
      </c>
      <c r="L602" s="140">
        <f t="shared" si="11"/>
        <v>2.0329765955571389E-3</v>
      </c>
    </row>
    <row r="603" spans="9:12" x14ac:dyDescent="0.2">
      <c r="I603" s="129">
        <v>2010</v>
      </c>
      <c r="J603" s="132" t="s">
        <v>315</v>
      </c>
      <c r="K603" s="132">
        <v>28122</v>
      </c>
      <c r="L603" s="140">
        <f t="shared" si="11"/>
        <v>6.1444857671296522E-5</v>
      </c>
    </row>
    <row r="604" spans="9:12" x14ac:dyDescent="0.2">
      <c r="I604" s="129">
        <v>2010</v>
      </c>
      <c r="J604" s="132" t="s">
        <v>316</v>
      </c>
      <c r="K604" s="132">
        <v>134623</v>
      </c>
      <c r="L604" s="140">
        <f t="shared" si="11"/>
        <v>2.9414305790068107E-4</v>
      </c>
    </row>
    <row r="605" spans="9:12" x14ac:dyDescent="0.2">
      <c r="I605" s="129">
        <v>2010</v>
      </c>
      <c r="J605" s="132" t="s">
        <v>317</v>
      </c>
      <c r="K605" s="132">
        <v>174528</v>
      </c>
      <c r="L605" s="140">
        <f t="shared" si="11"/>
        <v>3.8133305311343577E-4</v>
      </c>
    </row>
    <row r="606" spans="9:12" x14ac:dyDescent="0.2">
      <c r="I606" s="129">
        <v>2010</v>
      </c>
      <c r="J606" s="132" t="s">
        <v>318</v>
      </c>
      <c r="K606" s="132">
        <v>18546</v>
      </c>
      <c r="L606" s="140">
        <f t="shared" si="11"/>
        <v>4.0521880747168245E-5</v>
      </c>
    </row>
    <row r="607" spans="9:12" x14ac:dyDescent="0.2">
      <c r="I607" s="129">
        <v>2010</v>
      </c>
      <c r="J607" s="132" t="s">
        <v>319</v>
      </c>
      <c r="K607" s="132">
        <v>839631</v>
      </c>
      <c r="L607" s="140">
        <f t="shared" si="11"/>
        <v>1.8345426104618581E-3</v>
      </c>
    </row>
    <row r="608" spans="9:12" x14ac:dyDescent="0.2">
      <c r="I608" s="129">
        <v>2010</v>
      </c>
      <c r="J608" s="132" t="s">
        <v>320</v>
      </c>
      <c r="K608" s="132">
        <v>152982</v>
      </c>
      <c r="L608" s="140">
        <f t="shared" si="11"/>
        <v>3.3425635503414711E-4</v>
      </c>
    </row>
    <row r="609" spans="9:12" x14ac:dyDescent="0.2">
      <c r="I609" s="129">
        <v>2010</v>
      </c>
      <c r="J609" s="132" t="s">
        <v>321</v>
      </c>
      <c r="K609" s="132">
        <v>64665</v>
      </c>
      <c r="L609" s="140">
        <f t="shared" si="11"/>
        <v>1.4128908759385498E-4</v>
      </c>
    </row>
    <row r="610" spans="9:12" x14ac:dyDescent="0.2">
      <c r="I610" s="129">
        <v>2010</v>
      </c>
      <c r="J610" s="132" t="s">
        <v>322</v>
      </c>
      <c r="K610" s="132">
        <v>34895</v>
      </c>
      <c r="L610" s="140">
        <f t="shared" si="11"/>
        <v>7.6243450268113656E-5</v>
      </c>
    </row>
    <row r="611" spans="9:12" x14ac:dyDescent="0.2">
      <c r="I611" s="129">
        <v>2010</v>
      </c>
      <c r="J611" s="132" t="s">
        <v>323</v>
      </c>
      <c r="K611" s="132">
        <v>9818605</v>
      </c>
      <c r="L611" s="140">
        <f t="shared" si="11"/>
        <v>2.1453054077081306E-2</v>
      </c>
    </row>
    <row r="612" spans="9:12" x14ac:dyDescent="0.2">
      <c r="I612" s="129">
        <v>2010</v>
      </c>
      <c r="J612" s="132" t="s">
        <v>324</v>
      </c>
      <c r="K612" s="132">
        <v>150865</v>
      </c>
      <c r="L612" s="140">
        <f t="shared" si="11"/>
        <v>3.2963083893678086E-4</v>
      </c>
    </row>
    <row r="613" spans="9:12" x14ac:dyDescent="0.2">
      <c r="I613" s="129">
        <v>2010</v>
      </c>
      <c r="J613" s="132" t="s">
        <v>325</v>
      </c>
      <c r="K613" s="132">
        <v>252409</v>
      </c>
      <c r="L613" s="140">
        <f t="shared" si="11"/>
        <v>5.5149829599439174E-4</v>
      </c>
    </row>
    <row r="614" spans="9:12" x14ac:dyDescent="0.2">
      <c r="I614" s="129">
        <v>2010</v>
      </c>
      <c r="J614" s="132" t="s">
        <v>326</v>
      </c>
      <c r="K614" s="132">
        <v>18251</v>
      </c>
      <c r="L614" s="140">
        <f t="shared" si="11"/>
        <v>3.9877323709509743E-5</v>
      </c>
    </row>
    <row r="615" spans="9:12" x14ac:dyDescent="0.2">
      <c r="I615" s="129">
        <v>2010</v>
      </c>
      <c r="J615" s="132" t="s">
        <v>327</v>
      </c>
      <c r="K615" s="132">
        <v>87841</v>
      </c>
      <c r="L615" s="140">
        <f t="shared" si="11"/>
        <v>1.919272364235957E-4</v>
      </c>
    </row>
    <row r="616" spans="9:12" x14ac:dyDescent="0.2">
      <c r="I616" s="129">
        <v>2010</v>
      </c>
      <c r="J616" s="132" t="s">
        <v>328</v>
      </c>
      <c r="K616" s="132">
        <v>255793</v>
      </c>
      <c r="L616" s="140">
        <f t="shared" si="11"/>
        <v>5.5889212994502356E-4</v>
      </c>
    </row>
    <row r="617" spans="9:12" x14ac:dyDescent="0.2">
      <c r="I617" s="129">
        <v>2010</v>
      </c>
      <c r="J617" s="132" t="s">
        <v>329</v>
      </c>
      <c r="K617" s="132">
        <v>9686</v>
      </c>
      <c r="L617" s="140">
        <f t="shared" si="11"/>
        <v>2.116332022630603E-5</v>
      </c>
    </row>
    <row r="618" spans="9:12" x14ac:dyDescent="0.2">
      <c r="I618" s="129">
        <v>2010</v>
      </c>
      <c r="J618" s="132" t="s">
        <v>330</v>
      </c>
      <c r="K618" s="132">
        <v>14202</v>
      </c>
      <c r="L618" s="140">
        <f t="shared" si="11"/>
        <v>3.1030505250257925E-5</v>
      </c>
    </row>
    <row r="619" spans="9:12" x14ac:dyDescent="0.2">
      <c r="I619" s="129">
        <v>2010</v>
      </c>
      <c r="J619" s="132" t="s">
        <v>331</v>
      </c>
      <c r="K619" s="132">
        <v>415057</v>
      </c>
      <c r="L619" s="140">
        <f t="shared" si="11"/>
        <v>9.0687427247263083E-4</v>
      </c>
    </row>
    <row r="620" spans="9:12" x14ac:dyDescent="0.2">
      <c r="I620" s="129">
        <v>2010</v>
      </c>
      <c r="J620" s="132" t="s">
        <v>332</v>
      </c>
      <c r="K620" s="132">
        <v>136484</v>
      </c>
      <c r="L620" s="140">
        <f t="shared" si="11"/>
        <v>2.9820922958570642E-4</v>
      </c>
    </row>
    <row r="621" spans="9:12" x14ac:dyDescent="0.2">
      <c r="I621" s="129">
        <v>2010</v>
      </c>
      <c r="J621" s="132" t="s">
        <v>333</v>
      </c>
      <c r="K621" s="132">
        <v>98764</v>
      </c>
      <c r="L621" s="140">
        <f t="shared" si="11"/>
        <v>2.1579332632984602E-4</v>
      </c>
    </row>
    <row r="622" spans="9:12" x14ac:dyDescent="0.2">
      <c r="I622" s="129">
        <v>2010</v>
      </c>
      <c r="J622" s="132" t="s">
        <v>334</v>
      </c>
      <c r="K622" s="132">
        <v>3010232</v>
      </c>
      <c r="L622" s="140">
        <f t="shared" si="11"/>
        <v>6.5771736291011414E-3</v>
      </c>
    </row>
    <row r="623" spans="9:12" x14ac:dyDescent="0.2">
      <c r="I623" s="129">
        <v>2010</v>
      </c>
      <c r="J623" s="132" t="s">
        <v>335</v>
      </c>
      <c r="K623" s="132">
        <v>348432</v>
      </c>
      <c r="L623" s="140">
        <f t="shared" si="11"/>
        <v>7.6130270422179052E-4</v>
      </c>
    </row>
    <row r="624" spans="9:12" x14ac:dyDescent="0.2">
      <c r="I624" s="129">
        <v>2010</v>
      </c>
      <c r="J624" s="132" t="s">
        <v>336</v>
      </c>
      <c r="K624" s="132">
        <v>20007</v>
      </c>
      <c r="L624" s="140">
        <f t="shared" si="11"/>
        <v>4.3714076787910877E-5</v>
      </c>
    </row>
    <row r="625" spans="9:12" x14ac:dyDescent="0.2">
      <c r="I625" s="129">
        <v>2010</v>
      </c>
      <c r="J625" s="132" t="s">
        <v>337</v>
      </c>
      <c r="K625" s="132">
        <v>2189641</v>
      </c>
      <c r="L625" s="140">
        <f t="shared" si="11"/>
        <v>4.7842322593071402E-3</v>
      </c>
    </row>
    <row r="626" spans="9:12" x14ac:dyDescent="0.2">
      <c r="I626" s="129">
        <v>2010</v>
      </c>
      <c r="J626" s="132" t="s">
        <v>338</v>
      </c>
      <c r="K626" s="132">
        <v>1418788</v>
      </c>
      <c r="L626" s="140">
        <f t="shared" si="11"/>
        <v>3.0999653910014744E-3</v>
      </c>
    </row>
    <row r="627" spans="9:12" x14ac:dyDescent="0.2">
      <c r="I627" s="129">
        <v>2010</v>
      </c>
      <c r="J627" s="132" t="s">
        <v>339</v>
      </c>
      <c r="K627" s="132">
        <v>55269</v>
      </c>
      <c r="L627" s="140">
        <f t="shared" si="11"/>
        <v>1.2075939970965393E-4</v>
      </c>
    </row>
    <row r="628" spans="9:12" x14ac:dyDescent="0.2">
      <c r="I628" s="129">
        <v>2010</v>
      </c>
      <c r="J628" s="132" t="s">
        <v>340</v>
      </c>
      <c r="K628" s="132">
        <v>2035210</v>
      </c>
      <c r="L628" s="140">
        <f t="shared" si="11"/>
        <v>4.4468099275015794E-3</v>
      </c>
    </row>
    <row r="629" spans="9:12" x14ac:dyDescent="0.2">
      <c r="I629" s="129">
        <v>2010</v>
      </c>
      <c r="J629" s="132" t="s">
        <v>341</v>
      </c>
      <c r="K629" s="132">
        <v>3095313</v>
      </c>
      <c r="L629" s="140">
        <f t="shared" si="11"/>
        <v>6.7630704335791859E-3</v>
      </c>
    </row>
    <row r="630" spans="9:12" x14ac:dyDescent="0.2">
      <c r="I630" s="129">
        <v>2010</v>
      </c>
      <c r="J630" s="132" t="s">
        <v>342</v>
      </c>
      <c r="K630" s="132">
        <v>805235</v>
      </c>
      <c r="L630" s="140">
        <f t="shared" si="11"/>
        <v>1.7593894448099871E-3</v>
      </c>
    </row>
    <row r="631" spans="9:12" x14ac:dyDescent="0.2">
      <c r="I631" s="129">
        <v>2010</v>
      </c>
      <c r="J631" s="132" t="s">
        <v>343</v>
      </c>
      <c r="K631" s="132">
        <v>685306</v>
      </c>
      <c r="L631" s="140">
        <f t="shared" si="11"/>
        <v>1.4973518822020318E-3</v>
      </c>
    </row>
    <row r="632" spans="9:12" x14ac:dyDescent="0.2">
      <c r="I632" s="129">
        <v>2010</v>
      </c>
      <c r="J632" s="132" t="s">
        <v>344</v>
      </c>
      <c r="K632" s="132">
        <v>269637</v>
      </c>
      <c r="L632" s="140">
        <f t="shared" si="11"/>
        <v>5.8914042699364849E-4</v>
      </c>
    </row>
    <row r="633" spans="9:12" x14ac:dyDescent="0.2">
      <c r="I633" s="129">
        <v>2010</v>
      </c>
      <c r="J633" s="132" t="s">
        <v>345</v>
      </c>
      <c r="K633" s="132">
        <v>718451</v>
      </c>
      <c r="L633" s="140">
        <f t="shared" si="11"/>
        <v>1.5697716890264086E-3</v>
      </c>
    </row>
    <row r="634" spans="9:12" x14ac:dyDescent="0.2">
      <c r="I634" s="129">
        <v>2010</v>
      </c>
      <c r="J634" s="132" t="s">
        <v>346</v>
      </c>
      <c r="K634" s="132">
        <v>423895</v>
      </c>
      <c r="L634" s="140">
        <f t="shared" si="11"/>
        <v>9.2618476433305749E-4</v>
      </c>
    </row>
    <row r="635" spans="9:12" x14ac:dyDescent="0.2">
      <c r="I635" s="129">
        <v>2010</v>
      </c>
      <c r="J635" s="132" t="s">
        <v>347</v>
      </c>
      <c r="K635" s="132">
        <v>1781642</v>
      </c>
      <c r="L635" s="140">
        <f t="shared" si="11"/>
        <v>3.8927792870778783E-3</v>
      </c>
    </row>
    <row r="636" spans="9:12" x14ac:dyDescent="0.2">
      <c r="I636" s="129">
        <v>2010</v>
      </c>
      <c r="J636" s="132" t="s">
        <v>348</v>
      </c>
      <c r="K636" s="132">
        <v>262382</v>
      </c>
      <c r="L636" s="140">
        <f t="shared" si="11"/>
        <v>5.7328869374547061E-4</v>
      </c>
    </row>
    <row r="637" spans="9:12" x14ac:dyDescent="0.2">
      <c r="I637" s="129">
        <v>2010</v>
      </c>
      <c r="J637" s="132" t="s">
        <v>349</v>
      </c>
      <c r="K637" s="132">
        <v>177223</v>
      </c>
      <c r="L637" s="140">
        <f t="shared" si="11"/>
        <v>3.8722146401679058E-4</v>
      </c>
    </row>
    <row r="638" spans="9:12" x14ac:dyDescent="0.2">
      <c r="I638" s="129">
        <v>2010</v>
      </c>
      <c r="J638" s="132" t="s">
        <v>350</v>
      </c>
      <c r="K638" s="132">
        <v>3240</v>
      </c>
      <c r="L638" s="140">
        <f t="shared" si="11"/>
        <v>7.07920271869002E-6</v>
      </c>
    </row>
    <row r="639" spans="9:12" x14ac:dyDescent="0.2">
      <c r="I639" s="129">
        <v>2010</v>
      </c>
      <c r="J639" s="132" t="s">
        <v>351</v>
      </c>
      <c r="K639" s="132">
        <v>44900</v>
      </c>
      <c r="L639" s="140">
        <f t="shared" si="11"/>
        <v>9.810376607073516E-5</v>
      </c>
    </row>
    <row r="640" spans="9:12" x14ac:dyDescent="0.2">
      <c r="I640" s="129">
        <v>2010</v>
      </c>
      <c r="J640" s="132" t="s">
        <v>352</v>
      </c>
      <c r="K640" s="132">
        <v>413344</v>
      </c>
      <c r="L640" s="140">
        <f t="shared" si="11"/>
        <v>9.0313147177599007E-4</v>
      </c>
    </row>
    <row r="641" spans="9:12" x14ac:dyDescent="0.2">
      <c r="I641" s="129">
        <v>2010</v>
      </c>
      <c r="J641" s="132" t="s">
        <v>353</v>
      </c>
      <c r="K641" s="132">
        <v>483878</v>
      </c>
      <c r="L641" s="140">
        <f t="shared" si="11"/>
        <v>1.0572439670105832E-3</v>
      </c>
    </row>
    <row r="642" spans="9:12" x14ac:dyDescent="0.2">
      <c r="I642" s="129">
        <v>2010</v>
      </c>
      <c r="J642" s="132" t="s">
        <v>354</v>
      </c>
      <c r="K642" s="132">
        <v>514453</v>
      </c>
      <c r="L642" s="140">
        <f t="shared" si="11"/>
        <v>1.1240484803204435E-3</v>
      </c>
    </row>
    <row r="643" spans="9:12" x14ac:dyDescent="0.2">
      <c r="I643" s="129">
        <v>2010</v>
      </c>
      <c r="J643" s="132" t="s">
        <v>355</v>
      </c>
      <c r="K643" s="132">
        <v>94737</v>
      </c>
      <c r="L643" s="140">
        <f t="shared" si="11"/>
        <v>2.0699457653102976E-4</v>
      </c>
    </row>
    <row r="644" spans="9:12" x14ac:dyDescent="0.2">
      <c r="I644" s="129">
        <v>2010</v>
      </c>
      <c r="J644" s="132" t="s">
        <v>356</v>
      </c>
      <c r="K644" s="132">
        <v>63463</v>
      </c>
      <c r="L644" s="140">
        <f t="shared" ref="L644:L707" si="12">K644/VLOOKUP(I644,$A$3:$E$18,5,FALSE)</f>
        <v>1.3866279078278543E-4</v>
      </c>
    </row>
    <row r="645" spans="9:12" x14ac:dyDescent="0.2">
      <c r="I645" s="129">
        <v>2010</v>
      </c>
      <c r="J645" s="132" t="s">
        <v>357</v>
      </c>
      <c r="K645" s="132">
        <v>13786</v>
      </c>
      <c r="L645" s="140">
        <f t="shared" si="12"/>
        <v>3.0121570580203895E-5</v>
      </c>
    </row>
    <row r="646" spans="9:12" x14ac:dyDescent="0.2">
      <c r="I646" s="129">
        <v>2010</v>
      </c>
      <c r="J646" s="132" t="s">
        <v>358</v>
      </c>
      <c r="K646" s="132">
        <v>442179</v>
      </c>
      <c r="L646" s="140">
        <f t="shared" si="12"/>
        <v>9.661341910332205E-4</v>
      </c>
    </row>
    <row r="647" spans="9:12" x14ac:dyDescent="0.2">
      <c r="I647" s="129">
        <v>2010</v>
      </c>
      <c r="J647" s="132" t="s">
        <v>359</v>
      </c>
      <c r="K647" s="132">
        <v>55365</v>
      </c>
      <c r="L647" s="140">
        <f t="shared" si="12"/>
        <v>1.2096915386428178E-4</v>
      </c>
    </row>
    <row r="648" spans="9:12" x14ac:dyDescent="0.2">
      <c r="I648" s="129">
        <v>2010</v>
      </c>
      <c r="J648" s="132" t="s">
        <v>360</v>
      </c>
      <c r="K648" s="132">
        <v>823318</v>
      </c>
      <c r="L648" s="140">
        <f t="shared" si="12"/>
        <v>1.7988996987488982E-3</v>
      </c>
    </row>
    <row r="649" spans="9:12" x14ac:dyDescent="0.2">
      <c r="I649" s="129">
        <v>2010</v>
      </c>
      <c r="J649" s="132" t="s">
        <v>361</v>
      </c>
      <c r="K649" s="132">
        <v>200849</v>
      </c>
      <c r="L649" s="140">
        <f t="shared" si="12"/>
        <v>4.3884283544634936E-4</v>
      </c>
    </row>
    <row r="650" spans="9:12" x14ac:dyDescent="0.2">
      <c r="I650" s="129">
        <v>2010</v>
      </c>
      <c r="J650" s="132" t="s">
        <v>362</v>
      </c>
      <c r="K650" s="132">
        <v>72155</v>
      </c>
      <c r="L650" s="140">
        <f t="shared" si="12"/>
        <v>1.576542815330489E-4</v>
      </c>
    </row>
    <row r="651" spans="9:12" x14ac:dyDescent="0.2">
      <c r="I651" s="129">
        <v>2010</v>
      </c>
      <c r="J651" s="132" t="s">
        <v>363</v>
      </c>
      <c r="K651" s="132">
        <f>SUM(K593:K650)</f>
        <v>37253956</v>
      </c>
      <c r="L651" s="140">
        <f t="shared" si="12"/>
        <v>8.1397625492950126E-2</v>
      </c>
    </row>
    <row r="652" spans="9:12" x14ac:dyDescent="0.2">
      <c r="I652" s="129">
        <v>2009</v>
      </c>
      <c r="J652" s="132" t="s">
        <v>305</v>
      </c>
      <c r="K652" s="132">
        <v>1497799</v>
      </c>
      <c r="L652" s="140">
        <f t="shared" si="12"/>
        <v>3.3052658450176626E-3</v>
      </c>
    </row>
    <row r="653" spans="9:12" x14ac:dyDescent="0.2">
      <c r="I653" s="129">
        <v>2009</v>
      </c>
      <c r="J653" s="132" t="s">
        <v>306</v>
      </c>
      <c r="K653" s="132">
        <v>1194</v>
      </c>
      <c r="L653" s="140">
        <f t="shared" si="12"/>
        <v>2.6348578273527282E-6</v>
      </c>
    </row>
    <row r="654" spans="9:12" x14ac:dyDescent="0.2">
      <c r="I654" s="129">
        <v>2009</v>
      </c>
      <c r="J654" s="132" t="s">
        <v>307</v>
      </c>
      <c r="K654" s="132">
        <v>37884</v>
      </c>
      <c r="L654" s="140">
        <f t="shared" si="12"/>
        <v>8.3600463929171486E-5</v>
      </c>
    </row>
    <row r="655" spans="9:12" x14ac:dyDescent="0.2">
      <c r="I655" s="129">
        <v>2009</v>
      </c>
      <c r="J655" s="132" t="s">
        <v>308</v>
      </c>
      <c r="K655" s="132">
        <v>218887</v>
      </c>
      <c r="L655" s="140">
        <f t="shared" si="12"/>
        <v>4.8302858061621161E-4</v>
      </c>
    </row>
    <row r="656" spans="9:12" x14ac:dyDescent="0.2">
      <c r="I656" s="129">
        <v>2009</v>
      </c>
      <c r="J656" s="132" t="s">
        <v>309</v>
      </c>
      <c r="K656" s="132">
        <v>45632</v>
      </c>
      <c r="L656" s="140">
        <f t="shared" si="12"/>
        <v>1.0069835207517563E-4</v>
      </c>
    </row>
    <row r="657" spans="9:12" x14ac:dyDescent="0.2">
      <c r="I657" s="129">
        <v>2009</v>
      </c>
      <c r="J657" s="132" t="s">
        <v>310</v>
      </c>
      <c r="K657" s="132">
        <v>21221</v>
      </c>
      <c r="L657" s="140">
        <f t="shared" si="12"/>
        <v>4.6829412021986809E-5</v>
      </c>
    </row>
    <row r="658" spans="9:12" x14ac:dyDescent="0.2">
      <c r="I658" s="129">
        <v>2009</v>
      </c>
      <c r="J658" s="132" t="s">
        <v>311</v>
      </c>
      <c r="K658" s="132">
        <v>1038390</v>
      </c>
      <c r="L658" s="140">
        <f t="shared" si="12"/>
        <v>2.2914656778432159E-3</v>
      </c>
    </row>
    <row r="659" spans="9:12" x14ac:dyDescent="0.2">
      <c r="I659" s="129">
        <v>2009</v>
      </c>
      <c r="J659" s="132" t="s">
        <v>312</v>
      </c>
      <c r="K659" s="132">
        <v>28565</v>
      </c>
      <c r="L659" s="140">
        <f t="shared" si="12"/>
        <v>6.303577373394529E-5</v>
      </c>
    </row>
    <row r="660" spans="9:12" x14ac:dyDescent="0.2">
      <c r="I660" s="129">
        <v>2009</v>
      </c>
      <c r="J660" s="132" t="s">
        <v>313</v>
      </c>
      <c r="K660" s="132">
        <v>179150</v>
      </c>
      <c r="L660" s="140">
        <f t="shared" si="12"/>
        <v>3.9533901153286541E-4</v>
      </c>
    </row>
    <row r="661" spans="9:12" x14ac:dyDescent="0.2">
      <c r="I661" s="129">
        <v>2009</v>
      </c>
      <c r="J661" s="132" t="s">
        <v>314</v>
      </c>
      <c r="K661" s="132">
        <v>918560</v>
      </c>
      <c r="L661" s="140">
        <f t="shared" si="12"/>
        <v>2.02703099321032E-3</v>
      </c>
    </row>
    <row r="662" spans="9:12" x14ac:dyDescent="0.2">
      <c r="I662" s="129">
        <v>2009</v>
      </c>
      <c r="J662" s="132" t="s">
        <v>315</v>
      </c>
      <c r="K662" s="132">
        <v>28088</v>
      </c>
      <c r="L662" s="140">
        <f t="shared" si="12"/>
        <v>6.1983154652163681E-5</v>
      </c>
    </row>
    <row r="663" spans="9:12" x14ac:dyDescent="0.2">
      <c r="I663" s="129">
        <v>2009</v>
      </c>
      <c r="J663" s="132" t="s">
        <v>316</v>
      </c>
      <c r="K663" s="132">
        <v>133484</v>
      </c>
      <c r="L663" s="140">
        <f t="shared" si="12"/>
        <v>2.9456563000531961E-4</v>
      </c>
    </row>
    <row r="664" spans="9:12" x14ac:dyDescent="0.2">
      <c r="I664" s="129">
        <v>2009</v>
      </c>
      <c r="J664" s="132" t="s">
        <v>317</v>
      </c>
      <c r="K664" s="132">
        <v>171670</v>
      </c>
      <c r="L664" s="140">
        <f t="shared" si="12"/>
        <v>3.7883253201142619E-4</v>
      </c>
    </row>
    <row r="665" spans="9:12" x14ac:dyDescent="0.2">
      <c r="I665" s="129">
        <v>2009</v>
      </c>
      <c r="J665" s="132" t="s">
        <v>318</v>
      </c>
      <c r="K665" s="132">
        <v>18416</v>
      </c>
      <c r="L665" s="140">
        <f t="shared" si="12"/>
        <v>4.0639482201447108E-5</v>
      </c>
    </row>
    <row r="666" spans="9:12" x14ac:dyDescent="0.2">
      <c r="I666" s="129">
        <v>2009</v>
      </c>
      <c r="J666" s="132" t="s">
        <v>319</v>
      </c>
      <c r="K666" s="132">
        <v>825503</v>
      </c>
      <c r="L666" s="140">
        <f t="shared" si="12"/>
        <v>1.8216775888217414E-3</v>
      </c>
    </row>
    <row r="667" spans="9:12" x14ac:dyDescent="0.2">
      <c r="I667" s="129">
        <v>2009</v>
      </c>
      <c r="J667" s="132" t="s">
        <v>320</v>
      </c>
      <c r="K667" s="132">
        <v>151816</v>
      </c>
      <c r="L667" s="140">
        <f t="shared" si="12"/>
        <v>3.3501974532444039E-4</v>
      </c>
    </row>
    <row r="668" spans="9:12" x14ac:dyDescent="0.2">
      <c r="I668" s="129">
        <v>2009</v>
      </c>
      <c r="J668" s="132" t="s">
        <v>321</v>
      </c>
      <c r="K668" s="132">
        <v>64384</v>
      </c>
      <c r="L668" s="140">
        <f t="shared" si="12"/>
        <v>1.4207930180592802E-4</v>
      </c>
    </row>
    <row r="669" spans="9:12" x14ac:dyDescent="0.2">
      <c r="I669" s="129">
        <v>2009</v>
      </c>
      <c r="J669" s="132" t="s">
        <v>322</v>
      </c>
      <c r="K669" s="132">
        <v>34947</v>
      </c>
      <c r="L669" s="140">
        <f t="shared" si="12"/>
        <v>7.7119243293547572E-5</v>
      </c>
    </row>
    <row r="670" spans="9:12" x14ac:dyDescent="0.2">
      <c r="I670" s="129">
        <v>2009</v>
      </c>
      <c r="J670" s="132" t="s">
        <v>323</v>
      </c>
      <c r="K670" s="132">
        <v>9801096</v>
      </c>
      <c r="L670" s="140">
        <f t="shared" si="12"/>
        <v>2.1628554867868941E-2</v>
      </c>
    </row>
    <row r="671" spans="9:12" x14ac:dyDescent="0.2">
      <c r="I671" s="129">
        <v>2009</v>
      </c>
      <c r="J671" s="132" t="s">
        <v>324</v>
      </c>
      <c r="K671" s="132">
        <v>149632</v>
      </c>
      <c r="L671" s="140">
        <f t="shared" si="12"/>
        <v>3.3020020638395599E-4</v>
      </c>
    </row>
    <row r="672" spans="9:12" x14ac:dyDescent="0.2">
      <c r="I672" s="129">
        <v>2009</v>
      </c>
      <c r="J672" s="132" t="s">
        <v>325</v>
      </c>
      <c r="K672" s="132">
        <v>250760</v>
      </c>
      <c r="L672" s="140">
        <f t="shared" si="12"/>
        <v>5.5336427871605543E-4</v>
      </c>
    </row>
    <row r="673" spans="9:12" x14ac:dyDescent="0.2">
      <c r="I673" s="129">
        <v>2009</v>
      </c>
      <c r="J673" s="132" t="s">
        <v>326</v>
      </c>
      <c r="K673" s="132">
        <v>18334</v>
      </c>
      <c r="L673" s="140">
        <f t="shared" si="12"/>
        <v>4.0458528816319027E-5</v>
      </c>
    </row>
    <row r="674" spans="9:12" x14ac:dyDescent="0.2">
      <c r="I674" s="129">
        <v>2009</v>
      </c>
      <c r="J674" s="132" t="s">
        <v>327</v>
      </c>
      <c r="K674" s="132">
        <v>87677</v>
      </c>
      <c r="L674" s="140">
        <f t="shared" si="12"/>
        <v>1.9348109692529745E-4</v>
      </c>
    </row>
    <row r="675" spans="9:12" x14ac:dyDescent="0.2">
      <c r="I675" s="129">
        <v>2009</v>
      </c>
      <c r="J675" s="132" t="s">
        <v>328</v>
      </c>
      <c r="K675" s="132">
        <v>253026</v>
      </c>
      <c r="L675" s="140">
        <f t="shared" si="12"/>
        <v>5.583647710416679E-4</v>
      </c>
    </row>
    <row r="676" spans="9:12" x14ac:dyDescent="0.2">
      <c r="I676" s="129">
        <v>2009</v>
      </c>
      <c r="J676" s="132" t="s">
        <v>329</v>
      </c>
      <c r="K676" s="132">
        <v>9628</v>
      </c>
      <c r="L676" s="140">
        <f t="shared" si="12"/>
        <v>2.1246575512355165E-5</v>
      </c>
    </row>
    <row r="677" spans="9:12" x14ac:dyDescent="0.2">
      <c r="I677" s="129">
        <v>2009</v>
      </c>
      <c r="J677" s="132" t="s">
        <v>330</v>
      </c>
      <c r="K677" s="132">
        <v>14074</v>
      </c>
      <c r="L677" s="140">
        <f t="shared" si="12"/>
        <v>3.1057779784055528E-5</v>
      </c>
    </row>
    <row r="678" spans="9:12" x14ac:dyDescent="0.2">
      <c r="I678" s="129">
        <v>2009</v>
      </c>
      <c r="J678" s="132" t="s">
        <v>331</v>
      </c>
      <c r="K678" s="132">
        <v>412233</v>
      </c>
      <c r="L678" s="140">
        <f t="shared" si="12"/>
        <v>9.0969459526222553E-4</v>
      </c>
    </row>
    <row r="679" spans="9:12" x14ac:dyDescent="0.2">
      <c r="I679" s="129">
        <v>2009</v>
      </c>
      <c r="J679" s="132" t="s">
        <v>332</v>
      </c>
      <c r="K679" s="132">
        <v>135225</v>
      </c>
      <c r="L679" s="140">
        <f t="shared" si="12"/>
        <v>2.9840757931639254E-4</v>
      </c>
    </row>
    <row r="680" spans="9:12" x14ac:dyDescent="0.2">
      <c r="I680" s="129">
        <v>2009</v>
      </c>
      <c r="J680" s="132" t="s">
        <v>333</v>
      </c>
      <c r="K680" s="132">
        <v>98558</v>
      </c>
      <c r="L680" s="140">
        <f t="shared" si="12"/>
        <v>2.1749272843235359E-4</v>
      </c>
    </row>
    <row r="681" spans="9:12" x14ac:dyDescent="0.2">
      <c r="I681" s="129">
        <v>2009</v>
      </c>
      <c r="J681" s="132" t="s">
        <v>334</v>
      </c>
      <c r="K681" s="132">
        <v>2990805</v>
      </c>
      <c r="L681" s="140">
        <f t="shared" si="12"/>
        <v>6.5999547439997289E-3</v>
      </c>
    </row>
    <row r="682" spans="9:12" x14ac:dyDescent="0.2">
      <c r="I682" s="129">
        <v>2009</v>
      </c>
      <c r="J682" s="132" t="s">
        <v>335</v>
      </c>
      <c r="K682" s="132">
        <v>340995</v>
      </c>
      <c r="L682" s="140">
        <f t="shared" si="12"/>
        <v>7.5249023855790919E-4</v>
      </c>
    </row>
    <row r="683" spans="9:12" x14ac:dyDescent="0.2">
      <c r="I683" s="129">
        <v>2009</v>
      </c>
      <c r="J683" s="132" t="s">
        <v>336</v>
      </c>
      <c r="K683" s="132">
        <v>20216</v>
      </c>
      <c r="L683" s="140">
        <f t="shared" si="12"/>
        <v>4.4611629679868302E-5</v>
      </c>
    </row>
    <row r="684" spans="9:12" x14ac:dyDescent="0.2">
      <c r="I684" s="129">
        <v>2009</v>
      </c>
      <c r="J684" s="132" t="s">
        <v>337</v>
      </c>
      <c r="K684" s="132">
        <v>2140626</v>
      </c>
      <c r="L684" s="140">
        <f t="shared" si="12"/>
        <v>4.7238234267460311E-3</v>
      </c>
    </row>
    <row r="685" spans="9:12" x14ac:dyDescent="0.2">
      <c r="I685" s="129">
        <v>2009</v>
      </c>
      <c r="J685" s="132" t="s">
        <v>338</v>
      </c>
      <c r="K685" s="132">
        <v>1406168</v>
      </c>
      <c r="L685" s="140">
        <f t="shared" si="12"/>
        <v>3.1030592641314333E-3</v>
      </c>
    </row>
    <row r="686" spans="9:12" x14ac:dyDescent="0.2">
      <c r="I686" s="129">
        <v>2009</v>
      </c>
      <c r="J686" s="132" t="s">
        <v>339</v>
      </c>
      <c r="K686" s="132">
        <v>55068</v>
      </c>
      <c r="L686" s="140">
        <f t="shared" si="12"/>
        <v>1.215212318564992E-4</v>
      </c>
    </row>
    <row r="687" spans="9:12" x14ac:dyDescent="0.2">
      <c r="I687" s="129">
        <v>2009</v>
      </c>
      <c r="J687" s="132" t="s">
        <v>340</v>
      </c>
      <c r="K687" s="132">
        <v>2019432</v>
      </c>
      <c r="L687" s="140">
        <f t="shared" si="12"/>
        <v>4.4563787370239319E-3</v>
      </c>
    </row>
    <row r="688" spans="9:12" x14ac:dyDescent="0.2">
      <c r="I688" s="129">
        <v>2009</v>
      </c>
      <c r="J688" s="132" t="s">
        <v>341</v>
      </c>
      <c r="K688" s="132">
        <v>3064436</v>
      </c>
      <c r="L688" s="140">
        <f t="shared" si="12"/>
        <v>6.7624398501017462E-3</v>
      </c>
    </row>
    <row r="689" spans="9:12" x14ac:dyDescent="0.2">
      <c r="I689" s="129">
        <v>2009</v>
      </c>
      <c r="J689" s="132" t="s">
        <v>342</v>
      </c>
      <c r="K689" s="132">
        <v>800239</v>
      </c>
      <c r="L689" s="140">
        <f t="shared" si="12"/>
        <v>1.7659262922135007E-3</v>
      </c>
    </row>
    <row r="690" spans="9:12" x14ac:dyDescent="0.2">
      <c r="I690" s="129">
        <v>2009</v>
      </c>
      <c r="J690" s="132" t="s">
        <v>343</v>
      </c>
      <c r="K690" s="132">
        <v>677833</v>
      </c>
      <c r="L690" s="140">
        <f t="shared" si="12"/>
        <v>1.4958070231892646E-3</v>
      </c>
    </row>
    <row r="691" spans="9:12" x14ac:dyDescent="0.2">
      <c r="I691" s="129">
        <v>2009</v>
      </c>
      <c r="J691" s="132" t="s">
        <v>344</v>
      </c>
      <c r="K691" s="132">
        <v>267537</v>
      </c>
      <c r="L691" s="140">
        <f t="shared" si="12"/>
        <v>5.9038689996354014E-4</v>
      </c>
    </row>
    <row r="692" spans="9:12" x14ac:dyDescent="0.2">
      <c r="I692" s="129">
        <v>2009</v>
      </c>
      <c r="J692" s="132" t="s">
        <v>345</v>
      </c>
      <c r="K692" s="132">
        <v>713818</v>
      </c>
      <c r="L692" s="140">
        <f t="shared" si="12"/>
        <v>1.5752168715287018E-3</v>
      </c>
    </row>
    <row r="693" spans="9:12" x14ac:dyDescent="0.2">
      <c r="I693" s="129">
        <v>2009</v>
      </c>
      <c r="J693" s="132" t="s">
        <v>346</v>
      </c>
      <c r="K693" s="132">
        <v>421197</v>
      </c>
      <c r="L693" s="140">
        <f t="shared" si="12"/>
        <v>9.2947588970476312E-4</v>
      </c>
    </row>
    <row r="694" spans="9:12" x14ac:dyDescent="0.2">
      <c r="I694" s="129">
        <v>2009</v>
      </c>
      <c r="J694" s="132" t="s">
        <v>347</v>
      </c>
      <c r="K694" s="132">
        <v>1767204</v>
      </c>
      <c r="L694" s="140">
        <f t="shared" si="12"/>
        <v>3.8997749513643644E-3</v>
      </c>
    </row>
    <row r="695" spans="9:12" x14ac:dyDescent="0.2">
      <c r="I695" s="129">
        <v>2009</v>
      </c>
      <c r="J695" s="132" t="s">
        <v>348</v>
      </c>
      <c r="K695" s="132">
        <v>260892</v>
      </c>
      <c r="L695" s="140">
        <f t="shared" si="12"/>
        <v>5.7572305552236849E-4</v>
      </c>
    </row>
    <row r="696" spans="9:12" x14ac:dyDescent="0.2">
      <c r="I696" s="129">
        <v>2009</v>
      </c>
      <c r="J696" s="132" t="s">
        <v>349</v>
      </c>
      <c r="K696" s="132">
        <v>176756</v>
      </c>
      <c r="L696" s="140">
        <f t="shared" si="12"/>
        <v>3.9005605538656519E-4</v>
      </c>
    </row>
    <row r="697" spans="9:12" x14ac:dyDescent="0.2">
      <c r="I697" s="129">
        <v>2009</v>
      </c>
      <c r="J697" s="132" t="s">
        <v>350</v>
      </c>
      <c r="K697" s="132">
        <v>3264</v>
      </c>
      <c r="L697" s="140">
        <f t="shared" si="12"/>
        <v>7.2028274275371065E-6</v>
      </c>
    </row>
    <row r="698" spans="9:12" x14ac:dyDescent="0.2">
      <c r="I698" s="129">
        <v>2009</v>
      </c>
      <c r="J698" s="132" t="s">
        <v>351</v>
      </c>
      <c r="K698" s="132">
        <v>44996</v>
      </c>
      <c r="L698" s="140">
        <f t="shared" si="12"/>
        <v>9.9294859966133476E-5</v>
      </c>
    </row>
    <row r="699" spans="9:12" x14ac:dyDescent="0.2">
      <c r="I699" s="129">
        <v>2009</v>
      </c>
      <c r="J699" s="132" t="s">
        <v>352</v>
      </c>
      <c r="K699" s="132">
        <v>412832</v>
      </c>
      <c r="L699" s="140">
        <f t="shared" si="12"/>
        <v>9.1101643767310008E-4</v>
      </c>
    </row>
    <row r="700" spans="9:12" x14ac:dyDescent="0.2">
      <c r="I700" s="129">
        <v>2009</v>
      </c>
      <c r="J700" s="132" t="s">
        <v>353</v>
      </c>
      <c r="K700" s="132">
        <v>478622</v>
      </c>
      <c r="L700" s="140">
        <f t="shared" si="12"/>
        <v>1.056198428009395E-3</v>
      </c>
    </row>
    <row r="701" spans="9:12" x14ac:dyDescent="0.2">
      <c r="I701" s="129">
        <v>2009</v>
      </c>
      <c r="J701" s="132" t="s">
        <v>354</v>
      </c>
      <c r="K701" s="132">
        <v>511226</v>
      </c>
      <c r="L701" s="140">
        <f t="shared" si="12"/>
        <v>1.1281472593351975E-3</v>
      </c>
    </row>
    <row r="702" spans="9:12" x14ac:dyDescent="0.2">
      <c r="I702" s="129">
        <v>2009</v>
      </c>
      <c r="J702" s="132" t="s">
        <v>355</v>
      </c>
      <c r="K702" s="132">
        <v>93918</v>
      </c>
      <c r="L702" s="140">
        <f t="shared" si="12"/>
        <v>2.072534149324234E-4</v>
      </c>
    </row>
    <row r="703" spans="9:12" x14ac:dyDescent="0.2">
      <c r="I703" s="129">
        <v>2009</v>
      </c>
      <c r="J703" s="132" t="s">
        <v>356</v>
      </c>
      <c r="K703" s="132">
        <v>62921</v>
      </c>
      <c r="L703" s="140">
        <f t="shared" si="12"/>
        <v>1.3885082860541124E-4</v>
      </c>
    </row>
    <row r="704" spans="9:12" x14ac:dyDescent="0.2">
      <c r="I704" s="129">
        <v>2009</v>
      </c>
      <c r="J704" s="132" t="s">
        <v>357</v>
      </c>
      <c r="K704" s="132">
        <v>13750</v>
      </c>
      <c r="L704" s="140">
        <f t="shared" si="12"/>
        <v>3.0342793237939711E-5</v>
      </c>
    </row>
    <row r="705" spans="9:12" x14ac:dyDescent="0.2">
      <c r="I705" s="129">
        <v>2009</v>
      </c>
      <c r="J705" s="132" t="s">
        <v>358</v>
      </c>
      <c r="K705" s="132">
        <v>434933</v>
      </c>
      <c r="L705" s="140">
        <f t="shared" si="12"/>
        <v>9.5978778846231511E-4</v>
      </c>
    </row>
    <row r="706" spans="9:12" x14ac:dyDescent="0.2">
      <c r="I706" s="129">
        <v>2009</v>
      </c>
      <c r="J706" s="132" t="s">
        <v>359</v>
      </c>
      <c r="K706" s="132">
        <v>55661</v>
      </c>
      <c r="L706" s="140">
        <f t="shared" si="12"/>
        <v>1.2282983377577908E-4</v>
      </c>
    </row>
    <row r="707" spans="9:12" x14ac:dyDescent="0.2">
      <c r="I707" s="129">
        <v>2009</v>
      </c>
      <c r="J707" s="132" t="s">
        <v>360</v>
      </c>
      <c r="K707" s="132">
        <v>815284</v>
      </c>
      <c r="L707" s="140">
        <f t="shared" si="12"/>
        <v>1.7991268248873046E-3</v>
      </c>
    </row>
    <row r="708" spans="9:12" x14ac:dyDescent="0.2">
      <c r="I708" s="129">
        <v>2009</v>
      </c>
      <c r="J708" s="132" t="s">
        <v>361</v>
      </c>
      <c r="K708" s="132">
        <v>198642</v>
      </c>
      <c r="L708" s="140">
        <f t="shared" ref="L708:L771" si="13">K708/VLOOKUP(I708,$A$3:$E$18,5,FALSE)</f>
        <v>4.3835295522696874E-4</v>
      </c>
    </row>
    <row r="709" spans="9:12" x14ac:dyDescent="0.2">
      <c r="I709" s="129">
        <v>2009</v>
      </c>
      <c r="J709" s="132" t="s">
        <v>362</v>
      </c>
      <c r="K709" s="132">
        <v>71609</v>
      </c>
      <c r="L709" s="140">
        <f t="shared" si="13"/>
        <v>1.580230604345909E-4</v>
      </c>
    </row>
    <row r="710" spans="9:12" x14ac:dyDescent="0.2">
      <c r="I710" s="129">
        <v>2009</v>
      </c>
      <c r="J710" s="132" t="s">
        <v>363</v>
      </c>
      <c r="K710" s="132">
        <v>36966713</v>
      </c>
      <c r="L710" s="140">
        <f t="shared" si="13"/>
        <v>8.157624212692785E-2</v>
      </c>
    </row>
    <row r="711" spans="9:12" x14ac:dyDescent="0.2">
      <c r="I711" s="129">
        <v>2008</v>
      </c>
      <c r="J711" s="132" t="s">
        <v>305</v>
      </c>
      <c r="K711" s="132">
        <v>1484085</v>
      </c>
      <c r="L711" s="140">
        <f t="shared" si="13"/>
        <v>3.308274219894991E-3</v>
      </c>
    </row>
    <row r="712" spans="9:12" x14ac:dyDescent="0.2">
      <c r="I712" s="129">
        <v>2008</v>
      </c>
      <c r="J712" s="132" t="s">
        <v>306</v>
      </c>
      <c r="K712" s="132">
        <v>1228</v>
      </c>
      <c r="L712" s="140">
        <f t="shared" si="13"/>
        <v>2.7374178312098357E-6</v>
      </c>
    </row>
    <row r="713" spans="9:12" x14ac:dyDescent="0.2">
      <c r="I713" s="129">
        <v>2008</v>
      </c>
      <c r="J713" s="132" t="s">
        <v>307</v>
      </c>
      <c r="K713" s="132">
        <v>37975</v>
      </c>
      <c r="L713" s="140">
        <f t="shared" si="13"/>
        <v>8.4652640179310674E-5</v>
      </c>
    </row>
    <row r="714" spans="9:12" x14ac:dyDescent="0.2">
      <c r="I714" s="129">
        <v>2008</v>
      </c>
      <c r="J714" s="132" t="s">
        <v>308</v>
      </c>
      <c r="K714" s="132">
        <v>217801</v>
      </c>
      <c r="L714" s="140">
        <f t="shared" si="13"/>
        <v>4.8551493571281223E-4</v>
      </c>
    </row>
    <row r="715" spans="9:12" x14ac:dyDescent="0.2">
      <c r="I715" s="129">
        <v>2008</v>
      </c>
      <c r="J715" s="132" t="s">
        <v>309</v>
      </c>
      <c r="K715" s="132">
        <v>45670</v>
      </c>
      <c r="L715" s="140">
        <f t="shared" si="13"/>
        <v>1.0180608497667199E-4</v>
      </c>
    </row>
    <row r="716" spans="9:12" x14ac:dyDescent="0.2">
      <c r="I716" s="129">
        <v>2008</v>
      </c>
      <c r="J716" s="132" t="s">
        <v>310</v>
      </c>
      <c r="K716" s="132">
        <v>21145</v>
      </c>
      <c r="L716" s="140">
        <f t="shared" si="13"/>
        <v>4.713574921899998E-5</v>
      </c>
    </row>
    <row r="717" spans="9:12" x14ac:dyDescent="0.2">
      <c r="I717" s="129">
        <v>2008</v>
      </c>
      <c r="J717" s="132" t="s">
        <v>311</v>
      </c>
      <c r="K717" s="132">
        <v>1027264</v>
      </c>
      <c r="L717" s="140">
        <f t="shared" si="13"/>
        <v>2.2899436408468574E-3</v>
      </c>
    </row>
    <row r="718" spans="9:12" x14ac:dyDescent="0.2">
      <c r="I718" s="129">
        <v>2008</v>
      </c>
      <c r="J718" s="132" t="s">
        <v>312</v>
      </c>
      <c r="K718" s="132">
        <v>28526</v>
      </c>
      <c r="L718" s="140">
        <f t="shared" si="13"/>
        <v>6.3589235385253881E-5</v>
      </c>
    </row>
    <row r="719" spans="9:12" x14ac:dyDescent="0.2">
      <c r="I719" s="129">
        <v>2008</v>
      </c>
      <c r="J719" s="132" t="s">
        <v>313</v>
      </c>
      <c r="K719" s="132">
        <v>177897</v>
      </c>
      <c r="L719" s="140">
        <f t="shared" si="13"/>
        <v>3.9656223120418252E-4</v>
      </c>
    </row>
    <row r="720" spans="9:12" x14ac:dyDescent="0.2">
      <c r="I720" s="129">
        <v>2008</v>
      </c>
      <c r="J720" s="132" t="s">
        <v>314</v>
      </c>
      <c r="K720" s="132">
        <v>906521</v>
      </c>
      <c r="L720" s="140">
        <f t="shared" si="13"/>
        <v>2.0207872555099114E-3</v>
      </c>
    </row>
    <row r="721" spans="9:12" x14ac:dyDescent="0.2">
      <c r="I721" s="129">
        <v>2008</v>
      </c>
      <c r="J721" s="132" t="s">
        <v>315</v>
      </c>
      <c r="K721" s="132">
        <v>28066</v>
      </c>
      <c r="L721" s="140">
        <f t="shared" si="13"/>
        <v>6.2563818282357689E-5</v>
      </c>
    </row>
    <row r="722" spans="9:12" x14ac:dyDescent="0.2">
      <c r="I722" s="129">
        <v>2008</v>
      </c>
      <c r="J722" s="132" t="s">
        <v>316</v>
      </c>
      <c r="K722" s="132">
        <v>132931</v>
      </c>
      <c r="L722" s="140">
        <f t="shared" si="13"/>
        <v>2.9632548022846469E-4</v>
      </c>
    </row>
    <row r="723" spans="9:12" x14ac:dyDescent="0.2">
      <c r="I723" s="129">
        <v>2008</v>
      </c>
      <c r="J723" s="132" t="s">
        <v>317</v>
      </c>
      <c r="K723" s="132">
        <v>168495</v>
      </c>
      <c r="L723" s="140">
        <f t="shared" si="13"/>
        <v>3.7560359728803036E-4</v>
      </c>
    </row>
    <row r="724" spans="9:12" x14ac:dyDescent="0.2">
      <c r="I724" s="129">
        <v>2008</v>
      </c>
      <c r="J724" s="132" t="s">
        <v>318</v>
      </c>
      <c r="K724" s="132">
        <v>18416</v>
      </c>
      <c r="L724" s="140">
        <f t="shared" si="13"/>
        <v>4.1052350797687569E-5</v>
      </c>
    </row>
    <row r="725" spans="9:12" x14ac:dyDescent="0.2">
      <c r="I725" s="129">
        <v>2008</v>
      </c>
      <c r="J725" s="132" t="s">
        <v>319</v>
      </c>
      <c r="K725" s="132">
        <v>812830</v>
      </c>
      <c r="L725" s="140">
        <f t="shared" si="13"/>
        <v>1.8119343124937222E-3</v>
      </c>
    </row>
    <row r="726" spans="9:12" x14ac:dyDescent="0.2">
      <c r="I726" s="129">
        <v>2008</v>
      </c>
      <c r="J726" s="132" t="s">
        <v>320</v>
      </c>
      <c r="K726" s="132">
        <v>151106</v>
      </c>
      <c r="L726" s="140">
        <f t="shared" si="13"/>
        <v>3.3684060163093928E-4</v>
      </c>
    </row>
    <row r="727" spans="9:12" x14ac:dyDescent="0.2">
      <c r="I727" s="129">
        <v>2008</v>
      </c>
      <c r="J727" s="132" t="s">
        <v>321</v>
      </c>
      <c r="K727" s="132">
        <v>64178</v>
      </c>
      <c r="L727" s="140">
        <f t="shared" si="13"/>
        <v>1.430635191949388E-4</v>
      </c>
    </row>
    <row r="728" spans="9:12" x14ac:dyDescent="0.2">
      <c r="I728" s="129">
        <v>2008</v>
      </c>
      <c r="J728" s="132" t="s">
        <v>322</v>
      </c>
      <c r="K728" s="132">
        <v>35437</v>
      </c>
      <c r="L728" s="140">
        <f t="shared" si="13"/>
        <v>7.8995012772461689E-5</v>
      </c>
    </row>
    <row r="729" spans="9:12" x14ac:dyDescent="0.2">
      <c r="I729" s="129">
        <v>2008</v>
      </c>
      <c r="J729" s="132" t="s">
        <v>323</v>
      </c>
      <c r="K729" s="132">
        <v>9785474</v>
      </c>
      <c r="L729" s="140">
        <f t="shared" si="13"/>
        <v>2.1813461738143514E-2</v>
      </c>
    </row>
    <row r="730" spans="9:12" x14ac:dyDescent="0.2">
      <c r="I730" s="129">
        <v>2008</v>
      </c>
      <c r="J730" s="132" t="s">
        <v>324</v>
      </c>
      <c r="K730" s="132">
        <v>147958</v>
      </c>
      <c r="L730" s="140">
        <f t="shared" si="13"/>
        <v>3.2982318197894534E-4</v>
      </c>
    </row>
    <row r="731" spans="9:12" x14ac:dyDescent="0.2">
      <c r="I731" s="129">
        <v>2008</v>
      </c>
      <c r="J731" s="132" t="s">
        <v>325</v>
      </c>
      <c r="K731" s="132">
        <v>249546</v>
      </c>
      <c r="L731" s="140">
        <f t="shared" si="13"/>
        <v>5.5627986165072453E-4</v>
      </c>
    </row>
    <row r="732" spans="9:12" x14ac:dyDescent="0.2">
      <c r="I732" s="129">
        <v>2008</v>
      </c>
      <c r="J732" s="132" t="s">
        <v>326</v>
      </c>
      <c r="K732" s="132">
        <v>18381</v>
      </c>
      <c r="L732" s="140">
        <f t="shared" si="13"/>
        <v>4.0974329931162859E-5</v>
      </c>
    </row>
    <row r="733" spans="9:12" x14ac:dyDescent="0.2">
      <c r="I733" s="129">
        <v>2008</v>
      </c>
      <c r="J733" s="132" t="s">
        <v>327</v>
      </c>
      <c r="K733" s="132">
        <v>87715</v>
      </c>
      <c r="L733" s="140">
        <f t="shared" si="13"/>
        <v>1.9553143734899898E-4</v>
      </c>
    </row>
    <row r="734" spans="9:12" x14ac:dyDescent="0.2">
      <c r="I734" s="129">
        <v>2008</v>
      </c>
      <c r="J734" s="132" t="s">
        <v>328</v>
      </c>
      <c r="K734" s="132">
        <v>250734</v>
      </c>
      <c r="L734" s="140">
        <f t="shared" si="13"/>
        <v>5.5892811277733466E-4</v>
      </c>
    </row>
    <row r="735" spans="9:12" x14ac:dyDescent="0.2">
      <c r="I735" s="129">
        <v>2008</v>
      </c>
      <c r="J735" s="132" t="s">
        <v>329</v>
      </c>
      <c r="K735" s="132">
        <v>9607</v>
      </c>
      <c r="L735" s="140">
        <f t="shared" si="13"/>
        <v>2.1415613277225482E-5</v>
      </c>
    </row>
    <row r="736" spans="9:12" x14ac:dyDescent="0.2">
      <c r="I736" s="129">
        <v>2008</v>
      </c>
      <c r="J736" s="132" t="s">
        <v>330</v>
      </c>
      <c r="K736" s="132">
        <v>14143</v>
      </c>
      <c r="L736" s="140">
        <f t="shared" si="13"/>
        <v>3.1527117578827938E-5</v>
      </c>
    </row>
    <row r="737" spans="9:12" x14ac:dyDescent="0.2">
      <c r="I737" s="129">
        <v>2008</v>
      </c>
      <c r="J737" s="132" t="s">
        <v>331</v>
      </c>
      <c r="K737" s="132">
        <v>409387</v>
      </c>
      <c r="L737" s="140">
        <f t="shared" si="13"/>
        <v>9.1259224239861642E-4</v>
      </c>
    </row>
    <row r="738" spans="9:12" x14ac:dyDescent="0.2">
      <c r="I738" s="129">
        <v>2008</v>
      </c>
      <c r="J738" s="132" t="s">
        <v>332</v>
      </c>
      <c r="K738" s="132">
        <v>133969</v>
      </c>
      <c r="L738" s="140">
        <f t="shared" si="13"/>
        <v>2.9863935621282612E-4</v>
      </c>
    </row>
    <row r="739" spans="9:12" x14ac:dyDescent="0.2">
      <c r="I739" s="129">
        <v>2008</v>
      </c>
      <c r="J739" s="132" t="s">
        <v>333</v>
      </c>
      <c r="K739" s="132">
        <v>98581</v>
      </c>
      <c r="L739" s="140">
        <f t="shared" si="13"/>
        <v>2.1975357265349902E-4</v>
      </c>
    </row>
    <row r="740" spans="9:12" x14ac:dyDescent="0.2">
      <c r="I740" s="129">
        <v>2008</v>
      </c>
      <c r="J740" s="132" t="s">
        <v>334</v>
      </c>
      <c r="K740" s="132">
        <v>2974321</v>
      </c>
      <c r="L740" s="140">
        <f t="shared" si="13"/>
        <v>6.6302600497897962E-3</v>
      </c>
    </row>
    <row r="741" spans="9:12" x14ac:dyDescent="0.2">
      <c r="I741" s="129">
        <v>2008</v>
      </c>
      <c r="J741" s="132" t="s">
        <v>335</v>
      </c>
      <c r="K741" s="132">
        <v>333805</v>
      </c>
      <c r="L741" s="140">
        <f t="shared" si="13"/>
        <v>7.4410729572231202E-4</v>
      </c>
    </row>
    <row r="742" spans="9:12" x14ac:dyDescent="0.2">
      <c r="I742" s="129">
        <v>2008</v>
      </c>
      <c r="J742" s="132" t="s">
        <v>336</v>
      </c>
      <c r="K742" s="132">
        <v>20483</v>
      </c>
      <c r="L742" s="140">
        <f t="shared" si="13"/>
        <v>4.5660040257875457E-5</v>
      </c>
    </row>
    <row r="743" spans="9:12" x14ac:dyDescent="0.2">
      <c r="I743" s="129">
        <v>2008</v>
      </c>
      <c r="J743" s="132" t="s">
        <v>337</v>
      </c>
      <c r="K743" s="132">
        <v>2102741</v>
      </c>
      <c r="L743" s="140">
        <f t="shared" si="13"/>
        <v>4.6873621399153107E-3</v>
      </c>
    </row>
    <row r="744" spans="9:12" x14ac:dyDescent="0.2">
      <c r="I744" s="129">
        <v>2008</v>
      </c>
      <c r="J744" s="132" t="s">
        <v>338</v>
      </c>
      <c r="K744" s="132">
        <v>1394510</v>
      </c>
      <c r="L744" s="140">
        <f t="shared" si="13"/>
        <v>3.1085965307821074E-3</v>
      </c>
    </row>
    <row r="745" spans="9:12" x14ac:dyDescent="0.2">
      <c r="I745" s="129">
        <v>2008</v>
      </c>
      <c r="J745" s="132" t="s">
        <v>339</v>
      </c>
      <c r="K745" s="132">
        <v>55022</v>
      </c>
      <c r="L745" s="140">
        <f t="shared" si="13"/>
        <v>1.2265326051207458E-4</v>
      </c>
    </row>
    <row r="746" spans="9:12" x14ac:dyDescent="0.2">
      <c r="I746" s="129">
        <v>2008</v>
      </c>
      <c r="J746" s="132" t="s">
        <v>340</v>
      </c>
      <c r="K746" s="132">
        <v>2009594</v>
      </c>
      <c r="L746" s="140">
        <f t="shared" si="13"/>
        <v>4.4797218640816767E-3</v>
      </c>
    </row>
    <row r="747" spans="9:12" x14ac:dyDescent="0.2">
      <c r="I747" s="129">
        <v>2008</v>
      </c>
      <c r="J747" s="132" t="s">
        <v>341</v>
      </c>
      <c r="K747" s="132">
        <v>3032689</v>
      </c>
      <c r="L747" s="140">
        <f t="shared" si="13"/>
        <v>6.760372105141633E-3</v>
      </c>
    </row>
    <row r="748" spans="9:12" x14ac:dyDescent="0.2">
      <c r="I748" s="129">
        <v>2008</v>
      </c>
      <c r="J748" s="132" t="s">
        <v>342</v>
      </c>
      <c r="K748" s="132">
        <v>795002</v>
      </c>
      <c r="L748" s="140">
        <f t="shared" si="13"/>
        <v>1.7721927122536496E-3</v>
      </c>
    </row>
    <row r="749" spans="9:12" x14ac:dyDescent="0.2">
      <c r="I749" s="129">
        <v>2008</v>
      </c>
      <c r="J749" s="132" t="s">
        <v>343</v>
      </c>
      <c r="K749" s="132">
        <v>672492</v>
      </c>
      <c r="L749" s="140">
        <f t="shared" si="13"/>
        <v>1.4990973877410138E-3</v>
      </c>
    </row>
    <row r="750" spans="9:12" x14ac:dyDescent="0.2">
      <c r="I750" s="129">
        <v>2008</v>
      </c>
      <c r="J750" s="132" t="s">
        <v>344</v>
      </c>
      <c r="K750" s="132">
        <v>265505</v>
      </c>
      <c r="L750" s="140">
        <f t="shared" si="13"/>
        <v>5.9185514761837734E-4</v>
      </c>
    </row>
    <row r="751" spans="9:12" x14ac:dyDescent="0.2">
      <c r="I751" s="129">
        <v>2008</v>
      </c>
      <c r="J751" s="132" t="s">
        <v>345</v>
      </c>
      <c r="K751" s="132">
        <v>707820</v>
      </c>
      <c r="L751" s="140">
        <f t="shared" si="13"/>
        <v>1.5778494212434413E-3</v>
      </c>
    </row>
    <row r="752" spans="9:12" x14ac:dyDescent="0.2">
      <c r="I752" s="129">
        <v>2008</v>
      </c>
      <c r="J752" s="132" t="s">
        <v>346</v>
      </c>
      <c r="K752" s="132">
        <v>418309</v>
      </c>
      <c r="L752" s="140">
        <f t="shared" si="13"/>
        <v>9.3248087585957266E-4</v>
      </c>
    </row>
    <row r="753" spans="9:12" x14ac:dyDescent="0.2">
      <c r="I753" s="129">
        <v>2008</v>
      </c>
      <c r="J753" s="132" t="s">
        <v>347</v>
      </c>
      <c r="K753" s="132">
        <v>1747912</v>
      </c>
      <c r="L753" s="140">
        <f t="shared" si="13"/>
        <v>3.8963888242554124E-3</v>
      </c>
    </row>
    <row r="754" spans="9:12" x14ac:dyDescent="0.2">
      <c r="I754" s="129">
        <v>2008</v>
      </c>
      <c r="J754" s="132" t="s">
        <v>348</v>
      </c>
      <c r="K754" s="132">
        <v>258737</v>
      </c>
      <c r="L754" s="140">
        <f t="shared" si="13"/>
        <v>5.7676814120011341E-4</v>
      </c>
    </row>
    <row r="755" spans="9:12" x14ac:dyDescent="0.2">
      <c r="I755" s="129">
        <v>2008</v>
      </c>
      <c r="J755" s="132" t="s">
        <v>349</v>
      </c>
      <c r="K755" s="132">
        <v>176240</v>
      </c>
      <c r="L755" s="140">
        <f t="shared" si="13"/>
        <v>3.9286850046614123E-4</v>
      </c>
    </row>
    <row r="756" spans="9:12" x14ac:dyDescent="0.2">
      <c r="I756" s="129">
        <v>2008</v>
      </c>
      <c r="J756" s="132" t="s">
        <v>350</v>
      </c>
      <c r="K756" s="132">
        <v>3314</v>
      </c>
      <c r="L756" s="140">
        <f t="shared" si="13"/>
        <v>7.3874614760825692E-6</v>
      </c>
    </row>
    <row r="757" spans="9:12" x14ac:dyDescent="0.2">
      <c r="I757" s="129">
        <v>2008</v>
      </c>
      <c r="J757" s="132" t="s">
        <v>351</v>
      </c>
      <c r="K757" s="132">
        <v>44952</v>
      </c>
      <c r="L757" s="140">
        <f t="shared" si="13"/>
        <v>1.0020554262910793E-4</v>
      </c>
    </row>
    <row r="758" spans="9:12" x14ac:dyDescent="0.2">
      <c r="I758" s="129">
        <v>2008</v>
      </c>
      <c r="J758" s="132" t="s">
        <v>352</v>
      </c>
      <c r="K758" s="132">
        <v>412908</v>
      </c>
      <c r="L758" s="140">
        <f t="shared" si="13"/>
        <v>9.2044114157100235E-4</v>
      </c>
    </row>
    <row r="759" spans="9:12" x14ac:dyDescent="0.2">
      <c r="I759" s="129">
        <v>2008</v>
      </c>
      <c r="J759" s="132" t="s">
        <v>353</v>
      </c>
      <c r="K759" s="132">
        <v>474819</v>
      </c>
      <c r="L759" s="140">
        <f t="shared" si="13"/>
        <v>1.0584511377827548E-3</v>
      </c>
    </row>
    <row r="760" spans="9:12" x14ac:dyDescent="0.2">
      <c r="I760" s="129">
        <v>2008</v>
      </c>
      <c r="J760" s="132" t="s">
        <v>354</v>
      </c>
      <c r="K760" s="132">
        <v>509389</v>
      </c>
      <c r="L760" s="140">
        <f t="shared" si="13"/>
        <v>1.1355134622330187E-3</v>
      </c>
    </row>
    <row r="761" spans="9:12" x14ac:dyDescent="0.2">
      <c r="I761" s="129">
        <v>2008</v>
      </c>
      <c r="J761" s="132" t="s">
        <v>355</v>
      </c>
      <c r="K761" s="132">
        <v>92983</v>
      </c>
      <c r="L761" s="140">
        <f t="shared" si="13"/>
        <v>2.0727469234477536E-4</v>
      </c>
    </row>
    <row r="762" spans="9:12" x14ac:dyDescent="0.2">
      <c r="I762" s="129">
        <v>2008</v>
      </c>
      <c r="J762" s="132" t="s">
        <v>356</v>
      </c>
      <c r="K762" s="132">
        <v>62365</v>
      </c>
      <c r="L762" s="140">
        <f t="shared" si="13"/>
        <v>1.390220383089588E-4</v>
      </c>
    </row>
    <row r="763" spans="9:12" x14ac:dyDescent="0.2">
      <c r="I763" s="129">
        <v>2008</v>
      </c>
      <c r="J763" s="132" t="s">
        <v>357</v>
      </c>
      <c r="K763" s="132">
        <v>13759</v>
      </c>
      <c r="L763" s="140">
        <f t="shared" si="13"/>
        <v>3.0671117214671114E-5</v>
      </c>
    </row>
    <row r="764" spans="9:12" x14ac:dyDescent="0.2">
      <c r="I764" s="129">
        <v>2008</v>
      </c>
      <c r="J764" s="132" t="s">
        <v>358</v>
      </c>
      <c r="K764" s="132">
        <v>427531</v>
      </c>
      <c r="L764" s="140">
        <f t="shared" si="13"/>
        <v>9.530382596050263E-4</v>
      </c>
    </row>
    <row r="765" spans="9:12" x14ac:dyDescent="0.2">
      <c r="I765" s="129">
        <v>2008</v>
      </c>
      <c r="J765" s="132" t="s">
        <v>359</v>
      </c>
      <c r="K765" s="132">
        <v>56098</v>
      </c>
      <c r="L765" s="140">
        <f t="shared" si="13"/>
        <v>1.2505184486580567E-4</v>
      </c>
    </row>
    <row r="766" spans="9:12" x14ac:dyDescent="0.2">
      <c r="I766" s="129">
        <v>2008</v>
      </c>
      <c r="J766" s="132" t="s">
        <v>360</v>
      </c>
      <c r="K766" s="132">
        <v>808970</v>
      </c>
      <c r="L766" s="140">
        <f t="shared" si="13"/>
        <v>1.803329725499854E-3</v>
      </c>
    </row>
    <row r="767" spans="9:12" x14ac:dyDescent="0.2">
      <c r="I767" s="129">
        <v>2008</v>
      </c>
      <c r="J767" s="132" t="s">
        <v>361</v>
      </c>
      <c r="K767" s="132">
        <v>196219</v>
      </c>
      <c r="L767" s="140">
        <f t="shared" si="13"/>
        <v>4.3740504024606086E-4</v>
      </c>
    </row>
    <row r="768" spans="9:12" x14ac:dyDescent="0.2">
      <c r="I768" s="129">
        <v>2008</v>
      </c>
      <c r="J768" s="132" t="s">
        <v>362</v>
      </c>
      <c r="K768" s="132">
        <v>70820</v>
      </c>
      <c r="L768" s="140">
        <f t="shared" si="13"/>
        <v>1.5786965049371381E-4</v>
      </c>
    </row>
    <row r="769" spans="9:12" x14ac:dyDescent="0.2">
      <c r="I769" s="129">
        <v>2008</v>
      </c>
      <c r="J769" s="132" t="s">
        <v>363</v>
      </c>
      <c r="K769" s="132">
        <v>36704375</v>
      </c>
      <c r="L769" s="140">
        <f t="shared" si="13"/>
        <v>8.1820204078511816E-2</v>
      </c>
    </row>
    <row r="770" spans="9:12" x14ac:dyDescent="0.2">
      <c r="I770" s="129">
        <v>2007</v>
      </c>
      <c r="J770" s="132" t="s">
        <v>305</v>
      </c>
      <c r="K770" s="132">
        <v>1470622</v>
      </c>
      <c r="L770" s="140">
        <f t="shared" si="13"/>
        <v>3.3128919663235985E-3</v>
      </c>
    </row>
    <row r="771" spans="9:12" x14ac:dyDescent="0.2">
      <c r="I771" s="129">
        <v>2007</v>
      </c>
      <c r="J771" s="132" t="s">
        <v>306</v>
      </c>
      <c r="K771" s="132">
        <v>1252</v>
      </c>
      <c r="L771" s="140">
        <f t="shared" si="13"/>
        <v>2.8203989480894108E-6</v>
      </c>
    </row>
    <row r="772" spans="9:12" x14ac:dyDescent="0.2">
      <c r="I772" s="129">
        <v>2007</v>
      </c>
      <c r="J772" s="132" t="s">
        <v>307</v>
      </c>
      <c r="K772" s="132">
        <v>38025</v>
      </c>
      <c r="L772" s="140">
        <f t="shared" ref="L772:L835" si="14">K772/VLOOKUP(I772,$A$3:$E$18,5,FALSE)</f>
        <v>8.5659480831549396E-5</v>
      </c>
    </row>
    <row r="773" spans="9:12" x14ac:dyDescent="0.2">
      <c r="I773" s="129">
        <v>2007</v>
      </c>
      <c r="J773" s="132" t="s">
        <v>308</v>
      </c>
      <c r="K773" s="132">
        <v>216401</v>
      </c>
      <c r="L773" s="140">
        <f t="shared" si="14"/>
        <v>4.874897386305883E-4</v>
      </c>
    </row>
    <row r="774" spans="9:12" x14ac:dyDescent="0.2">
      <c r="I774" s="129">
        <v>2007</v>
      </c>
      <c r="J774" s="132" t="s">
        <v>309</v>
      </c>
      <c r="K774" s="132">
        <v>45477</v>
      </c>
      <c r="L774" s="140">
        <f t="shared" si="14"/>
        <v>1.0244671163119978E-4</v>
      </c>
    </row>
    <row r="775" spans="9:12" x14ac:dyDescent="0.2">
      <c r="I775" s="129">
        <v>2007</v>
      </c>
      <c r="J775" s="132" t="s">
        <v>310</v>
      </c>
      <c r="K775" s="132">
        <v>21006</v>
      </c>
      <c r="L775" s="140">
        <f t="shared" si="14"/>
        <v>4.7320527399014503E-5</v>
      </c>
    </row>
    <row r="776" spans="9:12" x14ac:dyDescent="0.2">
      <c r="I776" s="129">
        <v>2007</v>
      </c>
      <c r="J776" s="132" t="s">
        <v>311</v>
      </c>
      <c r="K776" s="132">
        <v>1015672</v>
      </c>
      <c r="L776" s="140">
        <f t="shared" si="14"/>
        <v>2.2880193613449423E-3</v>
      </c>
    </row>
    <row r="777" spans="9:12" x14ac:dyDescent="0.2">
      <c r="I777" s="129">
        <v>2007</v>
      </c>
      <c r="J777" s="132" t="s">
        <v>312</v>
      </c>
      <c r="K777" s="132">
        <v>28378</v>
      </c>
      <c r="L777" s="140">
        <f t="shared" si="14"/>
        <v>6.392754101348347E-5</v>
      </c>
    </row>
    <row r="778" spans="9:12" x14ac:dyDescent="0.2">
      <c r="I778" s="129">
        <v>2007</v>
      </c>
      <c r="J778" s="132" t="s">
        <v>313</v>
      </c>
      <c r="K778" s="132">
        <v>176226</v>
      </c>
      <c r="L778" s="140">
        <f t="shared" si="14"/>
        <v>3.9698692094728794E-4</v>
      </c>
    </row>
    <row r="779" spans="9:12" x14ac:dyDescent="0.2">
      <c r="I779" s="129">
        <v>2007</v>
      </c>
      <c r="J779" s="132" t="s">
        <v>314</v>
      </c>
      <c r="K779" s="132">
        <v>893088</v>
      </c>
      <c r="L779" s="140">
        <f t="shared" si="14"/>
        <v>2.0118725684914341E-3</v>
      </c>
    </row>
    <row r="780" spans="9:12" x14ac:dyDescent="0.2">
      <c r="I780" s="129">
        <v>2007</v>
      </c>
      <c r="J780" s="132" t="s">
        <v>315</v>
      </c>
      <c r="K780" s="132">
        <v>27872</v>
      </c>
      <c r="L780" s="140">
        <f t="shared" si="14"/>
        <v>6.278766731721091E-5</v>
      </c>
    </row>
    <row r="781" spans="9:12" x14ac:dyDescent="0.2">
      <c r="I781" s="129">
        <v>2007</v>
      </c>
      <c r="J781" s="132" t="s">
        <v>316</v>
      </c>
      <c r="K781" s="132">
        <v>132443</v>
      </c>
      <c r="L781" s="140">
        <f t="shared" si="14"/>
        <v>2.9835630821230496E-4</v>
      </c>
    </row>
    <row r="782" spans="9:12" x14ac:dyDescent="0.2">
      <c r="I782" s="129">
        <v>2007</v>
      </c>
      <c r="J782" s="132" t="s">
        <v>317</v>
      </c>
      <c r="K782" s="132">
        <v>164707</v>
      </c>
      <c r="L782" s="140">
        <f t="shared" si="14"/>
        <v>3.7103789899597652E-4</v>
      </c>
    </row>
    <row r="783" spans="9:12" x14ac:dyDescent="0.2">
      <c r="I783" s="129">
        <v>2007</v>
      </c>
      <c r="J783" s="132" t="s">
        <v>318</v>
      </c>
      <c r="K783" s="132">
        <v>18434</v>
      </c>
      <c r="L783" s="140">
        <f t="shared" si="14"/>
        <v>4.1526544895431465E-5</v>
      </c>
    </row>
    <row r="784" spans="9:12" x14ac:dyDescent="0.2">
      <c r="I784" s="129">
        <v>2007</v>
      </c>
      <c r="J784" s="132" t="s">
        <v>319</v>
      </c>
      <c r="K784" s="132">
        <v>795982</v>
      </c>
      <c r="L784" s="140">
        <f t="shared" si="14"/>
        <v>1.7931204436885824E-3</v>
      </c>
    </row>
    <row r="785" spans="9:12" x14ac:dyDescent="0.2">
      <c r="I785" s="129">
        <v>2007</v>
      </c>
      <c r="J785" s="132" t="s">
        <v>320</v>
      </c>
      <c r="K785" s="132">
        <v>148933</v>
      </c>
      <c r="L785" s="140">
        <f t="shared" si="14"/>
        <v>3.3550357550782766E-4</v>
      </c>
    </row>
    <row r="786" spans="9:12" x14ac:dyDescent="0.2">
      <c r="I786" s="129">
        <v>2007</v>
      </c>
      <c r="J786" s="132" t="s">
        <v>321</v>
      </c>
      <c r="K786" s="132">
        <v>63890</v>
      </c>
      <c r="L786" s="140">
        <f t="shared" si="14"/>
        <v>1.4392594951552113E-4</v>
      </c>
    </row>
    <row r="787" spans="9:12" x14ac:dyDescent="0.2">
      <c r="I787" s="129">
        <v>2007</v>
      </c>
      <c r="J787" s="132" t="s">
        <v>322</v>
      </c>
      <c r="K787" s="132">
        <v>35379</v>
      </c>
      <c r="L787" s="140">
        <f t="shared" si="14"/>
        <v>7.9698797431673531E-5</v>
      </c>
    </row>
    <row r="788" spans="9:12" x14ac:dyDescent="0.2">
      <c r="I788" s="129">
        <v>2007</v>
      </c>
      <c r="J788" s="132" t="s">
        <v>323</v>
      </c>
      <c r="K788" s="132">
        <v>9780808</v>
      </c>
      <c r="L788" s="140">
        <f t="shared" si="14"/>
        <v>2.2033371082000396E-2</v>
      </c>
    </row>
    <row r="789" spans="9:12" x14ac:dyDescent="0.2">
      <c r="I789" s="129">
        <v>2007</v>
      </c>
      <c r="J789" s="132" t="s">
        <v>324</v>
      </c>
      <c r="K789" s="132">
        <v>145163</v>
      </c>
      <c r="L789" s="140">
        <f t="shared" si="14"/>
        <v>3.2701084065615268E-4</v>
      </c>
    </row>
    <row r="790" spans="9:12" x14ac:dyDescent="0.2">
      <c r="I790" s="129">
        <v>2007</v>
      </c>
      <c r="J790" s="132" t="s">
        <v>325</v>
      </c>
      <c r="K790" s="132">
        <v>248025</v>
      </c>
      <c r="L790" s="140">
        <f t="shared" si="14"/>
        <v>5.5872959193280843E-4</v>
      </c>
    </row>
    <row r="791" spans="9:12" x14ac:dyDescent="0.2">
      <c r="I791" s="129">
        <v>2007</v>
      </c>
      <c r="J791" s="132" t="s">
        <v>326</v>
      </c>
      <c r="K791" s="132">
        <v>18310</v>
      </c>
      <c r="L791" s="140">
        <f t="shared" si="14"/>
        <v>4.1247208258400251E-5</v>
      </c>
    </row>
    <row r="792" spans="9:12" x14ac:dyDescent="0.2">
      <c r="I792" s="129">
        <v>2007</v>
      </c>
      <c r="J792" s="132" t="s">
        <v>327</v>
      </c>
      <c r="K792" s="132">
        <v>87617</v>
      </c>
      <c r="L792" s="140">
        <f t="shared" si="14"/>
        <v>1.9737611392551909E-4</v>
      </c>
    </row>
    <row r="793" spans="9:12" x14ac:dyDescent="0.2">
      <c r="I793" s="129">
        <v>2007</v>
      </c>
      <c r="J793" s="132" t="s">
        <v>328</v>
      </c>
      <c r="K793" s="132">
        <v>247542</v>
      </c>
      <c r="L793" s="140">
        <f t="shared" si="14"/>
        <v>5.5764153067727545E-4</v>
      </c>
    </row>
    <row r="794" spans="9:12" x14ac:dyDescent="0.2">
      <c r="I794" s="129">
        <v>2007</v>
      </c>
      <c r="J794" s="132" t="s">
        <v>329</v>
      </c>
      <c r="K794" s="132">
        <v>9615</v>
      </c>
      <c r="L794" s="140">
        <f t="shared" si="14"/>
        <v>2.1659852943993359E-5</v>
      </c>
    </row>
    <row r="795" spans="9:12" x14ac:dyDescent="0.2">
      <c r="I795" s="129">
        <v>2007</v>
      </c>
      <c r="J795" s="132" t="s">
        <v>330</v>
      </c>
      <c r="K795" s="132">
        <v>14182</v>
      </c>
      <c r="L795" s="140">
        <f t="shared" si="14"/>
        <v>3.1948001503038355E-5</v>
      </c>
    </row>
    <row r="796" spans="9:12" x14ac:dyDescent="0.2">
      <c r="I796" s="129">
        <v>2007</v>
      </c>
      <c r="J796" s="132" t="s">
        <v>331</v>
      </c>
      <c r="K796" s="132">
        <v>406890</v>
      </c>
      <c r="L796" s="140">
        <f t="shared" si="14"/>
        <v>9.1660713098091085E-4</v>
      </c>
    </row>
    <row r="797" spans="9:12" x14ac:dyDescent="0.2">
      <c r="I797" s="129">
        <v>2007</v>
      </c>
      <c r="J797" s="132" t="s">
        <v>332</v>
      </c>
      <c r="K797" s="132">
        <v>132537</v>
      </c>
      <c r="L797" s="140">
        <f t="shared" si="14"/>
        <v>2.9856806340489313E-4</v>
      </c>
    </row>
    <row r="798" spans="9:12" x14ac:dyDescent="0.2">
      <c r="I798" s="129">
        <v>2007</v>
      </c>
      <c r="J798" s="132" t="s">
        <v>333</v>
      </c>
      <c r="K798" s="132">
        <v>98408</v>
      </c>
      <c r="L798" s="140">
        <f t="shared" si="14"/>
        <v>2.216851594916795E-4</v>
      </c>
    </row>
    <row r="799" spans="9:12" x14ac:dyDescent="0.2">
      <c r="I799" s="129">
        <v>2007</v>
      </c>
      <c r="J799" s="132" t="s">
        <v>334</v>
      </c>
      <c r="K799" s="132">
        <v>2960659</v>
      </c>
      <c r="L799" s="140">
        <f t="shared" si="14"/>
        <v>6.6695203907759159E-3</v>
      </c>
    </row>
    <row r="800" spans="9:12" x14ac:dyDescent="0.2">
      <c r="I800" s="129">
        <v>2007</v>
      </c>
      <c r="J800" s="132" t="s">
        <v>335</v>
      </c>
      <c r="K800" s="132">
        <v>325985</v>
      </c>
      <c r="L800" s="140">
        <f t="shared" si="14"/>
        <v>7.3435123889211383E-4</v>
      </c>
    </row>
    <row r="801" spans="9:12" x14ac:dyDescent="0.2">
      <c r="I801" s="129">
        <v>2007</v>
      </c>
      <c r="J801" s="132" t="s">
        <v>336</v>
      </c>
      <c r="K801" s="132">
        <v>20654</v>
      </c>
      <c r="L801" s="140">
        <f t="shared" si="14"/>
        <v>4.6527571784216203E-5</v>
      </c>
    </row>
    <row r="802" spans="9:12" x14ac:dyDescent="0.2">
      <c r="I802" s="129">
        <v>2007</v>
      </c>
      <c r="J802" s="132" t="s">
        <v>337</v>
      </c>
      <c r="K802" s="132">
        <v>2049902</v>
      </c>
      <c r="L802" s="140">
        <f t="shared" si="14"/>
        <v>4.6178446042223478E-3</v>
      </c>
    </row>
    <row r="803" spans="9:12" x14ac:dyDescent="0.2">
      <c r="I803" s="129">
        <v>2007</v>
      </c>
      <c r="J803" s="132" t="s">
        <v>338</v>
      </c>
      <c r="K803" s="132">
        <v>1380172</v>
      </c>
      <c r="L803" s="140">
        <f t="shared" si="14"/>
        <v>3.1091339113278418E-3</v>
      </c>
    </row>
    <row r="804" spans="9:12" x14ac:dyDescent="0.2">
      <c r="I804" s="129">
        <v>2007</v>
      </c>
      <c r="J804" s="132" t="s">
        <v>339</v>
      </c>
      <c r="K804" s="132">
        <v>54948</v>
      </c>
      <c r="L804" s="140">
        <f t="shared" si="14"/>
        <v>1.2378217364186655E-4</v>
      </c>
    </row>
    <row r="805" spans="9:12" x14ac:dyDescent="0.2">
      <c r="I805" s="129">
        <v>2007</v>
      </c>
      <c r="J805" s="132" t="s">
        <v>340</v>
      </c>
      <c r="K805" s="132">
        <v>1989690</v>
      </c>
      <c r="L805" s="140">
        <f t="shared" si="14"/>
        <v>4.4822041397955432E-3</v>
      </c>
    </row>
    <row r="806" spans="9:12" x14ac:dyDescent="0.2">
      <c r="I806" s="129">
        <v>2007</v>
      </c>
      <c r="J806" s="132" t="s">
        <v>341</v>
      </c>
      <c r="K806" s="132">
        <v>2998477</v>
      </c>
      <c r="L806" s="140">
        <f t="shared" si="14"/>
        <v>6.7547135596408084E-3</v>
      </c>
    </row>
    <row r="807" spans="9:12" x14ac:dyDescent="0.2">
      <c r="I807" s="129">
        <v>2007</v>
      </c>
      <c r="J807" s="132" t="s">
        <v>342</v>
      </c>
      <c r="K807" s="132">
        <v>787127</v>
      </c>
      <c r="L807" s="140">
        <f t="shared" si="14"/>
        <v>1.7731726540038129E-3</v>
      </c>
    </row>
    <row r="808" spans="9:12" x14ac:dyDescent="0.2">
      <c r="I808" s="129">
        <v>2007</v>
      </c>
      <c r="J808" s="132" t="s">
        <v>343</v>
      </c>
      <c r="K808" s="132">
        <v>665304</v>
      </c>
      <c r="L808" s="140">
        <f t="shared" si="14"/>
        <v>1.4987401771243429E-3</v>
      </c>
    </row>
    <row r="809" spans="9:12" x14ac:dyDescent="0.2">
      <c r="I809" s="129">
        <v>2007</v>
      </c>
      <c r="J809" s="132" t="s">
        <v>344</v>
      </c>
      <c r="K809" s="132">
        <v>262982</v>
      </c>
      <c r="L809" s="140">
        <f t="shared" si="14"/>
        <v>5.9242344741729182E-4</v>
      </c>
    </row>
    <row r="810" spans="9:12" x14ac:dyDescent="0.2">
      <c r="I810" s="129">
        <v>2007</v>
      </c>
      <c r="J810" s="132" t="s">
        <v>345</v>
      </c>
      <c r="K810" s="132">
        <v>701838</v>
      </c>
      <c r="L810" s="140">
        <f t="shared" si="14"/>
        <v>1.5810408601670733E-3</v>
      </c>
    </row>
    <row r="811" spans="9:12" x14ac:dyDescent="0.2">
      <c r="I811" s="129">
        <v>2007</v>
      </c>
      <c r="J811" s="132" t="s">
        <v>346</v>
      </c>
      <c r="K811" s="132">
        <v>414750</v>
      </c>
      <c r="L811" s="140">
        <f t="shared" si="14"/>
        <v>9.343134694249865E-4</v>
      </c>
    </row>
    <row r="812" spans="9:12" x14ac:dyDescent="0.2">
      <c r="I812" s="129">
        <v>2007</v>
      </c>
      <c r="J812" s="132" t="s">
        <v>347</v>
      </c>
      <c r="K812" s="132">
        <v>1725066</v>
      </c>
      <c r="L812" s="140">
        <f t="shared" si="14"/>
        <v>3.8860817346524023E-3</v>
      </c>
    </row>
    <row r="813" spans="9:12" x14ac:dyDescent="0.2">
      <c r="I813" s="129">
        <v>2007</v>
      </c>
      <c r="J813" s="132" t="s">
        <v>348</v>
      </c>
      <c r="K813" s="132">
        <v>256543</v>
      </c>
      <c r="L813" s="140">
        <f t="shared" si="14"/>
        <v>5.7791821672500141E-4</v>
      </c>
    </row>
    <row r="814" spans="9:12" x14ac:dyDescent="0.2">
      <c r="I814" s="129">
        <v>2007</v>
      </c>
      <c r="J814" s="132" t="s">
        <v>349</v>
      </c>
      <c r="K814" s="132">
        <v>175546</v>
      </c>
      <c r="L814" s="140">
        <f t="shared" si="14"/>
        <v>3.9545507487324575E-4</v>
      </c>
    </row>
    <row r="815" spans="9:12" x14ac:dyDescent="0.2">
      <c r="I815" s="129">
        <v>2007</v>
      </c>
      <c r="J815" s="132" t="s">
        <v>350</v>
      </c>
      <c r="K815" s="132">
        <v>3384</v>
      </c>
      <c r="L815" s="140">
        <f t="shared" si="14"/>
        <v>7.6231869331745735E-6</v>
      </c>
    </row>
    <row r="816" spans="9:12" x14ac:dyDescent="0.2">
      <c r="I816" s="129">
        <v>2007</v>
      </c>
      <c r="J816" s="132" t="s">
        <v>351</v>
      </c>
      <c r="K816" s="132">
        <v>44877</v>
      </c>
      <c r="L816" s="140">
        <f t="shared" si="14"/>
        <v>1.0109508274233904E-4</v>
      </c>
    </row>
    <row r="817" spans="9:12" x14ac:dyDescent="0.2">
      <c r="I817" s="129">
        <v>2007</v>
      </c>
      <c r="J817" s="132" t="s">
        <v>352</v>
      </c>
      <c r="K817" s="132">
        <v>411998</v>
      </c>
      <c r="L817" s="140">
        <f t="shared" si="14"/>
        <v>9.2811399825474519E-4</v>
      </c>
    </row>
    <row r="818" spans="9:12" x14ac:dyDescent="0.2">
      <c r="I818" s="129">
        <v>2007</v>
      </c>
      <c r="J818" s="132" t="s">
        <v>353</v>
      </c>
      <c r="K818" s="132">
        <v>471479</v>
      </c>
      <c r="L818" s="140">
        <f t="shared" si="14"/>
        <v>1.0621077281519546E-3</v>
      </c>
    </row>
    <row r="819" spans="9:12" x14ac:dyDescent="0.2">
      <c r="I819" s="129">
        <v>2007</v>
      </c>
      <c r="J819" s="132" t="s">
        <v>354</v>
      </c>
      <c r="K819" s="132">
        <v>505959</v>
      </c>
      <c r="L819" s="140">
        <f t="shared" si="14"/>
        <v>1.1397813349651518E-3</v>
      </c>
    </row>
    <row r="820" spans="9:12" x14ac:dyDescent="0.2">
      <c r="I820" s="129">
        <v>2007</v>
      </c>
      <c r="J820" s="132" t="s">
        <v>355</v>
      </c>
      <c r="K820" s="132">
        <v>91563</v>
      </c>
      <c r="L820" s="140">
        <f t="shared" si="14"/>
        <v>2.0626532658459324E-4</v>
      </c>
    </row>
    <row r="821" spans="9:12" x14ac:dyDescent="0.2">
      <c r="I821" s="129">
        <v>2007</v>
      </c>
      <c r="J821" s="132" t="s">
        <v>356</v>
      </c>
      <c r="K821" s="132">
        <v>61777</v>
      </c>
      <c r="L821" s="140">
        <f t="shared" si="14"/>
        <v>1.3916596311191657E-4</v>
      </c>
    </row>
    <row r="822" spans="9:12" x14ac:dyDescent="0.2">
      <c r="I822" s="129">
        <v>2007</v>
      </c>
      <c r="J822" s="132" t="s">
        <v>357</v>
      </c>
      <c r="K822" s="132">
        <v>13806</v>
      </c>
      <c r="L822" s="140">
        <f t="shared" si="14"/>
        <v>3.1100980732685625E-5</v>
      </c>
    </row>
    <row r="823" spans="9:12" x14ac:dyDescent="0.2">
      <c r="I823" s="129">
        <v>2007</v>
      </c>
      <c r="J823" s="132" t="s">
        <v>358</v>
      </c>
      <c r="K823" s="132">
        <v>419842</v>
      </c>
      <c r="L823" s="140">
        <f t="shared" si="14"/>
        <v>9.4578429326178462E-4</v>
      </c>
    </row>
    <row r="824" spans="9:12" x14ac:dyDescent="0.2">
      <c r="I824" s="129">
        <v>2007</v>
      </c>
      <c r="J824" s="132" t="s">
        <v>359</v>
      </c>
      <c r="K824" s="132">
        <v>56347</v>
      </c>
      <c r="L824" s="140">
        <f t="shared" si="14"/>
        <v>1.2693372166772685E-4</v>
      </c>
    </row>
    <row r="825" spans="9:12" x14ac:dyDescent="0.2">
      <c r="I825" s="129">
        <v>2007</v>
      </c>
      <c r="J825" s="132" t="s">
        <v>360</v>
      </c>
      <c r="K825" s="132">
        <v>803572</v>
      </c>
      <c r="L825" s="140">
        <f t="shared" si="14"/>
        <v>1.8102185491326709E-3</v>
      </c>
    </row>
    <row r="826" spans="9:12" x14ac:dyDescent="0.2">
      <c r="I826" s="129">
        <v>2007</v>
      </c>
      <c r="J826" s="132" t="s">
        <v>361</v>
      </c>
      <c r="K826" s="132">
        <v>192826</v>
      </c>
      <c r="L826" s="140">
        <f t="shared" si="14"/>
        <v>4.3438198687243508E-4</v>
      </c>
    </row>
    <row r="827" spans="9:12" x14ac:dyDescent="0.2">
      <c r="I827" s="129">
        <v>2007</v>
      </c>
      <c r="J827" s="132" t="s">
        <v>362</v>
      </c>
      <c r="K827" s="132">
        <v>69719</v>
      </c>
      <c r="L827" s="140">
        <f t="shared" si="14"/>
        <v>1.5705702417080321E-4</v>
      </c>
    </row>
    <row r="828" spans="9:12" x14ac:dyDescent="0.2">
      <c r="I828" s="129">
        <v>2007</v>
      </c>
      <c r="J828" s="132" t="s">
        <v>363</v>
      </c>
      <c r="K828" s="132">
        <v>36399676</v>
      </c>
      <c r="L828" s="140">
        <f t="shared" si="14"/>
        <v>8.1998089377951569E-2</v>
      </c>
    </row>
    <row r="829" spans="9:12" x14ac:dyDescent="0.2">
      <c r="I829" s="129">
        <v>2006</v>
      </c>
      <c r="J829" s="132" t="s">
        <v>305</v>
      </c>
      <c r="K829" s="132">
        <v>1462371</v>
      </c>
      <c r="L829" s="140">
        <f t="shared" si="14"/>
        <v>3.3298384592151198E-3</v>
      </c>
    </row>
    <row r="830" spans="9:12" x14ac:dyDescent="0.2">
      <c r="I830" s="129">
        <v>2006</v>
      </c>
      <c r="J830" s="132" t="s">
        <v>306</v>
      </c>
      <c r="K830" s="132">
        <v>1232</v>
      </c>
      <c r="L830" s="140">
        <f t="shared" si="14"/>
        <v>2.8052805900506968E-6</v>
      </c>
    </row>
    <row r="831" spans="9:12" x14ac:dyDescent="0.2">
      <c r="I831" s="129">
        <v>2006</v>
      </c>
      <c r="J831" s="132" t="s">
        <v>307</v>
      </c>
      <c r="K831" s="132">
        <v>37843</v>
      </c>
      <c r="L831" s="140">
        <f t="shared" si="14"/>
        <v>8.6169020591954961E-5</v>
      </c>
    </row>
    <row r="832" spans="9:12" x14ac:dyDescent="0.2">
      <c r="I832" s="129">
        <v>2006</v>
      </c>
      <c r="J832" s="132" t="s">
        <v>308</v>
      </c>
      <c r="K832" s="132">
        <v>214690</v>
      </c>
      <c r="L832" s="140">
        <f t="shared" si="14"/>
        <v>4.8885202100485716E-4</v>
      </c>
    </row>
    <row r="833" spans="9:12" x14ac:dyDescent="0.2">
      <c r="I833" s="129">
        <v>2006</v>
      </c>
      <c r="J833" s="132" t="s">
        <v>309</v>
      </c>
      <c r="K833" s="132">
        <v>45044</v>
      </c>
      <c r="L833" s="140">
        <f t="shared" si="14"/>
        <v>1.0256579456026264E-4</v>
      </c>
    </row>
    <row r="834" spans="9:12" x14ac:dyDescent="0.2">
      <c r="I834" s="129">
        <v>2006</v>
      </c>
      <c r="J834" s="132" t="s">
        <v>310</v>
      </c>
      <c r="K834" s="132">
        <v>20729</v>
      </c>
      <c r="L834" s="140">
        <f t="shared" si="14"/>
        <v>4.7200212135682544E-5</v>
      </c>
    </row>
    <row r="835" spans="9:12" x14ac:dyDescent="0.2">
      <c r="I835" s="129">
        <v>2006</v>
      </c>
      <c r="J835" s="132" t="s">
        <v>311</v>
      </c>
      <c r="K835" s="132">
        <v>1007169</v>
      </c>
      <c r="L835" s="140">
        <f t="shared" si="14"/>
        <v>2.2933373754876383E-3</v>
      </c>
    </row>
    <row r="836" spans="9:12" x14ac:dyDescent="0.2">
      <c r="I836" s="129">
        <v>2006</v>
      </c>
      <c r="J836" s="132" t="s">
        <v>312</v>
      </c>
      <c r="K836" s="132">
        <v>28296</v>
      </c>
      <c r="L836" s="140">
        <f t="shared" ref="L836:L899" si="15">K836/VLOOKUP(I836,$A$3:$E$18,5,FALSE)</f>
        <v>6.4430373032528008E-5</v>
      </c>
    </row>
    <row r="837" spans="9:12" x14ac:dyDescent="0.2">
      <c r="I837" s="129">
        <v>2006</v>
      </c>
      <c r="J837" s="132" t="s">
        <v>313</v>
      </c>
      <c r="K837" s="132">
        <v>174218</v>
      </c>
      <c r="L837" s="140">
        <f t="shared" si="15"/>
        <v>3.9669673201091904E-4</v>
      </c>
    </row>
    <row r="838" spans="9:12" x14ac:dyDescent="0.2">
      <c r="I838" s="129">
        <v>2006</v>
      </c>
      <c r="J838" s="132" t="s">
        <v>314</v>
      </c>
      <c r="K838" s="132">
        <v>879128</v>
      </c>
      <c r="L838" s="140">
        <f t="shared" si="15"/>
        <v>2.0017862942939032E-3</v>
      </c>
    </row>
    <row r="839" spans="9:12" x14ac:dyDescent="0.2">
      <c r="I839" s="129">
        <v>2006</v>
      </c>
      <c r="J839" s="132" t="s">
        <v>315</v>
      </c>
      <c r="K839" s="132">
        <v>27628</v>
      </c>
      <c r="L839" s="140">
        <f t="shared" si="15"/>
        <v>6.2909328037273252E-5</v>
      </c>
    </row>
    <row r="840" spans="9:12" x14ac:dyDescent="0.2">
      <c r="I840" s="129">
        <v>2006</v>
      </c>
      <c r="J840" s="132" t="s">
        <v>316</v>
      </c>
      <c r="K840" s="132">
        <v>131958</v>
      </c>
      <c r="L840" s="140">
        <f t="shared" si="15"/>
        <v>3.0047014293986188E-4</v>
      </c>
    </row>
    <row r="841" spans="9:12" x14ac:dyDescent="0.2">
      <c r="I841" s="129">
        <v>2006</v>
      </c>
      <c r="J841" s="132" t="s">
        <v>317</v>
      </c>
      <c r="K841" s="132">
        <v>160088</v>
      </c>
      <c r="L841" s="140">
        <f t="shared" si="15"/>
        <v>3.6452253173704214E-4</v>
      </c>
    </row>
    <row r="842" spans="9:12" x14ac:dyDescent="0.2">
      <c r="I842" s="129">
        <v>2006</v>
      </c>
      <c r="J842" s="132" t="s">
        <v>318</v>
      </c>
      <c r="K842" s="132">
        <v>18442</v>
      </c>
      <c r="L842" s="140">
        <f t="shared" si="15"/>
        <v>4.1992682339054339E-5</v>
      </c>
    </row>
    <row r="843" spans="9:12" x14ac:dyDescent="0.2">
      <c r="I843" s="129">
        <v>2006</v>
      </c>
      <c r="J843" s="132" t="s">
        <v>319</v>
      </c>
      <c r="K843" s="132">
        <v>774062</v>
      </c>
      <c r="L843" s="140">
        <f t="shared" si="15"/>
        <v>1.7625495974803753E-3</v>
      </c>
    </row>
    <row r="844" spans="9:12" x14ac:dyDescent="0.2">
      <c r="I844" s="129">
        <v>2006</v>
      </c>
      <c r="J844" s="132" t="s">
        <v>320</v>
      </c>
      <c r="K844" s="132">
        <v>146045</v>
      </c>
      <c r="L844" s="140">
        <f t="shared" si="15"/>
        <v>3.3254643163470294E-4</v>
      </c>
    </row>
    <row r="845" spans="9:12" x14ac:dyDescent="0.2">
      <c r="I845" s="129">
        <v>2006</v>
      </c>
      <c r="J845" s="132" t="s">
        <v>321</v>
      </c>
      <c r="K845" s="132">
        <v>63449</v>
      </c>
      <c r="L845" s="140">
        <f t="shared" si="15"/>
        <v>1.4447422740107682E-4</v>
      </c>
    </row>
    <row r="846" spans="9:12" x14ac:dyDescent="0.2">
      <c r="I846" s="129">
        <v>2006</v>
      </c>
      <c r="J846" s="132" t="s">
        <v>322</v>
      </c>
      <c r="K846" s="132">
        <v>34769</v>
      </c>
      <c r="L846" s="140">
        <f t="shared" si="15"/>
        <v>7.9169481197623916E-5</v>
      </c>
    </row>
    <row r="847" spans="9:12" x14ac:dyDescent="0.2">
      <c r="I847" s="129">
        <v>2006</v>
      </c>
      <c r="J847" s="132" t="s">
        <v>323</v>
      </c>
      <c r="K847" s="132">
        <v>9798609</v>
      </c>
      <c r="L847" s="140">
        <f t="shared" si="15"/>
        <v>2.2311564640581222E-2</v>
      </c>
    </row>
    <row r="848" spans="9:12" x14ac:dyDescent="0.2">
      <c r="I848" s="129">
        <v>2006</v>
      </c>
      <c r="J848" s="132" t="s">
        <v>324</v>
      </c>
      <c r="K848" s="132">
        <v>141693</v>
      </c>
      <c r="L848" s="140">
        <f t="shared" si="15"/>
        <v>3.2263686903088746E-4</v>
      </c>
    </row>
    <row r="849" spans="9:12" x14ac:dyDescent="0.2">
      <c r="I849" s="129">
        <v>2006</v>
      </c>
      <c r="J849" s="132" t="s">
        <v>325</v>
      </c>
      <c r="K849" s="132">
        <v>246969</v>
      </c>
      <c r="L849" s="140">
        <f t="shared" si="15"/>
        <v>5.6235173867226506E-4</v>
      </c>
    </row>
    <row r="850" spans="9:12" x14ac:dyDescent="0.2">
      <c r="I850" s="129">
        <v>2006</v>
      </c>
      <c r="J850" s="132" t="s">
        <v>326</v>
      </c>
      <c r="K850" s="132">
        <v>18150</v>
      </c>
      <c r="L850" s="140">
        <f t="shared" si="15"/>
        <v>4.1327794406996869E-5</v>
      </c>
    </row>
    <row r="851" spans="9:12" x14ac:dyDescent="0.2">
      <c r="I851" s="129">
        <v>2006</v>
      </c>
      <c r="J851" s="132" t="s">
        <v>327</v>
      </c>
      <c r="K851" s="132">
        <v>87802</v>
      </c>
      <c r="L851" s="140">
        <f t="shared" si="15"/>
        <v>1.9992633633736305E-4</v>
      </c>
    </row>
    <row r="852" spans="9:12" x14ac:dyDescent="0.2">
      <c r="I852" s="129">
        <v>2006</v>
      </c>
      <c r="J852" s="132" t="s">
        <v>328</v>
      </c>
      <c r="K852" s="132">
        <v>243072</v>
      </c>
      <c r="L852" s="140">
        <f t="shared" si="15"/>
        <v>5.5347821719545698E-4</v>
      </c>
    </row>
    <row r="853" spans="9:12" x14ac:dyDescent="0.2">
      <c r="I853" s="129">
        <v>2006</v>
      </c>
      <c r="J853" s="132" t="s">
        <v>329</v>
      </c>
      <c r="K853" s="132">
        <v>9614</v>
      </c>
      <c r="L853" s="140">
        <f t="shared" si="15"/>
        <v>2.1891207461645615E-5</v>
      </c>
    </row>
    <row r="854" spans="9:12" x14ac:dyDescent="0.2">
      <c r="I854" s="129">
        <v>2006</v>
      </c>
      <c r="J854" s="132" t="s">
        <v>330</v>
      </c>
      <c r="K854" s="132">
        <v>13975</v>
      </c>
      <c r="L854" s="140">
        <f t="shared" si="15"/>
        <v>3.1821263186654618E-5</v>
      </c>
    </row>
    <row r="855" spans="9:12" x14ac:dyDescent="0.2">
      <c r="I855" s="129">
        <v>2006</v>
      </c>
      <c r="J855" s="132" t="s">
        <v>331</v>
      </c>
      <c r="K855" s="132">
        <v>406935</v>
      </c>
      <c r="L855" s="140">
        <f t="shared" si="15"/>
        <v>9.265964747664613E-4</v>
      </c>
    </row>
    <row r="856" spans="9:12" x14ac:dyDescent="0.2">
      <c r="I856" s="129">
        <v>2006</v>
      </c>
      <c r="J856" s="132" t="s">
        <v>332</v>
      </c>
      <c r="K856" s="132">
        <v>131330</v>
      </c>
      <c r="L856" s="140">
        <f t="shared" si="15"/>
        <v>2.9904017848324515E-4</v>
      </c>
    </row>
    <row r="857" spans="9:12" x14ac:dyDescent="0.2">
      <c r="I857" s="129">
        <v>2006</v>
      </c>
      <c r="J857" s="132" t="s">
        <v>333</v>
      </c>
      <c r="K857" s="132">
        <v>98068</v>
      </c>
      <c r="L857" s="140">
        <f t="shared" si="15"/>
        <v>2.2330215657880823E-4</v>
      </c>
    </row>
    <row r="858" spans="9:12" x14ac:dyDescent="0.2">
      <c r="I858" s="129">
        <v>2006</v>
      </c>
      <c r="J858" s="132" t="s">
        <v>334</v>
      </c>
      <c r="K858" s="132">
        <v>2956334</v>
      </c>
      <c r="L858" s="140">
        <f t="shared" si="15"/>
        <v>6.7316123278465395E-3</v>
      </c>
    </row>
    <row r="859" spans="9:12" x14ac:dyDescent="0.2">
      <c r="I859" s="129">
        <v>2006</v>
      </c>
      <c r="J859" s="132" t="s">
        <v>335</v>
      </c>
      <c r="K859" s="132">
        <v>317437</v>
      </c>
      <c r="L859" s="140">
        <f t="shared" si="15"/>
        <v>7.2280832359084663E-4</v>
      </c>
    </row>
    <row r="860" spans="9:12" x14ac:dyDescent="0.2">
      <c r="I860" s="129">
        <v>2006</v>
      </c>
      <c r="J860" s="132" t="s">
        <v>336</v>
      </c>
      <c r="K860" s="132">
        <v>20785</v>
      </c>
      <c r="L860" s="140">
        <f t="shared" si="15"/>
        <v>4.7327724889775758E-5</v>
      </c>
    </row>
    <row r="861" spans="9:12" x14ac:dyDescent="0.2">
      <c r="I861" s="129">
        <v>2006</v>
      </c>
      <c r="J861" s="132" t="s">
        <v>337</v>
      </c>
      <c r="K861" s="132">
        <v>1975913</v>
      </c>
      <c r="L861" s="140">
        <f t="shared" si="15"/>
        <v>4.4991805085461386E-3</v>
      </c>
    </row>
    <row r="862" spans="9:12" x14ac:dyDescent="0.2">
      <c r="I862" s="129">
        <v>2006</v>
      </c>
      <c r="J862" s="132" t="s">
        <v>338</v>
      </c>
      <c r="K862" s="132">
        <v>1365214</v>
      </c>
      <c r="L862" s="140">
        <f t="shared" si="15"/>
        <v>3.1086106619037921E-3</v>
      </c>
    </row>
    <row r="863" spans="9:12" x14ac:dyDescent="0.2">
      <c r="I863" s="129">
        <v>2006</v>
      </c>
      <c r="J863" s="132" t="s">
        <v>339</v>
      </c>
      <c r="K863" s="132">
        <v>55025</v>
      </c>
      <c r="L863" s="140">
        <f t="shared" si="15"/>
        <v>1.2529266596391199E-4</v>
      </c>
    </row>
    <row r="864" spans="9:12" x14ac:dyDescent="0.2">
      <c r="I864" s="129">
        <v>2006</v>
      </c>
      <c r="J864" s="132" t="s">
        <v>340</v>
      </c>
      <c r="K864" s="132">
        <v>1959715</v>
      </c>
      <c r="L864" s="140">
        <f t="shared" si="15"/>
        <v>4.4622974444246764E-3</v>
      </c>
    </row>
    <row r="865" spans="9:12" x14ac:dyDescent="0.2">
      <c r="I865" s="129">
        <v>2006</v>
      </c>
      <c r="J865" s="132" t="s">
        <v>341</v>
      </c>
      <c r="K865" s="132">
        <v>2976492</v>
      </c>
      <c r="L865" s="140">
        <f t="shared" si="15"/>
        <v>6.7775123652931641E-3</v>
      </c>
    </row>
    <row r="866" spans="9:12" x14ac:dyDescent="0.2">
      <c r="I866" s="129">
        <v>2006</v>
      </c>
      <c r="J866" s="132" t="s">
        <v>342</v>
      </c>
      <c r="K866" s="132">
        <v>781295</v>
      </c>
      <c r="L866" s="140">
        <f t="shared" si="15"/>
        <v>1.7790192358795934E-3</v>
      </c>
    </row>
    <row r="867" spans="9:12" x14ac:dyDescent="0.2">
      <c r="I867" s="129">
        <v>2006</v>
      </c>
      <c r="J867" s="132" t="s">
        <v>343</v>
      </c>
      <c r="K867" s="132">
        <v>656247</v>
      </c>
      <c r="L867" s="140">
        <f t="shared" si="15"/>
        <v>1.4942832559894476E-3</v>
      </c>
    </row>
    <row r="868" spans="9:12" x14ac:dyDescent="0.2">
      <c r="I868" s="129">
        <v>2006</v>
      </c>
      <c r="J868" s="132" t="s">
        <v>344</v>
      </c>
      <c r="K868" s="132">
        <v>260873</v>
      </c>
      <c r="L868" s="140">
        <f t="shared" si="15"/>
        <v>5.9401133390283721E-4</v>
      </c>
    </row>
    <row r="869" spans="9:12" x14ac:dyDescent="0.2">
      <c r="I869" s="129">
        <v>2006</v>
      </c>
      <c r="J869" s="132" t="s">
        <v>345</v>
      </c>
      <c r="K869" s="132">
        <v>699347</v>
      </c>
      <c r="L869" s="140">
        <f t="shared" si="15"/>
        <v>1.5924225363719031E-3</v>
      </c>
    </row>
    <row r="870" spans="9:12" x14ac:dyDescent="0.2">
      <c r="I870" s="129">
        <v>2006</v>
      </c>
      <c r="J870" s="132" t="s">
        <v>346</v>
      </c>
      <c r="K870" s="132">
        <v>412271</v>
      </c>
      <c r="L870" s="140">
        <f t="shared" si="15"/>
        <v>9.3874661862077176E-4</v>
      </c>
    </row>
    <row r="871" spans="9:12" x14ac:dyDescent="0.2">
      <c r="I871" s="129">
        <v>2006</v>
      </c>
      <c r="J871" s="132" t="s">
        <v>347</v>
      </c>
      <c r="K871" s="132">
        <v>1706676</v>
      </c>
      <c r="L871" s="140">
        <f t="shared" si="15"/>
        <v>3.8861242340140932E-3</v>
      </c>
    </row>
    <row r="872" spans="9:12" x14ac:dyDescent="0.2">
      <c r="I872" s="129">
        <v>2006</v>
      </c>
      <c r="J872" s="132" t="s">
        <v>348</v>
      </c>
      <c r="K872" s="132">
        <v>255107</v>
      </c>
      <c r="L872" s="140">
        <f t="shared" si="15"/>
        <v>5.808820742581681E-4</v>
      </c>
    </row>
    <row r="873" spans="9:12" x14ac:dyDescent="0.2">
      <c r="I873" s="129">
        <v>2006</v>
      </c>
      <c r="J873" s="132" t="s">
        <v>349</v>
      </c>
      <c r="K873" s="132">
        <v>174747</v>
      </c>
      <c r="L873" s="140">
        <f t="shared" si="15"/>
        <v>3.9790127213440674E-4</v>
      </c>
    </row>
    <row r="874" spans="9:12" x14ac:dyDescent="0.2">
      <c r="I874" s="129">
        <v>2006</v>
      </c>
      <c r="J874" s="132" t="s">
        <v>350</v>
      </c>
      <c r="K874" s="132">
        <v>3427</v>
      </c>
      <c r="L874" s="140">
        <f t="shared" si="15"/>
        <v>7.8033251478114747E-6</v>
      </c>
    </row>
    <row r="875" spans="9:12" x14ac:dyDescent="0.2">
      <c r="I875" s="129">
        <v>2006</v>
      </c>
      <c r="J875" s="132" t="s">
        <v>351</v>
      </c>
      <c r="K875" s="132">
        <v>44918</v>
      </c>
      <c r="L875" s="140">
        <f t="shared" si="15"/>
        <v>1.0227889086355292E-4</v>
      </c>
    </row>
    <row r="876" spans="9:12" x14ac:dyDescent="0.2">
      <c r="I876" s="129">
        <v>2006</v>
      </c>
      <c r="J876" s="132" t="s">
        <v>352</v>
      </c>
      <c r="K876" s="132">
        <v>410964</v>
      </c>
      <c r="L876" s="140">
        <f t="shared" si="15"/>
        <v>9.357705620207748E-4</v>
      </c>
    </row>
    <row r="877" spans="9:12" x14ac:dyDescent="0.2">
      <c r="I877" s="129">
        <v>2006</v>
      </c>
      <c r="J877" s="132" t="s">
        <v>353</v>
      </c>
      <c r="K877" s="132">
        <v>469751</v>
      </c>
      <c r="L877" s="140">
        <f t="shared" si="15"/>
        <v>1.0696293526435915E-3</v>
      </c>
    </row>
    <row r="878" spans="9:12" x14ac:dyDescent="0.2">
      <c r="I878" s="129">
        <v>2006</v>
      </c>
      <c r="J878" s="132" t="s">
        <v>354</v>
      </c>
      <c r="K878" s="132">
        <v>500780</v>
      </c>
      <c r="L878" s="140">
        <f t="shared" si="15"/>
        <v>1.1402828034785615E-3</v>
      </c>
    </row>
    <row r="879" spans="9:12" x14ac:dyDescent="0.2">
      <c r="I879" s="129">
        <v>2006</v>
      </c>
      <c r="J879" s="132" t="s">
        <v>355</v>
      </c>
      <c r="K879" s="132">
        <v>89364</v>
      </c>
      <c r="L879" s="140">
        <f t="shared" si="15"/>
        <v>2.0348303137117732E-4</v>
      </c>
    </row>
    <row r="880" spans="9:12" x14ac:dyDescent="0.2">
      <c r="I880" s="129">
        <v>2006</v>
      </c>
      <c r="J880" s="132" t="s">
        <v>356</v>
      </c>
      <c r="K880" s="132">
        <v>61000</v>
      </c>
      <c r="L880" s="140">
        <f t="shared" si="15"/>
        <v>1.3889782142296469E-4</v>
      </c>
    </row>
    <row r="881" spans="9:12" x14ac:dyDescent="0.2">
      <c r="I881" s="129">
        <v>2006</v>
      </c>
      <c r="J881" s="132" t="s">
        <v>357</v>
      </c>
      <c r="K881" s="132">
        <v>13806</v>
      </c>
      <c r="L881" s="140">
        <f t="shared" si="15"/>
        <v>3.1436447910909028E-5</v>
      </c>
    </row>
    <row r="882" spans="9:12" x14ac:dyDescent="0.2">
      <c r="I882" s="129">
        <v>2006</v>
      </c>
      <c r="J882" s="132" t="s">
        <v>358</v>
      </c>
      <c r="K882" s="132">
        <v>412239</v>
      </c>
      <c r="L882" s="140">
        <f t="shared" si="15"/>
        <v>9.3867375418986128E-4</v>
      </c>
    </row>
    <row r="883" spans="9:12" x14ac:dyDescent="0.2">
      <c r="I883" s="129">
        <v>2006</v>
      </c>
      <c r="J883" s="132" t="s">
        <v>359</v>
      </c>
      <c r="K883" s="132">
        <v>56506</v>
      </c>
      <c r="L883" s="140">
        <f t="shared" si="15"/>
        <v>1.286649229069843E-4</v>
      </c>
    </row>
    <row r="884" spans="9:12" x14ac:dyDescent="0.2">
      <c r="I884" s="129">
        <v>2006</v>
      </c>
      <c r="J884" s="132" t="s">
        <v>360</v>
      </c>
      <c r="K884" s="132">
        <v>799049</v>
      </c>
      <c r="L884" s="140">
        <f t="shared" si="15"/>
        <v>1.8194453329540739E-3</v>
      </c>
    </row>
    <row r="885" spans="9:12" x14ac:dyDescent="0.2">
      <c r="I885" s="129">
        <v>2006</v>
      </c>
      <c r="J885" s="132" t="s">
        <v>361</v>
      </c>
      <c r="K885" s="132">
        <v>189078</v>
      </c>
      <c r="L885" s="140">
        <f t="shared" si="15"/>
        <v>4.3053315211493966E-4</v>
      </c>
    </row>
    <row r="886" spans="9:12" x14ac:dyDescent="0.2">
      <c r="I886" s="129">
        <v>2006</v>
      </c>
      <c r="J886" s="132" t="s">
        <v>362</v>
      </c>
      <c r="K886" s="132">
        <v>68464</v>
      </c>
      <c r="L886" s="140">
        <f t="shared" si="15"/>
        <v>1.5589344993281729E-4</v>
      </c>
    </row>
    <row r="887" spans="9:12" x14ac:dyDescent="0.2">
      <c r="I887" s="129">
        <v>2006</v>
      </c>
      <c r="J887" s="132" t="s">
        <v>363</v>
      </c>
      <c r="K887" s="132">
        <v>36116202</v>
      </c>
      <c r="L887" s="140">
        <f t="shared" si="15"/>
        <v>8.2237078292979021E-2</v>
      </c>
    </row>
    <row r="888" spans="9:12" x14ac:dyDescent="0.2">
      <c r="I888" s="129">
        <v>2005</v>
      </c>
      <c r="J888" s="132" t="s">
        <v>305</v>
      </c>
      <c r="K888" s="132">
        <v>1462736</v>
      </c>
      <c r="L888" s="140">
        <f t="shared" si="15"/>
        <v>3.3664733577084523E-3</v>
      </c>
    </row>
    <row r="889" spans="9:12" x14ac:dyDescent="0.2">
      <c r="I889" s="129">
        <v>2005</v>
      </c>
      <c r="J889" s="132" t="s">
        <v>306</v>
      </c>
      <c r="K889" s="132">
        <v>1237</v>
      </c>
      <c r="L889" s="140">
        <f t="shared" si="15"/>
        <v>2.8469440442331055E-6</v>
      </c>
    </row>
    <row r="890" spans="9:12" x14ac:dyDescent="0.2">
      <c r="I890" s="129">
        <v>2005</v>
      </c>
      <c r="J890" s="132" t="s">
        <v>307</v>
      </c>
      <c r="K890" s="132">
        <v>37434</v>
      </c>
      <c r="L890" s="140">
        <f t="shared" si="15"/>
        <v>8.6154004326452759E-5</v>
      </c>
    </row>
    <row r="891" spans="9:12" x14ac:dyDescent="0.2">
      <c r="I891" s="129">
        <v>2005</v>
      </c>
      <c r="J891" s="132" t="s">
        <v>308</v>
      </c>
      <c r="K891" s="132">
        <v>212955</v>
      </c>
      <c r="L891" s="140">
        <f t="shared" si="15"/>
        <v>4.9011396033925704E-4</v>
      </c>
    </row>
    <row r="892" spans="9:12" x14ac:dyDescent="0.2">
      <c r="I892" s="129">
        <v>2005</v>
      </c>
      <c r="J892" s="132" t="s">
        <v>309</v>
      </c>
      <c r="K892" s="132">
        <v>44348</v>
      </c>
      <c r="L892" s="140">
        <f t="shared" si="15"/>
        <v>1.0206651129640239E-4</v>
      </c>
    </row>
    <row r="893" spans="9:12" x14ac:dyDescent="0.2">
      <c r="I893" s="129">
        <v>2005</v>
      </c>
      <c r="J893" s="132" t="s">
        <v>310</v>
      </c>
      <c r="K893" s="132">
        <v>20374</v>
      </c>
      <c r="L893" s="140">
        <f t="shared" si="15"/>
        <v>4.6890572317870077E-5</v>
      </c>
    </row>
    <row r="894" spans="9:12" x14ac:dyDescent="0.2">
      <c r="I894" s="129">
        <v>2005</v>
      </c>
      <c r="J894" s="132" t="s">
        <v>311</v>
      </c>
      <c r="K894" s="132">
        <v>1001216</v>
      </c>
      <c r="L894" s="140">
        <f t="shared" si="15"/>
        <v>2.3042893518115544E-3</v>
      </c>
    </row>
    <row r="895" spans="9:12" x14ac:dyDescent="0.2">
      <c r="I895" s="129">
        <v>2005</v>
      </c>
      <c r="J895" s="132" t="s">
        <v>312</v>
      </c>
      <c r="K895" s="132">
        <v>28251</v>
      </c>
      <c r="L895" s="140">
        <f t="shared" si="15"/>
        <v>6.5019414869546861E-5</v>
      </c>
    </row>
    <row r="896" spans="9:12" x14ac:dyDescent="0.2">
      <c r="I896" s="129">
        <v>2005</v>
      </c>
      <c r="J896" s="132" t="s">
        <v>313</v>
      </c>
      <c r="K896" s="132">
        <v>171739</v>
      </c>
      <c r="L896" s="140">
        <f t="shared" si="15"/>
        <v>3.9525571803763077E-4</v>
      </c>
    </row>
    <row r="897" spans="9:12" x14ac:dyDescent="0.2">
      <c r="I897" s="129">
        <v>2005</v>
      </c>
      <c r="J897" s="132" t="s">
        <v>314</v>
      </c>
      <c r="K897" s="132">
        <v>866058</v>
      </c>
      <c r="L897" s="140">
        <f t="shared" si="15"/>
        <v>1.9932244664999472E-3</v>
      </c>
    </row>
    <row r="898" spans="9:12" x14ac:dyDescent="0.2">
      <c r="I898" s="129">
        <v>2005</v>
      </c>
      <c r="J898" s="132" t="s">
        <v>315</v>
      </c>
      <c r="K898" s="132">
        <v>27394</v>
      </c>
      <c r="L898" s="140">
        <f t="shared" si="15"/>
        <v>6.3047037306161437E-5</v>
      </c>
    </row>
    <row r="899" spans="9:12" x14ac:dyDescent="0.2">
      <c r="I899" s="129">
        <v>2005</v>
      </c>
      <c r="J899" s="132" t="s">
        <v>316</v>
      </c>
      <c r="K899" s="132">
        <v>131467</v>
      </c>
      <c r="L899" s="140">
        <f t="shared" si="15"/>
        <v>3.0257008299368928E-4</v>
      </c>
    </row>
    <row r="900" spans="9:12" x14ac:dyDescent="0.2">
      <c r="I900" s="129">
        <v>2005</v>
      </c>
      <c r="J900" s="132" t="s">
        <v>317</v>
      </c>
      <c r="K900" s="132">
        <v>155793</v>
      </c>
      <c r="L900" s="140">
        <f t="shared" ref="L900:L946" si="16">K900/VLOOKUP(I900,$A$3:$E$18,5,FALSE)</f>
        <v>3.5855614671237527E-4</v>
      </c>
    </row>
    <row r="901" spans="9:12" x14ac:dyDescent="0.2">
      <c r="I901" s="129">
        <v>2005</v>
      </c>
      <c r="J901" s="132" t="s">
        <v>318</v>
      </c>
      <c r="K901" s="132">
        <v>18511</v>
      </c>
      <c r="L901" s="140">
        <f t="shared" si="16"/>
        <v>4.2602895070977374E-5</v>
      </c>
    </row>
    <row r="902" spans="9:12" x14ac:dyDescent="0.2">
      <c r="I902" s="129">
        <v>2005</v>
      </c>
      <c r="J902" s="132" t="s">
        <v>319</v>
      </c>
      <c r="K902" s="132">
        <v>750969</v>
      </c>
      <c r="L902" s="140">
        <f t="shared" si="16"/>
        <v>1.728348198830793E-3</v>
      </c>
    </row>
    <row r="903" spans="9:12" x14ac:dyDescent="0.2">
      <c r="I903" s="129">
        <v>2005</v>
      </c>
      <c r="J903" s="132" t="s">
        <v>320</v>
      </c>
      <c r="K903" s="132">
        <v>143607</v>
      </c>
      <c r="L903" s="140">
        <f t="shared" si="16"/>
        <v>3.3051018056603359E-4</v>
      </c>
    </row>
    <row r="904" spans="9:12" x14ac:dyDescent="0.2">
      <c r="I904" s="129">
        <v>2005</v>
      </c>
      <c r="J904" s="132" t="s">
        <v>321</v>
      </c>
      <c r="K904" s="132">
        <v>62870</v>
      </c>
      <c r="L904" s="140">
        <f t="shared" si="16"/>
        <v>1.4469472276550956E-4</v>
      </c>
    </row>
    <row r="905" spans="9:12" x14ac:dyDescent="0.2">
      <c r="I905" s="129">
        <v>2005</v>
      </c>
      <c r="J905" s="132" t="s">
        <v>322</v>
      </c>
      <c r="K905" s="132">
        <v>34552</v>
      </c>
      <c r="L905" s="140">
        <f t="shared" si="16"/>
        <v>7.9521108016444828E-5</v>
      </c>
    </row>
    <row r="906" spans="9:12" x14ac:dyDescent="0.2">
      <c r="I906" s="129">
        <v>2005</v>
      </c>
      <c r="J906" s="132" t="s">
        <v>323</v>
      </c>
      <c r="K906" s="132">
        <v>9816153</v>
      </c>
      <c r="L906" s="140">
        <f t="shared" si="16"/>
        <v>2.2591785222822094E-2</v>
      </c>
    </row>
    <row r="907" spans="9:12" x14ac:dyDescent="0.2">
      <c r="I907" s="129">
        <v>2005</v>
      </c>
      <c r="J907" s="132" t="s">
        <v>324</v>
      </c>
      <c r="K907" s="132">
        <v>138174</v>
      </c>
      <c r="L907" s="140">
        <f t="shared" si="16"/>
        <v>3.1800618138065086E-4</v>
      </c>
    </row>
    <row r="908" spans="9:12" x14ac:dyDescent="0.2">
      <c r="I908" s="129">
        <v>2005</v>
      </c>
      <c r="J908" s="132" t="s">
        <v>325</v>
      </c>
      <c r="K908" s="132">
        <v>246688</v>
      </c>
      <c r="L908" s="140">
        <f t="shared" si="16"/>
        <v>5.6775014744040125E-4</v>
      </c>
    </row>
    <row r="909" spans="9:12" x14ac:dyDescent="0.2">
      <c r="I909" s="129">
        <v>2005</v>
      </c>
      <c r="J909" s="132" t="s">
        <v>326</v>
      </c>
      <c r="K909" s="132">
        <v>17965</v>
      </c>
      <c r="L909" s="140">
        <f t="shared" si="16"/>
        <v>4.1346281127443604E-5</v>
      </c>
    </row>
    <row r="910" spans="9:12" x14ac:dyDescent="0.2">
      <c r="I910" s="129">
        <v>2005</v>
      </c>
      <c r="J910" s="132" t="s">
        <v>327</v>
      </c>
      <c r="K910" s="132">
        <v>88129</v>
      </c>
      <c r="L910" s="140">
        <f t="shared" si="16"/>
        <v>2.0282807734375049E-4</v>
      </c>
    </row>
    <row r="911" spans="9:12" x14ac:dyDescent="0.2">
      <c r="I911" s="129">
        <v>2005</v>
      </c>
      <c r="J911" s="132" t="s">
        <v>328</v>
      </c>
      <c r="K911" s="132">
        <v>238069</v>
      </c>
      <c r="L911" s="140">
        <f t="shared" si="16"/>
        <v>5.4791359876033236E-4</v>
      </c>
    </row>
    <row r="912" spans="9:12" x14ac:dyDescent="0.2">
      <c r="I912" s="129">
        <v>2005</v>
      </c>
      <c r="J912" s="132" t="s">
        <v>329</v>
      </c>
      <c r="K912" s="132">
        <v>9595</v>
      </c>
      <c r="L912" s="140">
        <f t="shared" si="16"/>
        <v>2.2082803641403918E-5</v>
      </c>
    </row>
    <row r="913" spans="9:12" x14ac:dyDescent="0.2">
      <c r="I913" s="129">
        <v>2005</v>
      </c>
      <c r="J913" s="132" t="s">
        <v>330</v>
      </c>
      <c r="K913" s="132">
        <v>13763</v>
      </c>
      <c r="L913" s="140">
        <f t="shared" si="16"/>
        <v>3.1675417041859526E-5</v>
      </c>
    </row>
    <row r="914" spans="9:12" x14ac:dyDescent="0.2">
      <c r="I914" s="129">
        <v>2005</v>
      </c>
      <c r="J914" s="132" t="s">
        <v>331</v>
      </c>
      <c r="K914" s="132">
        <v>409557</v>
      </c>
      <c r="L914" s="140">
        <f t="shared" si="16"/>
        <v>9.425916426224559E-4</v>
      </c>
    </row>
    <row r="915" spans="9:12" x14ac:dyDescent="0.2">
      <c r="I915" s="129">
        <v>2005</v>
      </c>
      <c r="J915" s="132" t="s">
        <v>332</v>
      </c>
      <c r="K915" s="132">
        <v>130472</v>
      </c>
      <c r="L915" s="140">
        <f t="shared" si="16"/>
        <v>3.002800997083118E-4</v>
      </c>
    </row>
    <row r="916" spans="9:12" x14ac:dyDescent="0.2">
      <c r="I916" s="129">
        <v>2005</v>
      </c>
      <c r="J916" s="132" t="s">
        <v>333</v>
      </c>
      <c r="K916" s="132">
        <v>97454</v>
      </c>
      <c r="L916" s="140">
        <f t="shared" si="16"/>
        <v>2.2428947848560473E-4</v>
      </c>
    </row>
    <row r="917" spans="9:12" x14ac:dyDescent="0.2">
      <c r="I917" s="129">
        <v>2005</v>
      </c>
      <c r="J917" s="132" t="s">
        <v>334</v>
      </c>
      <c r="K917" s="132">
        <v>2956847</v>
      </c>
      <c r="L917" s="140">
        <f t="shared" si="16"/>
        <v>6.8051559873553149E-3</v>
      </c>
    </row>
    <row r="918" spans="9:12" x14ac:dyDescent="0.2">
      <c r="I918" s="129">
        <v>2005</v>
      </c>
      <c r="J918" s="132" t="s">
        <v>335</v>
      </c>
      <c r="K918" s="132">
        <v>307710</v>
      </c>
      <c r="L918" s="140">
        <f t="shared" si="16"/>
        <v>7.081917153201042E-4</v>
      </c>
    </row>
    <row r="919" spans="9:12" x14ac:dyDescent="0.2">
      <c r="I919" s="129">
        <v>2005</v>
      </c>
      <c r="J919" s="132" t="s">
        <v>336</v>
      </c>
      <c r="K919" s="132">
        <v>20880</v>
      </c>
      <c r="L919" s="140">
        <f t="shared" si="16"/>
        <v>4.8055126631840938E-5</v>
      </c>
    </row>
    <row r="920" spans="9:12" x14ac:dyDescent="0.2">
      <c r="I920" s="129">
        <v>2005</v>
      </c>
      <c r="J920" s="132" t="s">
        <v>337</v>
      </c>
      <c r="K920" s="132">
        <v>1895695</v>
      </c>
      <c r="L920" s="140">
        <f t="shared" si="16"/>
        <v>4.3629244866066914E-3</v>
      </c>
    </row>
    <row r="921" spans="9:12" x14ac:dyDescent="0.2">
      <c r="I921" s="129">
        <v>2005</v>
      </c>
      <c r="J921" s="132" t="s">
        <v>338</v>
      </c>
      <c r="K921" s="132">
        <v>1350523</v>
      </c>
      <c r="L921" s="140">
        <f t="shared" si="16"/>
        <v>3.1082161774048716E-3</v>
      </c>
    </row>
    <row r="922" spans="9:12" x14ac:dyDescent="0.2">
      <c r="I922" s="129">
        <v>2005</v>
      </c>
      <c r="J922" s="132" t="s">
        <v>339</v>
      </c>
      <c r="K922" s="132">
        <v>55221</v>
      </c>
      <c r="L922" s="140">
        <f t="shared" si="16"/>
        <v>1.2709062010234141E-4</v>
      </c>
    </row>
    <row r="923" spans="9:12" x14ac:dyDescent="0.2">
      <c r="I923" s="129">
        <v>2005</v>
      </c>
      <c r="J923" s="132" t="s">
        <v>340</v>
      </c>
      <c r="K923" s="132">
        <v>1921423</v>
      </c>
      <c r="L923" s="140">
        <f t="shared" si="16"/>
        <v>4.422137240341557E-3</v>
      </c>
    </row>
    <row r="924" spans="9:12" x14ac:dyDescent="0.2">
      <c r="I924" s="129">
        <v>2005</v>
      </c>
      <c r="J924" s="132" t="s">
        <v>341</v>
      </c>
      <c r="K924" s="132">
        <v>2966783</v>
      </c>
      <c r="L924" s="140">
        <f t="shared" si="16"/>
        <v>6.8280235993387435E-3</v>
      </c>
    </row>
    <row r="925" spans="9:12" x14ac:dyDescent="0.2">
      <c r="I925" s="129">
        <v>2005</v>
      </c>
      <c r="J925" s="132" t="s">
        <v>342</v>
      </c>
      <c r="K925" s="132">
        <v>780187</v>
      </c>
      <c r="L925" s="140">
        <f t="shared" si="16"/>
        <v>1.7955931552450233E-3</v>
      </c>
    </row>
    <row r="926" spans="9:12" x14ac:dyDescent="0.2">
      <c r="I926" s="129">
        <v>2005</v>
      </c>
      <c r="J926" s="132" t="s">
        <v>343</v>
      </c>
      <c r="K926" s="132">
        <v>645059</v>
      </c>
      <c r="L926" s="140">
        <f t="shared" si="16"/>
        <v>1.4845973146555883E-3</v>
      </c>
    </row>
    <row r="927" spans="9:12" x14ac:dyDescent="0.2">
      <c r="I927" s="129">
        <v>2005</v>
      </c>
      <c r="J927" s="132" t="s">
        <v>344</v>
      </c>
      <c r="K927" s="132">
        <v>259213</v>
      </c>
      <c r="L927" s="140">
        <f t="shared" si="16"/>
        <v>5.9657631894728853E-4</v>
      </c>
    </row>
    <row r="928" spans="9:12" x14ac:dyDescent="0.2">
      <c r="I928" s="129">
        <v>2005</v>
      </c>
      <c r="J928" s="132" t="s">
        <v>345</v>
      </c>
      <c r="K928" s="132">
        <v>700350</v>
      </c>
      <c r="L928" s="140">
        <f t="shared" si="16"/>
        <v>1.6118490391096648E-3</v>
      </c>
    </row>
    <row r="929" spans="9:12" x14ac:dyDescent="0.2">
      <c r="I929" s="129">
        <v>2005</v>
      </c>
      <c r="J929" s="132" t="s">
        <v>346</v>
      </c>
      <c r="K929" s="132">
        <v>411440</v>
      </c>
      <c r="L929" s="140">
        <f t="shared" si="16"/>
        <v>9.4692534968413011E-4</v>
      </c>
    </row>
    <row r="930" spans="9:12" x14ac:dyDescent="0.2">
      <c r="I930" s="129">
        <v>2005</v>
      </c>
      <c r="J930" s="132" t="s">
        <v>347</v>
      </c>
      <c r="K930" s="132">
        <v>1698234</v>
      </c>
      <c r="L930" s="140">
        <f t="shared" si="16"/>
        <v>3.9084698237786281E-3</v>
      </c>
    </row>
    <row r="931" spans="9:12" x14ac:dyDescent="0.2">
      <c r="I931" s="129">
        <v>2005</v>
      </c>
      <c r="J931" s="132" t="s">
        <v>348</v>
      </c>
      <c r="K931" s="132">
        <v>254783</v>
      </c>
      <c r="L931" s="140">
        <f t="shared" si="16"/>
        <v>5.8638071497319583E-4</v>
      </c>
    </row>
    <row r="932" spans="9:12" x14ac:dyDescent="0.2">
      <c r="I932" s="129">
        <v>2005</v>
      </c>
      <c r="J932" s="132" t="s">
        <v>349</v>
      </c>
      <c r="K932" s="132">
        <v>173862</v>
      </c>
      <c r="L932" s="140">
        <f t="shared" si="16"/>
        <v>4.0014178287668244E-4</v>
      </c>
    </row>
    <row r="933" spans="9:12" x14ac:dyDescent="0.2">
      <c r="I933" s="129">
        <v>2005</v>
      </c>
      <c r="J933" s="132" t="s">
        <v>350</v>
      </c>
      <c r="K933" s="132">
        <v>3449</v>
      </c>
      <c r="L933" s="140">
        <f t="shared" si="16"/>
        <v>7.9378415590622308E-6</v>
      </c>
    </row>
    <row r="934" spans="9:12" x14ac:dyDescent="0.2">
      <c r="I934" s="129">
        <v>2005</v>
      </c>
      <c r="J934" s="132" t="s">
        <v>351</v>
      </c>
      <c r="K934" s="132">
        <v>44865</v>
      </c>
      <c r="L934" s="140">
        <f t="shared" si="16"/>
        <v>1.0325638200850305E-4</v>
      </c>
    </row>
    <row r="935" spans="9:12" x14ac:dyDescent="0.2">
      <c r="I935" s="129">
        <v>2005</v>
      </c>
      <c r="J935" s="132" t="s">
        <v>352</v>
      </c>
      <c r="K935" s="132">
        <v>410985</v>
      </c>
      <c r="L935" s="140">
        <f t="shared" si="16"/>
        <v>9.458781713978519E-4</v>
      </c>
    </row>
    <row r="936" spans="9:12" x14ac:dyDescent="0.2">
      <c r="I936" s="129">
        <v>2005</v>
      </c>
      <c r="J936" s="132" t="s">
        <v>353</v>
      </c>
      <c r="K936" s="132">
        <v>469734</v>
      </c>
      <c r="L936" s="140">
        <f t="shared" si="16"/>
        <v>1.0810884508276424E-3</v>
      </c>
    </row>
    <row r="937" spans="9:12" x14ac:dyDescent="0.2">
      <c r="I937" s="129">
        <v>2005</v>
      </c>
      <c r="J937" s="132" t="s">
        <v>354</v>
      </c>
      <c r="K937" s="132">
        <v>494144</v>
      </c>
      <c r="L937" s="140">
        <f t="shared" si="16"/>
        <v>1.1372678397684104E-3</v>
      </c>
    </row>
    <row r="938" spans="9:12" x14ac:dyDescent="0.2">
      <c r="I938" s="129">
        <v>2005</v>
      </c>
      <c r="J938" s="132" t="s">
        <v>355</v>
      </c>
      <c r="K938" s="132">
        <v>87097</v>
      </c>
      <c r="L938" s="140">
        <f t="shared" si="16"/>
        <v>2.0045293890102732E-4</v>
      </c>
    </row>
    <row r="939" spans="9:12" x14ac:dyDescent="0.2">
      <c r="I939" s="129">
        <v>2005</v>
      </c>
      <c r="J939" s="132" t="s">
        <v>356</v>
      </c>
      <c r="K939" s="132">
        <v>59976</v>
      </c>
      <c r="L939" s="140">
        <f t="shared" si="16"/>
        <v>1.3803420856663276E-4</v>
      </c>
    </row>
    <row r="940" spans="9:12" x14ac:dyDescent="0.2">
      <c r="I940" s="129">
        <v>2005</v>
      </c>
      <c r="J940" s="132" t="s">
        <v>357</v>
      </c>
      <c r="K940" s="132">
        <v>13654</v>
      </c>
      <c r="L940" s="140">
        <f t="shared" si="16"/>
        <v>3.142455455130058E-5</v>
      </c>
    </row>
    <row r="941" spans="9:12" x14ac:dyDescent="0.2">
      <c r="I941" s="129">
        <v>2005</v>
      </c>
      <c r="J941" s="132" t="s">
        <v>358</v>
      </c>
      <c r="K941" s="132">
        <v>404148</v>
      </c>
      <c r="L941" s="140">
        <f t="shared" si="16"/>
        <v>9.3014287921481089E-4</v>
      </c>
    </row>
    <row r="942" spans="9:12" x14ac:dyDescent="0.2">
      <c r="I942" s="129">
        <v>2005</v>
      </c>
      <c r="J942" s="132" t="s">
        <v>359</v>
      </c>
      <c r="K942" s="132">
        <v>56411</v>
      </c>
      <c r="L942" s="140">
        <f t="shared" si="16"/>
        <v>1.2982939408183808E-4</v>
      </c>
    </row>
    <row r="943" spans="9:12" x14ac:dyDescent="0.2">
      <c r="I943" s="129">
        <v>2005</v>
      </c>
      <c r="J943" s="132" t="s">
        <v>360</v>
      </c>
      <c r="K943" s="132">
        <v>795962</v>
      </c>
      <c r="L943" s="140">
        <f t="shared" si="16"/>
        <v>1.8318991716538974E-3</v>
      </c>
    </row>
    <row r="944" spans="9:12" x14ac:dyDescent="0.2">
      <c r="I944" s="129">
        <v>2005</v>
      </c>
      <c r="J944" s="132" t="s">
        <v>361</v>
      </c>
      <c r="K944" s="132">
        <v>186530</v>
      </c>
      <c r="L944" s="140">
        <f t="shared" si="16"/>
        <v>4.2929706755925721E-4</v>
      </c>
    </row>
    <row r="945" spans="9:12" x14ac:dyDescent="0.2">
      <c r="I945" s="129">
        <v>2005</v>
      </c>
      <c r="J945" s="132" t="s">
        <v>362</v>
      </c>
      <c r="K945" s="132">
        <v>66478</v>
      </c>
      <c r="L945" s="140">
        <f t="shared" si="16"/>
        <v>1.5299850135208439E-4</v>
      </c>
    </row>
    <row r="946" spans="9:12" x14ac:dyDescent="0.2">
      <c r="I946" s="129">
        <v>2005</v>
      </c>
      <c r="J946" s="133" t="s">
        <v>363</v>
      </c>
      <c r="K946" s="133">
        <v>35869173</v>
      </c>
      <c r="L946" s="141">
        <f t="shared" si="16"/>
        <v>8.2552569477701621E-2</v>
      </c>
    </row>
  </sheetData>
  <mergeCells count="2">
    <mergeCell ref="A1:E1"/>
    <mergeCell ref="I1:L1"/>
  </mergeCells>
  <pageMargins left="0.7" right="0.7" top="0.75" bottom="0.75" header="0.3" footer="0.3"/>
  <ignoredErrors>
    <ignoredError sqref="E3:E1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CF34-6F4B-9C4B-BB25-EA4C85FD1F76}">
  <dimension ref="A1:X69"/>
  <sheetViews>
    <sheetView zoomScale="125" workbookViewId="0">
      <pane xSplit="1" topLeftCell="B1" activePane="topRight" state="frozen"/>
      <selection activeCell="A12" sqref="A12"/>
      <selection pane="topRight" activeCell="B5" sqref="B5"/>
    </sheetView>
  </sheetViews>
  <sheetFormatPr baseColWidth="10" defaultRowHeight="16" x14ac:dyDescent="0.2"/>
  <cols>
    <col min="1" max="11" width="10.83203125" customWidth="1"/>
    <col min="12" max="14" width="16.1640625" customWidth="1"/>
    <col min="15" max="15" width="11.33203125" customWidth="1"/>
    <col min="16" max="16" width="11.6640625" customWidth="1"/>
    <col min="18" max="18" width="11.83203125" customWidth="1"/>
    <col min="19" max="19" width="10.83203125" customWidth="1"/>
    <col min="22" max="22" width="13.5" customWidth="1"/>
    <col min="27" max="27" width="12.1640625" customWidth="1"/>
    <col min="28" max="28" width="12.5" customWidth="1"/>
  </cols>
  <sheetData>
    <row r="1" spans="1:24" x14ac:dyDescent="0.2">
      <c r="A1" s="156" t="s">
        <v>249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  <c r="M1" s="159" t="s">
        <v>259</v>
      </c>
      <c r="N1" s="160"/>
      <c r="O1" s="156" t="s">
        <v>261</v>
      </c>
      <c r="P1" s="157"/>
      <c r="Q1" s="157"/>
      <c r="R1" s="158"/>
      <c r="T1" s="161" t="s">
        <v>258</v>
      </c>
      <c r="U1" s="162"/>
      <c r="V1" s="163"/>
      <c r="W1" s="106"/>
      <c r="X1" s="106"/>
    </row>
    <row r="2" spans="1:24" x14ac:dyDescent="0.2">
      <c r="A2" s="95"/>
      <c r="B2" s="98" t="s">
        <v>39</v>
      </c>
      <c r="C2" s="98" t="s">
        <v>40</v>
      </c>
      <c r="D2" s="98" t="s">
        <v>41</v>
      </c>
      <c r="E2" s="98" t="s">
        <v>42</v>
      </c>
      <c r="F2" s="98" t="s">
        <v>43</v>
      </c>
      <c r="G2" s="98" t="s">
        <v>44</v>
      </c>
      <c r="H2" s="98" t="s">
        <v>187</v>
      </c>
      <c r="I2" s="98" t="s">
        <v>45</v>
      </c>
      <c r="J2" s="98" t="s">
        <v>256</v>
      </c>
      <c r="K2" s="98" t="s">
        <v>255</v>
      </c>
      <c r="L2" s="25" t="s">
        <v>257</v>
      </c>
      <c r="M2" s="87" t="s">
        <v>262</v>
      </c>
      <c r="N2" s="104" t="s">
        <v>63</v>
      </c>
      <c r="O2" s="87" t="s">
        <v>260</v>
      </c>
      <c r="P2" s="1" t="s">
        <v>252</v>
      </c>
      <c r="Q2" s="1" t="s">
        <v>253</v>
      </c>
      <c r="R2" s="88" t="s">
        <v>254</v>
      </c>
      <c r="T2" s="164">
        <v>3</v>
      </c>
      <c r="U2" s="165"/>
      <c r="V2" s="166"/>
      <c r="W2" s="3"/>
      <c r="X2" s="3"/>
    </row>
    <row r="3" spans="1:24" x14ac:dyDescent="0.2">
      <c r="A3" s="87">
        <v>2021</v>
      </c>
      <c r="B3" s="33">
        <f>SUMPRODUCT(Production_Consumption!AB84:AB147,Lifetime!J$15:J$78)</f>
        <v>5.3260663299639956</v>
      </c>
      <c r="C3" s="33">
        <f>SUMPRODUCT(Production_Consumption!AC84:AC147,Lifetime!K$15:K$78)</f>
        <v>25.347670638945075</v>
      </c>
      <c r="D3" s="33">
        <f>SUMPRODUCT(Production_Consumption!AD84:AD147,Lifetime!L$15:L$78)</f>
        <v>5.3585648125649685</v>
      </c>
      <c r="E3" s="33">
        <f>SUMPRODUCT(Production_Consumption!AE84:AE147,Lifetime!M$15:M$78)</f>
        <v>4.7618883678326807</v>
      </c>
      <c r="F3" s="33">
        <f>SUMPRODUCT(Production_Consumption!AF84:AF147,Lifetime!N$15:N$78)</f>
        <v>16.296109748252178</v>
      </c>
      <c r="G3" s="33">
        <f>SUMPRODUCT(Production_Consumption!AG84:AG147,Lifetime!O$15:O$78)</f>
        <v>0.45514481184078837</v>
      </c>
      <c r="H3" s="33">
        <f>SUMPRODUCT(Production_Consumption!AH84:AH147,Lifetime!P$15:P$78)</f>
        <v>8.3037834307442644</v>
      </c>
      <c r="I3" s="33">
        <f>SUMPRODUCT(Production_Consumption!AI84:AI147,Lifetime!Q$15:Q$78)</f>
        <v>5.3207987766596343</v>
      </c>
      <c r="J3" s="33">
        <f>SUM(B3:I3)</f>
        <v>71.170026916803579</v>
      </c>
      <c r="K3" s="33">
        <f>Trade!C50</f>
        <v>0.47034810900000001</v>
      </c>
      <c r="L3" s="99">
        <f>J3+K3+(H3*K3/J3)</f>
        <v>71.695253027167297</v>
      </c>
      <c r="M3" s="108">
        <f t="shared" ref="M3:M34" ca="1" si="0">INDIRECT(ADDRESS(ROW(A3)+$T$2,15))</f>
        <v>6.2654640504084025</v>
      </c>
      <c r="N3" s="105">
        <f t="shared" ref="N3:N34" ca="1" si="1">M3+L3</f>
        <v>77.960717077575694</v>
      </c>
      <c r="O3" s="107"/>
      <c r="R3" s="102"/>
      <c r="S3" t="s">
        <v>190</v>
      </c>
      <c r="U3" s="33"/>
      <c r="V3" s="33"/>
      <c r="W3" s="33"/>
      <c r="X3" s="33"/>
    </row>
    <row r="4" spans="1:24" x14ac:dyDescent="0.2">
      <c r="A4" s="87">
        <v>2020</v>
      </c>
      <c r="B4" s="33">
        <f>SUMPRODUCT(Production_Consumption!AB85:AB148,Lifetime!J$15:J$78)</f>
        <v>5.3683237837297098</v>
      </c>
      <c r="C4" s="33">
        <f>SUMPRODUCT(Production_Consumption!AC85:AC148,Lifetime!K$15:K$78)</f>
        <v>25.464346169313611</v>
      </c>
      <c r="D4" s="33">
        <f>SUMPRODUCT(Production_Consumption!AD85:AD148,Lifetime!L$15:L$78)</f>
        <v>5.0921818641346706</v>
      </c>
      <c r="E4" s="33">
        <f>SUMPRODUCT(Production_Consumption!AE85:AE148,Lifetime!M$15:M$78)</f>
        <v>4.7348097623454217</v>
      </c>
      <c r="F4" s="33">
        <f>SUMPRODUCT(Production_Consumption!AF85:AF148,Lifetime!N$15:N$78)</f>
        <v>15.703388099343337</v>
      </c>
      <c r="G4" s="33">
        <f>SUMPRODUCT(Production_Consumption!AG85:AG148,Lifetime!O$15:O$78)</f>
        <v>0.44389943246434865</v>
      </c>
      <c r="H4" s="33">
        <f>SUMPRODUCT(Production_Consumption!AH85:AH148,Lifetime!P$15:P$78)</f>
        <v>8.1272732491823803</v>
      </c>
      <c r="I4" s="33">
        <f>SUMPRODUCT(Production_Consumption!AI85:AI148,Lifetime!Q$15:Q$78)</f>
        <v>5.2699691075814368</v>
      </c>
      <c r="J4" s="33">
        <f t="shared" ref="J4:J34" si="2">SUM(B4:I4)</f>
        <v>70.204191468094905</v>
      </c>
      <c r="K4" s="33">
        <f>Trade!C51</f>
        <v>-0.33240262599999998</v>
      </c>
      <c r="L4" s="99">
        <f t="shared" ref="L4:L34" si="3">J4+K4+(H4*K4/J4)</f>
        <v>69.83330784952517</v>
      </c>
      <c r="M4" s="109">
        <f t="shared" ca="1" si="0"/>
        <v>5.8206602252200677</v>
      </c>
      <c r="N4" s="33">
        <f t="shared" ca="1" si="1"/>
        <v>75.653968074745237</v>
      </c>
      <c r="O4" s="107">
        <f ca="1">O39*$N4</f>
        <v>7.113532295622365</v>
      </c>
      <c r="P4" s="33">
        <f ca="1">P39*$N4</f>
        <v>11.641059934416866</v>
      </c>
      <c r="Q4" s="33">
        <f ca="1">Q39*$N4</f>
        <v>55.104673931974496</v>
      </c>
      <c r="R4" s="105">
        <f ca="1">R39*$N4</f>
        <v>1.7947019127315209</v>
      </c>
      <c r="S4" s="33">
        <f ca="1">N4-SUM(O4:R4)</f>
        <v>0</v>
      </c>
      <c r="U4" s="33"/>
      <c r="V4" s="33"/>
      <c r="W4" s="33"/>
      <c r="X4" s="33"/>
    </row>
    <row r="5" spans="1:24" x14ac:dyDescent="0.2">
      <c r="A5" s="87">
        <v>2019</v>
      </c>
      <c r="B5" s="33">
        <f>SUMPRODUCT(Production_Consumption!AB86:AB149,Lifetime!J$15:J$78)</f>
        <v>5.3943157461889353</v>
      </c>
      <c r="C5" s="33">
        <f>SUMPRODUCT(Production_Consumption!AC86:AC149,Lifetime!K$15:K$78)</f>
        <v>24.547598668090892</v>
      </c>
      <c r="D5" s="33">
        <f>SUMPRODUCT(Production_Consumption!AD86:AD149,Lifetime!L$15:L$78)</f>
        <v>4.836979715129182</v>
      </c>
      <c r="E5" s="33">
        <f>SUMPRODUCT(Production_Consumption!AE86:AE149,Lifetime!M$15:M$78)</f>
        <v>4.8572274062094944</v>
      </c>
      <c r="F5" s="33">
        <f>SUMPRODUCT(Production_Consumption!AF86:AF149,Lifetime!N$15:N$78)</f>
        <v>15.206296399771958</v>
      </c>
      <c r="G5" s="33">
        <f>SUMPRODUCT(Production_Consumption!AG86:AG149,Lifetime!O$15:O$78)</f>
        <v>0.42963621314881156</v>
      </c>
      <c r="H5" s="33">
        <f>SUMPRODUCT(Production_Consumption!AH86:AH149,Lifetime!P$15:P$78)</f>
        <v>7.9343232364965282</v>
      </c>
      <c r="I5" s="33">
        <f>SUMPRODUCT(Production_Consumption!AI86:AI149,Lifetime!Q$15:Q$78)</f>
        <v>5.2967180161453182</v>
      </c>
      <c r="J5" s="33">
        <f t="shared" si="2"/>
        <v>68.503095401181127</v>
      </c>
      <c r="K5" s="33">
        <f>Trade!C52</f>
        <v>-0.79776945899999996</v>
      </c>
      <c r="L5" s="99">
        <f t="shared" si="3"/>
        <v>67.612924851123253</v>
      </c>
      <c r="M5" s="110">
        <f ca="1">INDIRECT(ADDRESS(ROW(A5)+$T$2,15))</f>
        <v>6.5728087187751223</v>
      </c>
      <c r="N5" s="105">
        <f t="shared" ca="1" si="1"/>
        <v>74.185733569898375</v>
      </c>
      <c r="O5" s="107">
        <f t="shared" ref="O5:O34" ca="1" si="4">O40*N5</f>
        <v>6.7000978420390531</v>
      </c>
      <c r="P5" s="33">
        <f t="shared" ref="P5:R25" ca="1" si="5">P40*$N5</f>
        <v>11.550111919348398</v>
      </c>
      <c r="Q5" s="33">
        <f t="shared" ca="1" si="5"/>
        <v>54.138269205797457</v>
      </c>
      <c r="R5" s="105">
        <f t="shared" ca="1" si="5"/>
        <v>1.7972546027134699</v>
      </c>
      <c r="S5" s="33">
        <f t="shared" ref="S5:S25" ca="1" si="6">N5-SUM(O5:R5)</f>
        <v>0</v>
      </c>
      <c r="U5" s="33"/>
      <c r="V5" s="33"/>
      <c r="W5" s="33"/>
      <c r="X5" s="33"/>
    </row>
    <row r="6" spans="1:24" x14ac:dyDescent="0.2">
      <c r="A6" s="87">
        <v>2018</v>
      </c>
      <c r="B6" s="33">
        <f>SUMPRODUCT(Production_Consumption!AB87:AB150,Lifetime!J$15:J$78)</f>
        <v>5.3776431298613794</v>
      </c>
      <c r="C6" s="33">
        <f>SUMPRODUCT(Production_Consumption!AC87:AC150,Lifetime!K$15:K$78)</f>
        <v>24.012751506230227</v>
      </c>
      <c r="D6" s="33">
        <f>SUMPRODUCT(Production_Consumption!AD87:AD150,Lifetime!L$15:L$78)</f>
        <v>4.5924970780810481</v>
      </c>
      <c r="E6" s="33">
        <f>SUMPRODUCT(Production_Consumption!AE87:AE150,Lifetime!M$15:M$78)</f>
        <v>4.9603174601098967</v>
      </c>
      <c r="F6" s="33">
        <f>SUMPRODUCT(Production_Consumption!AF87:AF150,Lifetime!N$15:N$78)</f>
        <v>15.037100231383233</v>
      </c>
      <c r="G6" s="33">
        <f>SUMPRODUCT(Production_Consumption!AG87:AG150,Lifetime!O$15:O$78)</f>
        <v>0.41610190392658492</v>
      </c>
      <c r="H6" s="33">
        <f>SUMPRODUCT(Production_Consumption!AH87:AH150,Lifetime!P$15:P$78)</f>
        <v>7.721392629654571</v>
      </c>
      <c r="I6" s="33">
        <f>SUMPRODUCT(Production_Consumption!AI87:AI150,Lifetime!Q$15:Q$78)</f>
        <v>5.2777757824205374</v>
      </c>
      <c r="J6" s="33">
        <f t="shared" si="2"/>
        <v>67.395579721667488</v>
      </c>
      <c r="K6" s="33">
        <f>Trade!C53</f>
        <v>-0.85493683799999998</v>
      </c>
      <c r="L6" s="99">
        <f t="shared" si="3"/>
        <v>66.442694278921962</v>
      </c>
      <c r="M6" s="111">
        <f t="shared" ca="1" si="0"/>
        <v>5.9041527497420585</v>
      </c>
      <c r="N6" s="105">
        <f t="shared" ca="1" si="1"/>
        <v>72.346847028664016</v>
      </c>
      <c r="O6" s="108">
        <f t="shared" ca="1" si="4"/>
        <v>6.2654640504084025</v>
      </c>
      <c r="P6" s="33">
        <f t="shared" ca="1" si="5"/>
        <v>11.39543947032208</v>
      </c>
      <c r="Q6" s="33">
        <f t="shared" ca="1" si="5"/>
        <v>52.896007878416469</v>
      </c>
      <c r="R6" s="105">
        <f t="shared" ca="1" si="5"/>
        <v>1.7899356295170614</v>
      </c>
      <c r="S6" s="33">
        <f t="shared" ca="1" si="6"/>
        <v>0</v>
      </c>
      <c r="U6" s="33"/>
      <c r="V6" s="33"/>
      <c r="W6" s="33"/>
      <c r="X6" s="33"/>
    </row>
    <row r="7" spans="1:24" x14ac:dyDescent="0.2">
      <c r="A7" s="87">
        <v>2017</v>
      </c>
      <c r="B7" s="33">
        <f>SUMPRODUCT(Production_Consumption!AB88:AB151,Lifetime!J$15:J$78)</f>
        <v>5.3085995720529944</v>
      </c>
      <c r="C7" s="33">
        <f>SUMPRODUCT(Production_Consumption!AC88:AC151,Lifetime!K$15:K$78)</f>
        <v>21.959613620864619</v>
      </c>
      <c r="D7" s="33">
        <f>SUMPRODUCT(Production_Consumption!AD88:AD151,Lifetime!L$15:L$78)</f>
        <v>4.3580934935939579</v>
      </c>
      <c r="E7" s="33">
        <f>SUMPRODUCT(Production_Consumption!AE88:AE151,Lifetime!M$15:M$78)</f>
        <v>4.9036314724797725</v>
      </c>
      <c r="F7" s="33">
        <f>SUMPRODUCT(Production_Consumption!AF88:AF151,Lifetime!N$15:N$78)</f>
        <v>14.755672622025296</v>
      </c>
      <c r="G7" s="33">
        <f>SUMPRODUCT(Production_Consumption!AG88:AG151,Lifetime!O$15:O$78)</f>
        <v>0.41447820624153697</v>
      </c>
      <c r="H7" s="33">
        <f>SUMPRODUCT(Production_Consumption!AH88:AH151,Lifetime!P$15:P$78)</f>
        <v>7.4701182495837619</v>
      </c>
      <c r="I7" s="33">
        <f>SUMPRODUCT(Production_Consumption!AI88:AI151,Lifetime!Q$15:Q$78)</f>
        <v>5.1748115629760907</v>
      </c>
      <c r="J7" s="33">
        <f t="shared" si="2"/>
        <v>64.345018799818035</v>
      </c>
      <c r="K7" s="33">
        <f>Trade!C54</f>
        <v>-1.5424013999999999</v>
      </c>
      <c r="L7" s="99">
        <f t="shared" si="3"/>
        <v>62.623552709788662</v>
      </c>
      <c r="M7" s="112">
        <f t="shared" ca="1" si="0"/>
        <v>6.0796401485588731</v>
      </c>
      <c r="N7" s="105">
        <f t="shared" ca="1" si="1"/>
        <v>68.703192858347535</v>
      </c>
      <c r="O7" s="109">
        <f t="shared" ca="1" si="4"/>
        <v>5.8206602252200677</v>
      </c>
      <c r="P7" s="33">
        <f t="shared" ca="1" si="5"/>
        <v>10.84583021966006</v>
      </c>
      <c r="Q7" s="33">
        <f t="shared" ca="1" si="5"/>
        <v>50.3008079419617</v>
      </c>
      <c r="R7" s="105">
        <f t="shared" ca="1" si="5"/>
        <v>1.7358944715057114</v>
      </c>
      <c r="S7" s="33">
        <f t="shared" ca="1" si="6"/>
        <v>0</v>
      </c>
      <c r="U7" s="33"/>
      <c r="V7" s="33"/>
      <c r="W7" s="33"/>
      <c r="X7" s="33"/>
    </row>
    <row r="8" spans="1:24" x14ac:dyDescent="0.2">
      <c r="A8" s="87">
        <v>2016</v>
      </c>
      <c r="B8" s="33">
        <f>SUMPRODUCT(Production_Consumption!AB89:AB152,Lifetime!J$15:J$78)</f>
        <v>5.1965256262333552</v>
      </c>
      <c r="C8" s="33">
        <f>SUMPRODUCT(Production_Consumption!AC89:AC152,Lifetime!K$15:K$78)</f>
        <v>23.032594713257222</v>
      </c>
      <c r="D8" s="33">
        <f>SUMPRODUCT(Production_Consumption!AD89:AD152,Lifetime!L$15:L$78)</f>
        <v>4.1329864224856268</v>
      </c>
      <c r="E8" s="33">
        <f>SUMPRODUCT(Production_Consumption!AE89:AE152,Lifetime!M$15:M$78)</f>
        <v>4.6703322267808822</v>
      </c>
      <c r="F8" s="33">
        <f>SUMPRODUCT(Production_Consumption!AF89:AF152,Lifetime!N$15:N$78)</f>
        <v>14.407064723575726</v>
      </c>
      <c r="G8" s="33">
        <f>SUMPRODUCT(Production_Consumption!AG89:AG152,Lifetime!O$15:O$78)</f>
        <v>0.40626744665976766</v>
      </c>
      <c r="H8" s="33">
        <f>SUMPRODUCT(Production_Consumption!AH89:AH152,Lifetime!P$15:P$78)</f>
        <v>7.1224316428200565</v>
      </c>
      <c r="I8" s="33">
        <f>SUMPRODUCT(Production_Consumption!AI89:AI152,Lifetime!Q$15:Q$78)</f>
        <v>5.1000256655822911</v>
      </c>
      <c r="J8" s="33">
        <f t="shared" si="2"/>
        <v>64.068228467394931</v>
      </c>
      <c r="K8" s="33">
        <f>Trade!C55</f>
        <v>-9.7165116999999995E-2</v>
      </c>
      <c r="L8" s="99">
        <f t="shared" si="3"/>
        <v>63.960261554864537</v>
      </c>
      <c r="M8" s="108">
        <f t="shared" ca="1" si="0"/>
        <v>5.9960653879523891</v>
      </c>
      <c r="N8" s="105">
        <f t="shared" ca="1" si="1"/>
        <v>69.956326942816929</v>
      </c>
      <c r="O8" s="110">
        <f t="shared" ca="1" si="4"/>
        <v>6.5728087187751223</v>
      </c>
      <c r="P8" s="33">
        <f t="shared" ca="1" si="5"/>
        <v>10.70085321898145</v>
      </c>
      <c r="Q8" s="33">
        <f t="shared" ca="1" si="5"/>
        <v>50.877561982598614</v>
      </c>
      <c r="R8" s="105">
        <f t="shared" ca="1" si="5"/>
        <v>1.8051030224617342</v>
      </c>
      <c r="S8" s="33">
        <f t="shared" ca="1" si="6"/>
        <v>0</v>
      </c>
      <c r="U8" s="33"/>
      <c r="V8" s="33"/>
      <c r="W8" s="33"/>
      <c r="X8" s="33"/>
    </row>
    <row r="9" spans="1:24" x14ac:dyDescent="0.2">
      <c r="A9" s="87">
        <v>2015</v>
      </c>
      <c r="B9" s="33">
        <f>SUMPRODUCT(Production_Consumption!AB90:AB153,Lifetime!J$15:J$78)</f>
        <v>5.0605104000624586</v>
      </c>
      <c r="C9" s="33">
        <f>SUMPRODUCT(Production_Consumption!AC90:AC153,Lifetime!K$15:K$78)</f>
        <v>22.179122922981321</v>
      </c>
      <c r="D9" s="33">
        <f>SUMPRODUCT(Production_Consumption!AD90:AD153,Lifetime!L$15:L$78)</f>
        <v>3.916398297773382</v>
      </c>
      <c r="E9" s="33">
        <f>SUMPRODUCT(Production_Consumption!AE90:AE153,Lifetime!M$15:M$78)</f>
        <v>4.3129965000935622</v>
      </c>
      <c r="F9" s="33">
        <f>SUMPRODUCT(Production_Consumption!AF90:AF153,Lifetime!N$15:N$78)</f>
        <v>14.051779967801689</v>
      </c>
      <c r="G9" s="33">
        <f>SUMPRODUCT(Production_Consumption!AG90:AG153,Lifetime!O$15:O$78)</f>
        <v>0.39281580355043288</v>
      </c>
      <c r="H9" s="33">
        <f>SUMPRODUCT(Production_Consumption!AH90:AH153,Lifetime!P$15:P$78)</f>
        <v>6.8977673407885494</v>
      </c>
      <c r="I9" s="33">
        <f>SUMPRODUCT(Production_Consumption!AI90:AI153,Lifetime!Q$15:Q$78)</f>
        <v>5.2543977456377142</v>
      </c>
      <c r="J9" s="33">
        <f t="shared" si="2"/>
        <v>62.065788978689113</v>
      </c>
      <c r="K9" s="33">
        <f>Trade!C56</f>
        <v>-1.8600304910000001</v>
      </c>
      <c r="L9" s="99">
        <f t="shared" si="3"/>
        <v>59.999041425281412</v>
      </c>
      <c r="M9" s="109">
        <f t="shared" ca="1" si="0"/>
        <v>5.249415885970568</v>
      </c>
      <c r="N9" s="105">
        <f t="shared" ca="1" si="1"/>
        <v>65.248457311251983</v>
      </c>
      <c r="O9" s="111">
        <f t="shared" ca="1" si="4"/>
        <v>5.9041527497420585</v>
      </c>
      <c r="P9" s="33">
        <f t="shared" ca="1" si="5"/>
        <v>10.086260947476017</v>
      </c>
      <c r="Q9" s="33">
        <f t="shared" ca="1" si="5"/>
        <v>47.538655826138154</v>
      </c>
      <c r="R9" s="105">
        <f t="shared" ca="1" si="5"/>
        <v>1.7193877878957526</v>
      </c>
      <c r="S9" s="33">
        <f t="shared" ca="1" si="6"/>
        <v>0</v>
      </c>
      <c r="U9" s="33"/>
      <c r="V9" s="33"/>
      <c r="W9" s="33"/>
      <c r="X9" s="33"/>
    </row>
    <row r="10" spans="1:24" x14ac:dyDescent="0.2">
      <c r="A10" s="87">
        <v>2014</v>
      </c>
      <c r="B10" s="33">
        <f>SUMPRODUCT(Production_Consumption!AB91:AB154,Lifetime!J$15:J$78)</f>
        <v>4.9165494787182418</v>
      </c>
      <c r="C10" s="33">
        <f>SUMPRODUCT(Production_Consumption!AC91:AC154,Lifetime!K$15:K$78)</f>
        <v>22.667093166605738</v>
      </c>
      <c r="D10" s="33">
        <f>SUMPRODUCT(Production_Consumption!AD91:AD154,Lifetime!L$15:L$78)</f>
        <v>3.7075097941260911</v>
      </c>
      <c r="E10" s="33">
        <f>SUMPRODUCT(Production_Consumption!AE91:AE154,Lifetime!M$15:M$78)</f>
        <v>3.9367128541110832</v>
      </c>
      <c r="F10" s="33">
        <f>SUMPRODUCT(Production_Consumption!AF91:AF154,Lifetime!N$15:N$78)</f>
        <v>13.762897974554937</v>
      </c>
      <c r="G10" s="33">
        <f>SUMPRODUCT(Production_Consumption!AG91:AG154,Lifetime!O$15:O$78)</f>
        <v>0.38264827156664094</v>
      </c>
      <c r="H10" s="33">
        <f>SUMPRODUCT(Production_Consumption!AH91:AH154,Lifetime!P$15:P$78)</f>
        <v>6.8649551319185287</v>
      </c>
      <c r="I10" s="33">
        <f>SUMPRODUCT(Production_Consumption!AI91:AI154,Lifetime!Q$15:Q$78)</f>
        <v>5.5329021793132664</v>
      </c>
      <c r="J10" s="33">
        <f t="shared" si="2"/>
        <v>61.771268850914538</v>
      </c>
      <c r="K10" s="33">
        <f>Trade!C57</f>
        <v>-2.3535680729999999</v>
      </c>
      <c r="L10" s="99">
        <f t="shared" si="3"/>
        <v>59.156136793207402</v>
      </c>
      <c r="M10" s="110">
        <f t="shared" ca="1" si="0"/>
        <v>4.9879146476004612</v>
      </c>
      <c r="N10" s="105">
        <f t="shared" ca="1" si="1"/>
        <v>64.144051440807857</v>
      </c>
      <c r="O10" s="112">
        <f t="shared" ca="1" si="4"/>
        <v>6.0796401485588731</v>
      </c>
      <c r="P10" s="33">
        <f t="shared" ca="1" si="5"/>
        <v>9.6196837793653049</v>
      </c>
      <c r="Q10" s="33">
        <f t="shared" ca="1" si="5"/>
        <v>46.718537608898089</v>
      </c>
      <c r="R10" s="105">
        <f t="shared" ca="1" si="5"/>
        <v>1.7261899039855819</v>
      </c>
      <c r="S10" s="33">
        <f t="shared" ca="1" si="6"/>
        <v>0</v>
      </c>
      <c r="U10" s="33"/>
      <c r="V10" s="33"/>
      <c r="W10" s="33"/>
      <c r="X10" s="33"/>
    </row>
    <row r="11" spans="1:24" x14ac:dyDescent="0.2">
      <c r="A11" s="87">
        <v>2013</v>
      </c>
      <c r="B11" s="33">
        <f>SUMPRODUCT(Production_Consumption!AB92:AB155,Lifetime!J$15:J$78)</f>
        <v>4.7700281989433684</v>
      </c>
      <c r="C11" s="33">
        <f>SUMPRODUCT(Production_Consumption!AC92:AC155,Lifetime!K$15:K$78)</f>
        <v>24.548001519502318</v>
      </c>
      <c r="D11" s="33">
        <f>SUMPRODUCT(Production_Consumption!AD92:AD155,Lifetime!L$15:L$78)</f>
        <v>3.5055321187709207</v>
      </c>
      <c r="E11" s="33">
        <f>SUMPRODUCT(Production_Consumption!AE92:AE155,Lifetime!M$15:M$78)</f>
        <v>3.6394848317693502</v>
      </c>
      <c r="F11" s="33">
        <f>SUMPRODUCT(Production_Consumption!AF92:AF155,Lifetime!N$15:N$78)</f>
        <v>13.664829101967728</v>
      </c>
      <c r="G11" s="33">
        <f>SUMPRODUCT(Production_Consumption!AG92:AG155,Lifetime!O$15:O$78)</f>
        <v>0.37116916618783202</v>
      </c>
      <c r="H11" s="33">
        <f>SUMPRODUCT(Production_Consumption!AH92:AH155,Lifetime!P$15:P$78)</f>
        <v>6.9630563073653953</v>
      </c>
      <c r="I11" s="33">
        <f>SUMPRODUCT(Production_Consumption!AI92:AI155,Lifetime!Q$15:Q$78)</f>
        <v>5.6848667148095711</v>
      </c>
      <c r="J11" s="33">
        <f t="shared" si="2"/>
        <v>63.146967959316484</v>
      </c>
      <c r="K11" s="33">
        <f>Trade!C58</f>
        <v>-2.05862517</v>
      </c>
      <c r="L11" s="99">
        <f t="shared" si="3"/>
        <v>60.861343403000667</v>
      </c>
      <c r="M11" s="111">
        <f t="shared" ca="1" si="0"/>
        <v>4.7745161781637897</v>
      </c>
      <c r="N11" s="105">
        <f t="shared" ca="1" si="1"/>
        <v>65.635859581164453</v>
      </c>
      <c r="O11" s="108">
        <f t="shared" ca="1" si="4"/>
        <v>5.9960653879523891</v>
      </c>
      <c r="P11" s="33">
        <f t="shared" ca="1" si="5"/>
        <v>9.8864890844833706</v>
      </c>
      <c r="Q11" s="33">
        <f t="shared" ca="1" si="5"/>
        <v>47.949448725996199</v>
      </c>
      <c r="R11" s="105">
        <f t="shared" ca="1" si="5"/>
        <v>1.8038563827324914</v>
      </c>
      <c r="S11" s="33">
        <f t="shared" ca="1" si="6"/>
        <v>0</v>
      </c>
      <c r="U11" s="33"/>
      <c r="V11" s="33"/>
      <c r="W11" s="33"/>
      <c r="X11" s="33"/>
    </row>
    <row r="12" spans="1:24" x14ac:dyDescent="0.2">
      <c r="A12" s="87">
        <v>2012</v>
      </c>
      <c r="B12" s="33">
        <f>SUMPRODUCT(Production_Consumption!AB93:AB156,Lifetime!J$15:J$78)</f>
        <v>4.6174798207251939</v>
      </c>
      <c r="C12" s="33">
        <f>SUMPRODUCT(Production_Consumption!AC93:AC156,Lifetime!K$15:K$78)</f>
        <v>20.218452933956176</v>
      </c>
      <c r="D12" s="33">
        <f>SUMPRODUCT(Production_Consumption!AD93:AD156,Lifetime!L$15:L$78)</f>
        <v>3.3098478786384815</v>
      </c>
      <c r="E12" s="33">
        <f>SUMPRODUCT(Production_Consumption!AE93:AE156,Lifetime!M$15:M$78)</f>
        <v>3.4919314621510993</v>
      </c>
      <c r="F12" s="33">
        <f>SUMPRODUCT(Production_Consumption!AF93:AF156,Lifetime!N$15:N$78)</f>
        <v>13.867342954156619</v>
      </c>
      <c r="G12" s="33">
        <f>SUMPRODUCT(Production_Consumption!AG93:AG156,Lifetime!O$15:O$78)</f>
        <v>0.37171538180738584</v>
      </c>
      <c r="H12" s="33">
        <f>SUMPRODUCT(Production_Consumption!AH93:AH156,Lifetime!P$15:P$78)</f>
        <v>7.2118996106799047</v>
      </c>
      <c r="I12" s="33">
        <f>SUMPRODUCT(Production_Consumption!AI93:AI156,Lifetime!Q$15:Q$78)</f>
        <v>5.5375924887149024</v>
      </c>
      <c r="J12" s="33">
        <f t="shared" si="2"/>
        <v>58.626262530829763</v>
      </c>
      <c r="K12" s="33">
        <f>Trade!C59</f>
        <v>-2.2113870000000002</v>
      </c>
      <c r="L12" s="99">
        <f t="shared" si="3"/>
        <v>56.142842139037541</v>
      </c>
      <c r="M12" s="112">
        <f t="shared" ca="1" si="0"/>
        <v>4.1972178835703824</v>
      </c>
      <c r="N12" s="105">
        <f t="shared" ca="1" si="1"/>
        <v>60.340060022607922</v>
      </c>
      <c r="O12" s="109">
        <f t="shared" ca="1" si="4"/>
        <v>5.249415885970568</v>
      </c>
      <c r="P12" s="33">
        <f t="shared" ca="1" si="5"/>
        <v>9.4451855726065421</v>
      </c>
      <c r="Q12" s="33">
        <f t="shared" ca="1" si="5"/>
        <v>43.951919911352711</v>
      </c>
      <c r="R12" s="105">
        <f t="shared" ca="1" si="5"/>
        <v>1.6935386526780967</v>
      </c>
      <c r="S12" s="33">
        <f t="shared" ca="1" si="6"/>
        <v>0</v>
      </c>
      <c r="U12" s="33"/>
      <c r="V12" s="33"/>
      <c r="W12" s="33"/>
      <c r="X12" s="33"/>
    </row>
    <row r="13" spans="1:24" x14ac:dyDescent="0.2">
      <c r="A13" s="87">
        <v>2011</v>
      </c>
      <c r="B13" s="33">
        <f>SUMPRODUCT(Production_Consumption!AB94:AB157,Lifetime!J$15:J$78)</f>
        <v>4.4533443179654615</v>
      </c>
      <c r="C13" s="33">
        <f>SUMPRODUCT(Production_Consumption!AC94:AC157,Lifetime!K$15:K$78)</f>
        <v>20.381873326380692</v>
      </c>
      <c r="D13" s="33">
        <f>SUMPRODUCT(Production_Consumption!AD94:AD157,Lifetime!L$15:L$78)</f>
        <v>3.1198525347786354</v>
      </c>
      <c r="E13" s="33">
        <f>SUMPRODUCT(Production_Consumption!AE94:AE157,Lifetime!M$15:M$78)</f>
        <v>3.441138811196041</v>
      </c>
      <c r="F13" s="33">
        <f>SUMPRODUCT(Production_Consumption!AF94:AF157,Lifetime!N$15:N$78)</f>
        <v>14.212731629672373</v>
      </c>
      <c r="G13" s="33">
        <f>SUMPRODUCT(Production_Consumption!AG94:AG157,Lifetime!O$15:O$78)</f>
        <v>0.3841671268961046</v>
      </c>
      <c r="H13" s="33">
        <f>SUMPRODUCT(Production_Consumption!AH94:AH157,Lifetime!P$15:P$78)</f>
        <v>7.383689435010826</v>
      </c>
      <c r="I13" s="33">
        <f>SUMPRODUCT(Production_Consumption!AI94:AI157,Lifetime!Q$15:Q$78)</f>
        <v>5.1706173739221608</v>
      </c>
      <c r="J13" s="33">
        <f t="shared" si="2"/>
        <v>58.547414555822293</v>
      </c>
      <c r="K13" s="33">
        <f>Trade!C60</f>
        <v>-2.247761702</v>
      </c>
      <c r="L13" s="99">
        <f t="shared" si="3"/>
        <v>56.016177068300543</v>
      </c>
      <c r="M13" s="108">
        <f t="shared" ca="1" si="0"/>
        <v>4.1763267617651687</v>
      </c>
      <c r="N13" s="105">
        <f t="shared" ca="1" si="1"/>
        <v>60.192503830065711</v>
      </c>
      <c r="O13" s="110">
        <f t="shared" ca="1" si="4"/>
        <v>4.9879146476004612</v>
      </c>
      <c r="P13" s="33">
        <f t="shared" ca="1" si="5"/>
        <v>9.750810589294133</v>
      </c>
      <c r="Q13" s="33">
        <f t="shared" ca="1" si="5"/>
        <v>43.728495447600359</v>
      </c>
      <c r="R13" s="105">
        <f t="shared" ca="1" si="5"/>
        <v>1.725283145570754</v>
      </c>
      <c r="S13" s="33">
        <f t="shared" ca="1" si="6"/>
        <v>0</v>
      </c>
      <c r="U13" s="33"/>
      <c r="V13" s="33"/>
      <c r="W13" s="33"/>
      <c r="X13" s="33"/>
    </row>
    <row r="14" spans="1:24" x14ac:dyDescent="0.2">
      <c r="A14" s="87">
        <v>2010</v>
      </c>
      <c r="B14" s="33">
        <f>SUMPRODUCT(Production_Consumption!AB95:AB158,Lifetime!J$15:J$78)</f>
        <v>4.275165920733035</v>
      </c>
      <c r="C14" s="33">
        <f>SUMPRODUCT(Production_Consumption!AC95:AC158,Lifetime!K$15:K$78)</f>
        <v>20.611487941020812</v>
      </c>
      <c r="D14" s="33">
        <f>SUMPRODUCT(Production_Consumption!AD95:AD158,Lifetime!L$15:L$78)</f>
        <v>2.9350265240424722</v>
      </c>
      <c r="E14" s="33">
        <f>SUMPRODUCT(Production_Consumption!AE95:AE158,Lifetime!M$15:M$78)</f>
        <v>3.3810577385497891</v>
      </c>
      <c r="F14" s="33">
        <f>SUMPRODUCT(Production_Consumption!AF95:AF158,Lifetime!N$15:N$78)</f>
        <v>14.506872003425441</v>
      </c>
      <c r="G14" s="33">
        <f>SUMPRODUCT(Production_Consumption!AG95:AG158,Lifetime!O$15:O$78)</f>
        <v>0.39360112159984484</v>
      </c>
      <c r="H14" s="33">
        <f>SUMPRODUCT(Production_Consumption!AH95:AH158,Lifetime!P$15:P$78)</f>
        <v>7.2932565701434058</v>
      </c>
      <c r="I14" s="33">
        <f>SUMPRODUCT(Production_Consumption!AI95:AI158,Lifetime!Q$15:Q$78)</f>
        <v>4.9284411242737232</v>
      </c>
      <c r="J14" s="33">
        <f t="shared" si="2"/>
        <v>58.324908943788522</v>
      </c>
      <c r="K14" s="33">
        <f>Trade!C61</f>
        <v>-2.0908027009999999</v>
      </c>
      <c r="L14" s="99">
        <f t="shared" si="3"/>
        <v>55.972661161911702</v>
      </c>
      <c r="M14" s="109">
        <f t="shared" ca="1" si="0"/>
        <v>3.9952620358255047</v>
      </c>
      <c r="N14" s="105">
        <f t="shared" ca="1" si="1"/>
        <v>59.967923197737207</v>
      </c>
      <c r="O14" s="111">
        <f t="shared" ca="1" si="4"/>
        <v>4.7745161781637897</v>
      </c>
      <c r="P14" s="33">
        <f t="shared" ca="1" si="5"/>
        <v>8.6514233148327886</v>
      </c>
      <c r="Q14" s="33">
        <f t="shared" ca="1" si="5"/>
        <v>44.78662622378824</v>
      </c>
      <c r="R14" s="105">
        <f t="shared" ca="1" si="5"/>
        <v>1.7553574809523853</v>
      </c>
      <c r="S14" s="33">
        <f t="shared" ca="1" si="6"/>
        <v>0</v>
      </c>
      <c r="U14" s="33"/>
      <c r="V14" s="33"/>
      <c r="W14" s="33"/>
      <c r="X14" s="33"/>
    </row>
    <row r="15" spans="1:24" x14ac:dyDescent="0.2">
      <c r="A15" s="87">
        <v>2009</v>
      </c>
      <c r="B15" s="33">
        <f>SUMPRODUCT(Production_Consumption!AB96:AB159,Lifetime!J$15:J$78)</f>
        <v>4.0852107459418212</v>
      </c>
      <c r="C15" s="33">
        <f>SUMPRODUCT(Production_Consumption!AC96:AC159,Lifetime!K$15:K$78)</f>
        <v>21.165831427362541</v>
      </c>
      <c r="D15" s="33">
        <f>SUMPRODUCT(Production_Consumption!AD96:AD159,Lifetime!L$15:L$78)</f>
        <v>2.7549660714860829</v>
      </c>
      <c r="E15" s="33">
        <f>SUMPRODUCT(Production_Consumption!AE96:AE159,Lifetime!M$15:M$78)</f>
        <v>3.3016986744862513</v>
      </c>
      <c r="F15" s="33">
        <f>SUMPRODUCT(Production_Consumption!AF96:AF159,Lifetime!N$15:N$78)</f>
        <v>14.404153329155998</v>
      </c>
      <c r="G15" s="33">
        <f>SUMPRODUCT(Production_Consumption!AG96:AG159,Lifetime!O$15:O$78)</f>
        <v>0.40279234509758283</v>
      </c>
      <c r="H15" s="33">
        <f>SUMPRODUCT(Production_Consumption!AH96:AH159,Lifetime!P$15:P$78)</f>
        <v>7.0731376153937902</v>
      </c>
      <c r="I15" s="33">
        <f>SUMPRODUCT(Production_Consumption!AI96:AI159,Lifetime!Q$15:Q$78)</f>
        <v>4.7681219347110453</v>
      </c>
      <c r="J15" s="33">
        <f t="shared" si="2"/>
        <v>57.955912143635111</v>
      </c>
      <c r="K15" s="33">
        <f>Trade!C62</f>
        <v>-2.0747924219999998</v>
      </c>
      <c r="L15" s="99">
        <f t="shared" si="3"/>
        <v>55.627904962667785</v>
      </c>
      <c r="M15" s="110">
        <f t="shared" ca="1" si="0"/>
        <v>3.9052751123140026</v>
      </c>
      <c r="N15" s="105">
        <f t="shared" ca="1" si="1"/>
        <v>59.533180074981786</v>
      </c>
      <c r="O15" s="112">
        <f t="shared" ca="1" si="4"/>
        <v>4.1972178835703824</v>
      </c>
      <c r="P15" s="33">
        <f t="shared" ca="1" si="5"/>
        <v>8.9454823290279837</v>
      </c>
      <c r="Q15" s="33">
        <f t="shared" ca="1" si="5"/>
        <v>44.610831321622094</v>
      </c>
      <c r="R15" s="105">
        <f t="shared" ca="1" si="5"/>
        <v>1.7796485407613321</v>
      </c>
      <c r="S15" s="33">
        <f t="shared" ca="1" si="6"/>
        <v>0</v>
      </c>
      <c r="U15" s="33"/>
      <c r="V15" s="33"/>
      <c r="W15" s="33"/>
      <c r="X15" s="33"/>
    </row>
    <row r="16" spans="1:24" x14ac:dyDescent="0.2">
      <c r="A16" s="87">
        <v>2008</v>
      </c>
      <c r="B16" s="33">
        <f>SUMPRODUCT(Production_Consumption!AB97:AB160,Lifetime!J$15:J$78)</f>
        <v>3.889307537707889</v>
      </c>
      <c r="C16" s="33">
        <f>SUMPRODUCT(Production_Consumption!AC97:AC160,Lifetime!K$15:K$78)</f>
        <v>22.207342121659071</v>
      </c>
      <c r="D16" s="33">
        <f>SUMPRODUCT(Production_Consumption!AD97:AD160,Lifetime!L$15:L$78)</f>
        <v>2.5794263780491873</v>
      </c>
      <c r="E16" s="33">
        <f>SUMPRODUCT(Production_Consumption!AE97:AE160,Lifetime!M$15:M$78)</f>
        <v>3.2169138465952201</v>
      </c>
      <c r="F16" s="33">
        <f>SUMPRODUCT(Production_Consumption!AF97:AF160,Lifetime!N$15:N$78)</f>
        <v>13.882630921737382</v>
      </c>
      <c r="G16" s="33">
        <f>SUMPRODUCT(Production_Consumption!AG97:AG160,Lifetime!O$15:O$78)</f>
        <v>0.40100745407784083</v>
      </c>
      <c r="H16" s="33">
        <f>SUMPRODUCT(Production_Consumption!AH97:AH160,Lifetime!P$15:P$78)</f>
        <v>6.8351503261615916</v>
      </c>
      <c r="I16" s="33">
        <f>SUMPRODUCT(Production_Consumption!AI97:AI160,Lifetime!Q$15:Q$78)</f>
        <v>4.6342252208268313</v>
      </c>
      <c r="J16" s="33">
        <f t="shared" si="2"/>
        <v>57.646003806815017</v>
      </c>
      <c r="K16" s="33">
        <f>Trade!C63</f>
        <v>-1.664765778</v>
      </c>
      <c r="L16" s="99">
        <f t="shared" si="3"/>
        <v>55.783844912223401</v>
      </c>
      <c r="M16" s="111">
        <f t="shared" ca="1" si="0"/>
        <v>3.328742757807885</v>
      </c>
      <c r="N16" s="105">
        <f t="shared" ca="1" si="1"/>
        <v>59.112587670031289</v>
      </c>
      <c r="O16" s="108">
        <f t="shared" ca="1" si="4"/>
        <v>4.1763267617651687</v>
      </c>
      <c r="P16" s="33">
        <f t="shared" ca="1" si="5"/>
        <v>8.8397039637661177</v>
      </c>
      <c r="Q16" s="33">
        <f t="shared" ca="1" si="5"/>
        <v>44.291945416543385</v>
      </c>
      <c r="R16" s="105">
        <f t="shared" ca="1" si="5"/>
        <v>1.8046115279566197</v>
      </c>
      <c r="S16" s="33">
        <f t="shared" ca="1" si="6"/>
        <v>0</v>
      </c>
      <c r="U16" s="33"/>
      <c r="V16" s="33"/>
      <c r="W16" s="33"/>
      <c r="X16" s="33"/>
    </row>
    <row r="17" spans="1:24" x14ac:dyDescent="0.2">
      <c r="A17" s="87">
        <v>2007</v>
      </c>
      <c r="B17" s="33">
        <f>SUMPRODUCT(Production_Consumption!AB98:AB161,Lifetime!J$15:J$78)</f>
        <v>3.6943007001322976</v>
      </c>
      <c r="C17" s="33">
        <f>SUMPRODUCT(Production_Consumption!AC98:AC161,Lifetime!K$15:K$78)</f>
        <v>22.914037397119142</v>
      </c>
      <c r="D17" s="33">
        <f>SUMPRODUCT(Production_Consumption!AD98:AD161,Lifetime!L$15:L$78)</f>
        <v>2.4083644799199049</v>
      </c>
      <c r="E17" s="33">
        <f>SUMPRODUCT(Production_Consumption!AE98:AE161,Lifetime!M$15:M$78)</f>
        <v>3.1192082387341014</v>
      </c>
      <c r="F17" s="33">
        <f>SUMPRODUCT(Production_Consumption!AF98:AF161,Lifetime!N$15:N$78)</f>
        <v>13.390765136950503</v>
      </c>
      <c r="G17" s="33">
        <f>SUMPRODUCT(Production_Consumption!AG98:AG161,Lifetime!O$15:O$78)</f>
        <v>0.38601596619359668</v>
      </c>
      <c r="H17" s="33">
        <f>SUMPRODUCT(Production_Consumption!AH98:AH161,Lifetime!P$15:P$78)</f>
        <v>6.6563744760588017</v>
      </c>
      <c r="I17" s="33">
        <f>SUMPRODUCT(Production_Consumption!AI98:AI161,Lifetime!Q$15:Q$78)</f>
        <v>4.5235772141173642</v>
      </c>
      <c r="J17" s="33">
        <f t="shared" si="2"/>
        <v>57.092643609225718</v>
      </c>
      <c r="K17" s="33">
        <f>Trade!C64</f>
        <v>-1.3722519019999999</v>
      </c>
      <c r="L17" s="99">
        <f t="shared" si="3"/>
        <v>55.56040222420728</v>
      </c>
      <c r="M17" s="112">
        <f t="shared" ca="1" si="0"/>
        <v>2.967346366961602</v>
      </c>
      <c r="N17" s="105">
        <f t="shared" ca="1" si="1"/>
        <v>58.52774859116888</v>
      </c>
      <c r="O17" s="109">
        <f t="shared" ca="1" si="4"/>
        <v>3.9952620358255047</v>
      </c>
      <c r="P17" s="33">
        <f t="shared" ca="1" si="5"/>
        <v>8.7100883618740532</v>
      </c>
      <c r="Q17" s="33">
        <f t="shared" ca="1" si="5"/>
        <v>43.997686859289139</v>
      </c>
      <c r="R17" s="105">
        <f t="shared" ca="1" si="5"/>
        <v>1.8247113341801873</v>
      </c>
      <c r="S17" s="33">
        <f t="shared" ca="1" si="6"/>
        <v>0</v>
      </c>
      <c r="U17" s="33"/>
      <c r="V17" s="33"/>
      <c r="W17" s="33"/>
      <c r="X17" s="33"/>
    </row>
    <row r="18" spans="1:24" x14ac:dyDescent="0.2">
      <c r="A18" s="87">
        <v>2006</v>
      </c>
      <c r="B18" s="33">
        <f>SUMPRODUCT(Production_Consumption!AB99:AB162,Lifetime!J$15:J$78)</f>
        <v>3.5058251416670756</v>
      </c>
      <c r="C18" s="33">
        <f>SUMPRODUCT(Production_Consumption!AC99:AC162,Lifetime!K$15:K$78)</f>
        <v>21.818925256931816</v>
      </c>
      <c r="D18" s="33">
        <f>SUMPRODUCT(Production_Consumption!AD99:AD162,Lifetime!L$15:L$78)</f>
        <v>2.2419636680267803</v>
      </c>
      <c r="E18" s="33">
        <f>SUMPRODUCT(Production_Consumption!AE99:AE162,Lifetime!M$15:M$78)</f>
        <v>3.003018740920175</v>
      </c>
      <c r="F18" s="33">
        <f>SUMPRODUCT(Production_Consumption!AF99:AF162,Lifetime!N$15:N$78)</f>
        <v>12.971182371255765</v>
      </c>
      <c r="G18" s="33">
        <f>SUMPRODUCT(Production_Consumption!AG99:AG162,Lifetime!O$15:O$78)</f>
        <v>0.37245936607623786</v>
      </c>
      <c r="H18" s="33">
        <f>SUMPRODUCT(Production_Consumption!AH99:AH162,Lifetime!P$15:P$78)</f>
        <v>6.5173462228526446</v>
      </c>
      <c r="I18" s="33">
        <f>SUMPRODUCT(Production_Consumption!AI99:AI162,Lifetime!Q$15:Q$78)</f>
        <v>4.4293961518389287</v>
      </c>
      <c r="J18" s="33">
        <f t="shared" si="2"/>
        <v>54.860116919569421</v>
      </c>
      <c r="K18" s="33">
        <f>Trade!C65</f>
        <v>-0.82007355400000004</v>
      </c>
      <c r="L18" s="99">
        <f t="shared" si="3"/>
        <v>53.942619160523357</v>
      </c>
      <c r="M18" s="108">
        <f t="shared" ca="1" si="0"/>
        <v>2.8544887836162105</v>
      </c>
      <c r="N18" s="105">
        <f t="shared" ca="1" si="1"/>
        <v>56.797107944139569</v>
      </c>
      <c r="O18" s="110">
        <f t="shared" ca="1" si="4"/>
        <v>3.9052751123140026</v>
      </c>
      <c r="P18" s="33">
        <f t="shared" ca="1" si="5"/>
        <v>8.4116226752282746</v>
      </c>
      <c r="Q18" s="33">
        <f t="shared" ca="1" si="5"/>
        <v>42.671840675723452</v>
      </c>
      <c r="R18" s="105">
        <f t="shared" ca="1" si="5"/>
        <v>1.8083694808738418</v>
      </c>
      <c r="S18" s="33">
        <f t="shared" ca="1" si="6"/>
        <v>0</v>
      </c>
      <c r="U18" s="33"/>
      <c r="V18" s="33"/>
      <c r="W18" s="33"/>
      <c r="X18" s="33"/>
    </row>
    <row r="19" spans="1:24" x14ac:dyDescent="0.2">
      <c r="A19" s="87">
        <v>2005</v>
      </c>
      <c r="B19" s="33">
        <f>SUMPRODUCT(Production_Consumption!AB100:AB163,Lifetime!J$15:J$78)</f>
        <v>3.327699513870237</v>
      </c>
      <c r="C19" s="33">
        <f>SUMPRODUCT(Production_Consumption!AC100:AC163,Lifetime!K$15:K$78)</f>
        <v>21.098357768687222</v>
      </c>
      <c r="D19" s="33">
        <f>SUMPRODUCT(Production_Consumption!AD100:AD163,Lifetime!L$15:L$78)</f>
        <v>2.0806234660559237</v>
      </c>
      <c r="E19" s="33">
        <f>SUMPRODUCT(Production_Consumption!AE100:AE163,Lifetime!M$15:M$78)</f>
        <v>2.870414378405489</v>
      </c>
      <c r="F19" s="33">
        <f>SUMPRODUCT(Production_Consumption!AF100:AF163,Lifetime!N$15:N$78)</f>
        <v>12.738757951387633</v>
      </c>
      <c r="G19" s="33">
        <f>SUMPRODUCT(Production_Consumption!AG100:AG163,Lifetime!O$15:O$78)</f>
        <v>0.35955354008161394</v>
      </c>
      <c r="H19" s="33">
        <f>SUMPRODUCT(Production_Consumption!AH100:AH163,Lifetime!P$15:P$78)</f>
        <v>6.3640975035868097</v>
      </c>
      <c r="I19" s="33">
        <f>SUMPRODUCT(Production_Consumption!AI100:AI163,Lifetime!Q$15:Q$78)</f>
        <v>4.3252434490653746</v>
      </c>
      <c r="J19" s="33">
        <f t="shared" si="2"/>
        <v>53.164747571140303</v>
      </c>
      <c r="K19" s="33">
        <f>Trade!C66</f>
        <v>-0.80185001499999997</v>
      </c>
      <c r="L19" s="99">
        <f t="shared" si="3"/>
        <v>52.266911928222406</v>
      </c>
      <c r="M19" s="109">
        <f t="shared" ca="1" si="0"/>
        <v>2.6760443776178486</v>
      </c>
      <c r="N19" s="105">
        <f t="shared" ca="1" si="1"/>
        <v>54.942956305840255</v>
      </c>
      <c r="O19" s="111">
        <f t="shared" ca="1" si="4"/>
        <v>3.328742757807885</v>
      </c>
      <c r="P19" s="33">
        <f t="shared" ca="1" si="5"/>
        <v>8.0974472703978329</v>
      </c>
      <c r="Q19" s="33">
        <f t="shared" ca="1" si="5"/>
        <v>41.730272262923819</v>
      </c>
      <c r="R19" s="105">
        <f t="shared" ca="1" si="5"/>
        <v>1.786494014710724</v>
      </c>
      <c r="S19" s="33">
        <f t="shared" ca="1" si="6"/>
        <v>0</v>
      </c>
      <c r="U19" s="33"/>
      <c r="V19" s="33"/>
      <c r="W19" s="33"/>
      <c r="X19" s="33"/>
    </row>
    <row r="20" spans="1:24" x14ac:dyDescent="0.2">
      <c r="A20" s="87">
        <v>2004</v>
      </c>
      <c r="B20" s="33">
        <f>SUMPRODUCT(Production_Consumption!AB101:AB164,Lifetime!J$15:J$78)</f>
        <v>3.16225705376953</v>
      </c>
      <c r="C20" s="33">
        <f>SUMPRODUCT(Production_Consumption!AC101:AC164,Lifetime!K$15:K$78)</f>
        <v>19.778263761954289</v>
      </c>
      <c r="D20" s="33">
        <f>SUMPRODUCT(Production_Consumption!AD101:AD164,Lifetime!L$15:L$78)</f>
        <v>1.9249088556284426</v>
      </c>
      <c r="E20" s="33">
        <f>SUMPRODUCT(Production_Consumption!AE101:AE164,Lifetime!M$15:M$78)</f>
        <v>2.7308889281544144</v>
      </c>
      <c r="F20" s="33">
        <f>SUMPRODUCT(Production_Consumption!AF101:AF164,Lifetime!N$15:N$78)</f>
        <v>12.461498970057246</v>
      </c>
      <c r="G20" s="33">
        <f>SUMPRODUCT(Production_Consumption!AG101:AG164,Lifetime!O$15:O$78)</f>
        <v>0.35434675861660425</v>
      </c>
      <c r="H20" s="33">
        <f>SUMPRODUCT(Production_Consumption!AH101:AH164,Lifetime!P$15:P$78)</f>
        <v>6.1780992868934987</v>
      </c>
      <c r="I20" s="33">
        <f>SUMPRODUCT(Production_Consumption!AI101:AI164,Lifetime!Q$15:Q$78)</f>
        <v>4.1988331343526895</v>
      </c>
      <c r="J20" s="33">
        <f t="shared" si="2"/>
        <v>50.789096749426719</v>
      </c>
      <c r="K20" s="33">
        <f>Trade!C67</f>
        <v>-2.690601161</v>
      </c>
      <c r="L20" s="99">
        <f t="shared" si="3"/>
        <v>47.771204847343071</v>
      </c>
      <c r="M20" s="110">
        <f t="shared" ca="1" si="0"/>
        <v>2.7937494289737113</v>
      </c>
      <c r="N20" s="105">
        <f t="shared" ca="1" si="1"/>
        <v>50.564954276316783</v>
      </c>
      <c r="O20" s="112">
        <f t="shared" ca="1" si="4"/>
        <v>2.967346366961602</v>
      </c>
      <c r="P20" s="33">
        <f t="shared" ca="1" si="5"/>
        <v>7.4157980340729148</v>
      </c>
      <c r="Q20" s="33">
        <f t="shared" ca="1" si="5"/>
        <v>38.502743920384567</v>
      </c>
      <c r="R20" s="105">
        <f t="shared" ca="1" si="5"/>
        <v>1.6790659548977023</v>
      </c>
      <c r="S20" s="33">
        <f t="shared" ca="1" si="6"/>
        <v>0</v>
      </c>
      <c r="U20" s="33"/>
      <c r="V20" s="33"/>
      <c r="W20" s="33"/>
      <c r="X20" s="33"/>
    </row>
    <row r="21" spans="1:24" x14ac:dyDescent="0.2">
      <c r="A21" s="87">
        <v>2003</v>
      </c>
      <c r="B21" s="33">
        <f>SUMPRODUCT(Production_Consumption!AB102:AB165,Lifetime!J$15:J$78)</f>
        <v>3.0100910097621489</v>
      </c>
      <c r="C21" s="33">
        <f>SUMPRODUCT(Production_Consumption!AC102:AC165,Lifetime!K$15:K$78)</f>
        <v>20.085892176699478</v>
      </c>
      <c r="D21" s="33">
        <f>SUMPRODUCT(Production_Consumption!AD102:AD165,Lifetime!L$15:L$78)</f>
        <v>1.7754660862540199</v>
      </c>
      <c r="E21" s="33">
        <f>SUMPRODUCT(Production_Consumption!AE102:AE165,Lifetime!M$15:M$78)</f>
        <v>2.5908811414667334</v>
      </c>
      <c r="F21" s="33">
        <f>SUMPRODUCT(Production_Consumption!AF102:AF165,Lifetime!N$15:N$78)</f>
        <v>12.255955840112829</v>
      </c>
      <c r="G21" s="33">
        <f>SUMPRODUCT(Production_Consumption!AG102:AG165,Lifetime!O$15:O$78)</f>
        <v>0.34534969730872644</v>
      </c>
      <c r="H21" s="33">
        <f>SUMPRODUCT(Production_Consumption!AH102:AH165,Lifetime!P$15:P$78)</f>
        <v>5.9278553895986557</v>
      </c>
      <c r="I21" s="33">
        <f>SUMPRODUCT(Production_Consumption!AI102:AI165,Lifetime!Q$15:Q$78)</f>
        <v>4.0287594079785922</v>
      </c>
      <c r="J21" s="33">
        <f t="shared" si="2"/>
        <v>50.02025074918118</v>
      </c>
      <c r="K21" s="33">
        <f>Trade!C68</f>
        <v>-0.61292863200000003</v>
      </c>
      <c r="L21" s="99">
        <f t="shared" si="3"/>
        <v>49.334684490615501</v>
      </c>
      <c r="M21" s="111">
        <f t="shared" ca="1" si="0"/>
        <v>2.6617876658444954</v>
      </c>
      <c r="N21" s="105">
        <f t="shared" ca="1" si="1"/>
        <v>51.996472156459994</v>
      </c>
      <c r="O21" s="108">
        <f t="shared" ca="1" si="4"/>
        <v>2.8544887836162105</v>
      </c>
      <c r="P21" s="33">
        <f t="shared" ca="1" si="5"/>
        <v>7.5882887161615482</v>
      </c>
      <c r="Q21" s="33">
        <f t="shared" ca="1" si="5"/>
        <v>39.790417379472295</v>
      </c>
      <c r="R21" s="105">
        <f t="shared" ca="1" si="5"/>
        <v>1.7632772772099394</v>
      </c>
      <c r="S21" s="33">
        <f t="shared" ca="1" si="6"/>
        <v>0</v>
      </c>
      <c r="U21" s="33"/>
      <c r="V21" s="33"/>
      <c r="W21" s="33"/>
      <c r="X21" s="33"/>
    </row>
    <row r="22" spans="1:24" x14ac:dyDescent="0.2">
      <c r="A22" s="87">
        <v>2002</v>
      </c>
      <c r="B22" s="33">
        <f>SUMPRODUCT(Production_Consumption!AB103:AB166,Lifetime!J$15:J$78)</f>
        <v>2.8695107931132746</v>
      </c>
      <c r="C22" s="33">
        <f>SUMPRODUCT(Production_Consumption!AC103:AC166,Lifetime!K$15:K$78)</f>
        <v>18.999770498474756</v>
      </c>
      <c r="D22" s="33">
        <f>SUMPRODUCT(Production_Consumption!AD103:AD166,Lifetime!L$15:L$78)</f>
        <v>1.6329242201329544</v>
      </c>
      <c r="E22" s="33">
        <f>SUMPRODUCT(Production_Consumption!AE103:AE166,Lifetime!M$15:M$78)</f>
        <v>2.4532934679721508</v>
      </c>
      <c r="F22" s="33">
        <f>SUMPRODUCT(Production_Consumption!AF103:AF166,Lifetime!N$15:N$78)</f>
        <v>11.860358414718887</v>
      </c>
      <c r="G22" s="33">
        <f>SUMPRODUCT(Production_Consumption!AG103:AG166,Lifetime!O$15:O$78)</f>
        <v>0.34095519445695166</v>
      </c>
      <c r="H22" s="33">
        <f>SUMPRODUCT(Production_Consumption!AH103:AH166,Lifetime!P$15:P$78)</f>
        <v>5.652545524822445</v>
      </c>
      <c r="I22" s="33">
        <f>SUMPRODUCT(Production_Consumption!AI103:AI166,Lifetime!Q$15:Q$78)</f>
        <v>3.8416500514020719</v>
      </c>
      <c r="J22" s="33">
        <f t="shared" si="2"/>
        <v>47.651008165093486</v>
      </c>
      <c r="K22" s="33">
        <f>Trade!C69</f>
        <v>-0.36037460100000002</v>
      </c>
      <c r="L22" s="99">
        <f t="shared" si="3"/>
        <v>47.247884545414081</v>
      </c>
      <c r="M22" s="112">
        <f t="shared" ca="1" si="0"/>
        <v>2.2770178214459689</v>
      </c>
      <c r="N22" s="105">
        <f t="shared" ca="1" si="1"/>
        <v>49.524902366860047</v>
      </c>
      <c r="O22" s="109">
        <f t="shared" ca="1" si="4"/>
        <v>2.6760443776178486</v>
      </c>
      <c r="P22" s="33">
        <f t="shared" ca="1" si="5"/>
        <v>7.1919176908201896</v>
      </c>
      <c r="Q22" s="33">
        <f t="shared" ca="1" si="5"/>
        <v>37.941802747337789</v>
      </c>
      <c r="R22" s="105">
        <f t="shared" ca="1" si="5"/>
        <v>1.7151375510842202</v>
      </c>
      <c r="S22" s="33">
        <f t="shared" ca="1" si="6"/>
        <v>0</v>
      </c>
      <c r="U22" s="33"/>
      <c r="V22" s="33"/>
      <c r="W22" s="33"/>
      <c r="X22" s="33"/>
    </row>
    <row r="23" spans="1:24" x14ac:dyDescent="0.2">
      <c r="A23" s="87">
        <v>2001</v>
      </c>
      <c r="B23" s="33">
        <f>SUMPRODUCT(Production_Consumption!AB104:AB167,Lifetime!J$15:J$78)</f>
        <v>2.7365684601033355</v>
      </c>
      <c r="C23" s="33">
        <f>SUMPRODUCT(Production_Consumption!AC104:AC167,Lifetime!K$15:K$78)</f>
        <v>19.334272767252532</v>
      </c>
      <c r="D23" s="33">
        <f>SUMPRODUCT(Production_Consumption!AD104:AD167,Lifetime!L$15:L$78)</f>
        <v>1.4978063745602244</v>
      </c>
      <c r="E23" s="33">
        <f>SUMPRODUCT(Production_Consumption!AE104:AE167,Lifetime!M$15:M$78)</f>
        <v>2.3219988794159123</v>
      </c>
      <c r="F23" s="33">
        <f>SUMPRODUCT(Production_Consumption!AF104:AF167,Lifetime!N$15:N$78)</f>
        <v>11.322430348698511</v>
      </c>
      <c r="G23" s="33">
        <f>SUMPRODUCT(Production_Consumption!AG104:AG167,Lifetime!O$15:O$78)</f>
        <v>0.32963412812556564</v>
      </c>
      <c r="H23" s="33">
        <f>SUMPRODUCT(Production_Consumption!AH104:AH167,Lifetime!P$15:P$78)</f>
        <v>5.375303048090486</v>
      </c>
      <c r="I23" s="33">
        <f>SUMPRODUCT(Production_Consumption!AI104:AI167,Lifetime!Q$15:Q$78)</f>
        <v>3.6532272301596675</v>
      </c>
      <c r="J23" s="33">
        <f t="shared" si="2"/>
        <v>46.57124123640623</v>
      </c>
      <c r="K23" s="33">
        <f>Trade!C70</f>
        <v>-0.40111260500000001</v>
      </c>
      <c r="L23" s="99">
        <f t="shared" si="3"/>
        <v>46.123831780580652</v>
      </c>
      <c r="M23" s="108">
        <f t="shared" ca="1" si="0"/>
        <v>1.9396863560394435</v>
      </c>
      <c r="N23" s="105">
        <f t="shared" ca="1" si="1"/>
        <v>48.063518136620097</v>
      </c>
      <c r="O23" s="110">
        <f t="shared" ca="1" si="4"/>
        <v>2.7937494289737113</v>
      </c>
      <c r="P23" s="33">
        <f t="shared" ca="1" si="5"/>
        <v>6.945076988851576</v>
      </c>
      <c r="Q23" s="33">
        <f t="shared" ca="1" si="5"/>
        <v>36.624806961757635</v>
      </c>
      <c r="R23" s="105">
        <f t="shared" ca="1" si="5"/>
        <v>1.6998847570371796</v>
      </c>
      <c r="S23" s="33">
        <f t="shared" ca="1" si="6"/>
        <v>0</v>
      </c>
      <c r="U23" s="33"/>
      <c r="V23" s="33"/>
      <c r="W23" s="33"/>
      <c r="X23" s="33"/>
    </row>
    <row r="24" spans="1:24" x14ac:dyDescent="0.2">
      <c r="A24" s="87">
        <v>2000</v>
      </c>
      <c r="B24" s="33">
        <f>SUMPRODUCT(Production_Consumption!AB105:AB168,Lifetime!J$15:J$78)</f>
        <v>2.606463467333346</v>
      </c>
      <c r="C24" s="33">
        <f>SUMPRODUCT(Production_Consumption!AC105:AC168,Lifetime!K$15:K$78)</f>
        <v>18.747659354186517</v>
      </c>
      <c r="D24" s="33">
        <f>SUMPRODUCT(Production_Consumption!AD105:AD168,Lifetime!L$15:L$78)</f>
        <v>1.3704703857383511</v>
      </c>
      <c r="E24" s="33">
        <f>SUMPRODUCT(Production_Consumption!AE105:AE168,Lifetime!M$15:M$78)</f>
        <v>2.2002339931191868</v>
      </c>
      <c r="F24" s="33">
        <f>SUMPRODUCT(Production_Consumption!AF105:AF168,Lifetime!N$15:N$78)</f>
        <v>10.820660080937264</v>
      </c>
      <c r="G24" s="33">
        <f>SUMPRODUCT(Production_Consumption!AG105:AG168,Lifetime!O$15:O$78)</f>
        <v>0.31422406113516133</v>
      </c>
      <c r="H24" s="33">
        <f>SUMPRODUCT(Production_Consumption!AH105:AH168,Lifetime!P$15:P$78)</f>
        <v>5.0908188668760257</v>
      </c>
      <c r="I24" s="33">
        <f>SUMPRODUCT(Production_Consumption!AI105:AI168,Lifetime!Q$15:Q$78)</f>
        <v>3.4598827158012568</v>
      </c>
      <c r="J24" s="33">
        <f t="shared" si="2"/>
        <v>44.610412925127115</v>
      </c>
      <c r="K24" s="33">
        <f>Trade!C71</f>
        <v>-0.26768318899999999</v>
      </c>
      <c r="L24" s="99">
        <f t="shared" si="3"/>
        <v>44.312182459391657</v>
      </c>
      <c r="M24" s="109">
        <f t="shared" ca="1" si="0"/>
        <v>1.6036547764258935</v>
      </c>
      <c r="N24" s="105">
        <f t="shared" ca="1" si="1"/>
        <v>45.915837235817548</v>
      </c>
      <c r="O24" s="111">
        <f t="shared" ca="1" si="4"/>
        <v>2.6617876658444954</v>
      </c>
      <c r="P24" s="33">
        <f t="shared" ca="1" si="5"/>
        <v>6.6016675463574197</v>
      </c>
      <c r="Q24" s="33">
        <f t="shared" ca="1" si="5"/>
        <v>34.99396011832112</v>
      </c>
      <c r="R24" s="105">
        <f t="shared" ca="1" si="5"/>
        <v>1.6584219052945124</v>
      </c>
      <c r="S24" s="33">
        <f t="shared" ca="1" si="6"/>
        <v>0</v>
      </c>
      <c r="U24" s="33"/>
      <c r="V24" s="33"/>
      <c r="W24" s="33"/>
      <c r="X24" s="33"/>
    </row>
    <row r="25" spans="1:24" x14ac:dyDescent="0.2">
      <c r="A25" s="87">
        <v>1999</v>
      </c>
      <c r="B25" s="33">
        <f>SUMPRODUCT(Production_Consumption!AB106:AB169,Lifetime!J$15:J$78)</f>
        <v>2.4763337679491264</v>
      </c>
      <c r="C25" s="33">
        <f>SUMPRODUCT(Production_Consumption!AC106:AC169,Lifetime!K$15:K$78)</f>
        <v>17.679341391327448</v>
      </c>
      <c r="D25" s="33">
        <f>SUMPRODUCT(Production_Consumption!AD106:AD169,Lifetime!L$15:L$78)</f>
        <v>1.2510872970258515</v>
      </c>
      <c r="E25" s="33">
        <f>SUMPRODUCT(Production_Consumption!AE106:AE169,Lifetime!M$15:M$78)</f>
        <v>2.0926993241562171</v>
      </c>
      <c r="F25" s="33">
        <f>SUMPRODUCT(Production_Consumption!AF106:AF169,Lifetime!N$15:N$78)</f>
        <v>10.267292057476018</v>
      </c>
      <c r="G25" s="33">
        <f>SUMPRODUCT(Production_Consumption!AG106:AG169,Lifetime!O$15:O$78)</f>
        <v>0.30076131994767014</v>
      </c>
      <c r="H25" s="33">
        <f>SUMPRODUCT(Production_Consumption!AH106:AH169,Lifetime!P$15:P$78)</f>
        <v>4.8168078109540389</v>
      </c>
      <c r="I25" s="33">
        <f>SUMPRODUCT(Production_Consumption!AI106:AI169,Lifetime!Q$15:Q$78)</f>
        <v>3.2736560711073133</v>
      </c>
      <c r="J25" s="33">
        <f t="shared" si="2"/>
        <v>42.157979039943676</v>
      </c>
      <c r="K25" s="33">
        <f>Trade!C72</f>
        <v>-0.53731718900000003</v>
      </c>
      <c r="L25" s="99">
        <f t="shared" si="3"/>
        <v>41.559270064812686</v>
      </c>
      <c r="M25" s="110">
        <f t="shared" ca="1" si="0"/>
        <v>1.2771277011395983</v>
      </c>
      <c r="N25" s="105">
        <f t="shared" ca="1" si="1"/>
        <v>42.836397765952285</v>
      </c>
      <c r="O25" s="112">
        <f t="shared" ca="1" si="4"/>
        <v>2.2770178214459689</v>
      </c>
      <c r="P25" s="33">
        <f t="shared" ca="1" si="5"/>
        <v>6.1280573179046787</v>
      </c>
      <c r="Q25" s="33">
        <f t="shared" ca="1" si="5"/>
        <v>32.851260891889574</v>
      </c>
      <c r="R25" s="105">
        <f t="shared" ca="1" si="5"/>
        <v>1.5800617347120649</v>
      </c>
      <c r="S25" s="33">
        <f t="shared" ca="1" si="6"/>
        <v>0</v>
      </c>
      <c r="U25" s="33"/>
      <c r="V25" s="33"/>
      <c r="W25" s="33"/>
      <c r="X25" s="33"/>
    </row>
    <row r="26" spans="1:24" x14ac:dyDescent="0.2">
      <c r="A26" s="87">
        <v>1998</v>
      </c>
      <c r="B26" s="33">
        <f>SUMPRODUCT(Production_Consumption!AB107:AB170,Lifetime!J$15:J$78)</f>
        <v>2.3471447053261039</v>
      </c>
      <c r="C26" s="33">
        <f>SUMPRODUCT(Production_Consumption!AC107:AC170,Lifetime!K$15:K$78)</f>
        <v>17.112508489696094</v>
      </c>
      <c r="D26" s="33">
        <f>SUMPRODUCT(Production_Consumption!AD107:AD170,Lifetime!L$15:L$78)</f>
        <v>1.1396527483476553</v>
      </c>
      <c r="E26" s="33">
        <f>SUMPRODUCT(Production_Consumption!AE107:AE170,Lifetime!M$15:M$78)</f>
        <v>2.0017780041548741</v>
      </c>
      <c r="F26" s="33">
        <f>SUMPRODUCT(Production_Consumption!AF107:AF170,Lifetime!N$15:N$78)</f>
        <v>9.7037462445601825</v>
      </c>
      <c r="G26" s="33">
        <f>SUMPRODUCT(Production_Consumption!AG107:AG170,Lifetime!O$15:O$78)</f>
        <v>0.28529736817888091</v>
      </c>
      <c r="H26" s="33">
        <f>SUMPRODUCT(Production_Consumption!AH107:AH170,Lifetime!P$15:P$78)</f>
        <v>4.5507975991998935</v>
      </c>
      <c r="I26" s="33">
        <f>SUMPRODUCT(Production_Consumption!AI107:AI170,Lifetime!Q$15:Q$78)</f>
        <v>3.0928670550487678</v>
      </c>
      <c r="J26" s="33">
        <f t="shared" si="2"/>
        <v>40.233792214512455</v>
      </c>
      <c r="K26" s="33">
        <f>Trade!C73</f>
        <v>-0.18009599000000001</v>
      </c>
      <c r="L26" s="99">
        <f t="shared" si="3"/>
        <v>40.033325775847118</v>
      </c>
      <c r="M26" s="111">
        <f t="shared" ca="1" si="0"/>
        <v>1.0183174937689157</v>
      </c>
      <c r="N26" s="105">
        <f t="shared" ca="1" si="1"/>
        <v>41.051643269616036</v>
      </c>
      <c r="O26" s="108">
        <f t="shared" ca="1" si="4"/>
        <v>1.9396863560394435</v>
      </c>
      <c r="P26" s="33"/>
      <c r="Q26" s="33"/>
      <c r="R26" s="105"/>
      <c r="S26" s="33"/>
      <c r="U26" s="33"/>
      <c r="V26" s="33"/>
      <c r="W26" s="33"/>
      <c r="X26" s="33"/>
    </row>
    <row r="27" spans="1:24" x14ac:dyDescent="0.2">
      <c r="A27" s="87">
        <v>1997</v>
      </c>
      <c r="B27" s="33">
        <f>SUMPRODUCT(Production_Consumption!AB108:AB171,Lifetime!J$15:J$78)</f>
        <v>2.2229995327623069</v>
      </c>
      <c r="C27" s="33">
        <f>SUMPRODUCT(Production_Consumption!AC108:AC171,Lifetime!K$15:K$78)</f>
        <v>16.317543312425705</v>
      </c>
      <c r="D27" s="33">
        <f>SUMPRODUCT(Production_Consumption!AD108:AD171,Lifetime!L$15:L$78)</f>
        <v>1.0360169167163753</v>
      </c>
      <c r="E27" s="33">
        <f>SUMPRODUCT(Production_Consumption!AE108:AE171,Lifetime!M$15:M$78)</f>
        <v>1.9198255393838759</v>
      </c>
      <c r="F27" s="33">
        <f>SUMPRODUCT(Production_Consumption!AF108:AF171,Lifetime!N$15:N$78)</f>
        <v>9.2279269756789652</v>
      </c>
      <c r="G27" s="33">
        <f>SUMPRODUCT(Production_Consumption!AG108:AG171,Lifetime!O$15:O$78)</f>
        <v>0.26905366871628439</v>
      </c>
      <c r="H27" s="33">
        <f>SUMPRODUCT(Production_Consumption!AH108:AH171,Lifetime!P$15:P$78)</f>
        <v>4.2954336869400231</v>
      </c>
      <c r="I27" s="33">
        <f>SUMPRODUCT(Production_Consumption!AI108:AI171,Lifetime!Q$15:Q$78)</f>
        <v>2.9193136033602589</v>
      </c>
      <c r="J27" s="33">
        <f t="shared" si="2"/>
        <v>38.208113235983795</v>
      </c>
      <c r="K27" s="33">
        <f>Trade!C74</f>
        <v>-0.160674863</v>
      </c>
      <c r="L27" s="99">
        <f t="shared" si="3"/>
        <v>38.029374978570367</v>
      </c>
      <c r="M27" s="112">
        <f t="shared" ca="1" si="0"/>
        <v>0.75902492623093276</v>
      </c>
      <c r="N27" s="105">
        <f t="shared" ca="1" si="1"/>
        <v>38.788399904801302</v>
      </c>
      <c r="O27" s="109">
        <f t="shared" ca="1" si="4"/>
        <v>1.6036547764258935</v>
      </c>
      <c r="P27" s="33"/>
      <c r="Q27" s="33"/>
      <c r="R27" s="105"/>
      <c r="S27" s="33"/>
      <c r="U27" s="33"/>
      <c r="V27" s="33"/>
      <c r="W27" s="33"/>
      <c r="X27" s="33"/>
    </row>
    <row r="28" spans="1:24" x14ac:dyDescent="0.2">
      <c r="A28" s="87">
        <v>1996</v>
      </c>
      <c r="B28" s="33">
        <f>SUMPRODUCT(Production_Consumption!AB109:AB172,Lifetime!J$15:J$78)</f>
        <v>2.108759633296672</v>
      </c>
      <c r="C28" s="33">
        <f>SUMPRODUCT(Production_Consumption!AC109:AC172,Lifetime!K$15:K$78)</f>
        <v>15.024519729203547</v>
      </c>
      <c r="D28" s="33">
        <f>SUMPRODUCT(Production_Consumption!AD109:AD172,Lifetime!L$15:L$78)</f>
        <v>0.93991706462614488</v>
      </c>
      <c r="E28" s="33">
        <f>SUMPRODUCT(Production_Consumption!AE109:AE172,Lifetime!M$15:M$78)</f>
        <v>1.8363663892738953</v>
      </c>
      <c r="F28" s="33">
        <f>SUMPRODUCT(Production_Consumption!AF109:AF172,Lifetime!N$15:N$78)</f>
        <v>8.6300761024372843</v>
      </c>
      <c r="G28" s="33">
        <f>SUMPRODUCT(Production_Consumption!AG109:AG172,Lifetime!O$15:O$78)</f>
        <v>0.25706996143049821</v>
      </c>
      <c r="H28" s="33">
        <f>SUMPRODUCT(Production_Consumption!AH109:AH172,Lifetime!P$15:P$78)</f>
        <v>4.0954156637427381</v>
      </c>
      <c r="I28" s="33">
        <f>SUMPRODUCT(Production_Consumption!AI109:AI172,Lifetime!Q$15:Q$78)</f>
        <v>2.7833749814203119</v>
      </c>
      <c r="J28" s="33">
        <f t="shared" si="2"/>
        <v>35.675499525431086</v>
      </c>
      <c r="K28" s="33">
        <f>Trade!C75</f>
        <v>-0.16210961600000001</v>
      </c>
      <c r="L28" s="99">
        <f t="shared" si="3"/>
        <v>35.494780323876817</v>
      </c>
      <c r="M28" s="108">
        <f t="shared" ca="1" si="0"/>
        <v>0.54416699265622726</v>
      </c>
      <c r="N28" s="105">
        <f t="shared" ca="1" si="1"/>
        <v>36.038947316533047</v>
      </c>
      <c r="O28" s="110">
        <f t="shared" ca="1" si="4"/>
        <v>1.2771277011395983</v>
      </c>
      <c r="P28" s="33"/>
      <c r="Q28" s="33"/>
      <c r="R28" s="105"/>
      <c r="S28" s="33"/>
      <c r="U28" s="33"/>
      <c r="V28" s="33"/>
      <c r="W28" s="33"/>
      <c r="X28" s="33"/>
    </row>
    <row r="29" spans="1:24" x14ac:dyDescent="0.2">
      <c r="A29" s="87">
        <v>1995</v>
      </c>
      <c r="B29" s="33">
        <f>SUMPRODUCT(Production_Consumption!AB110:AB173,Lifetime!J$15:J$78)</f>
        <v>2.0074589580852202</v>
      </c>
      <c r="C29" s="33">
        <f>SUMPRODUCT(Production_Consumption!AC110:AC173,Lifetime!K$15:K$78)</f>
        <v>14.94058468794862</v>
      </c>
      <c r="D29" s="33">
        <f>SUMPRODUCT(Production_Consumption!AD110:AD173,Lifetime!L$15:L$78)</f>
        <v>0.85100282707047992</v>
      </c>
      <c r="E29" s="33">
        <f>SUMPRODUCT(Production_Consumption!AE110:AE173,Lifetime!M$15:M$78)</f>
        <v>1.7455805996839122</v>
      </c>
      <c r="F29" s="33">
        <f>SUMPRODUCT(Production_Consumption!AF110:AF173,Lifetime!N$15:N$78)</f>
        <v>8.1432327098501815</v>
      </c>
      <c r="G29" s="33">
        <f>SUMPRODUCT(Production_Consumption!AG110:AG173,Lifetime!O$15:O$78)</f>
        <v>0.23937207482392459</v>
      </c>
      <c r="H29" s="33">
        <f>SUMPRODUCT(Production_Consumption!AH110:AH173,Lifetime!P$15:P$78)</f>
        <v>3.9379539450450807</v>
      </c>
      <c r="I29" s="33">
        <f>SUMPRODUCT(Production_Consumption!AI110:AI173,Lifetime!Q$15:Q$78)</f>
        <v>2.6763589800325609</v>
      </c>
      <c r="J29" s="33">
        <f t="shared" si="2"/>
        <v>34.541544782539987</v>
      </c>
      <c r="K29" s="33">
        <f>Trade!C76</f>
        <v>-0.36065650199999999</v>
      </c>
      <c r="L29" s="99">
        <f t="shared" si="3"/>
        <v>34.139771164794347</v>
      </c>
      <c r="M29" s="109">
        <f t="shared" ca="1" si="0"/>
        <v>0.34300496795557239</v>
      </c>
      <c r="N29" s="105">
        <f t="shared" ca="1" si="1"/>
        <v>34.482776132749919</v>
      </c>
      <c r="O29" s="111">
        <f t="shared" ca="1" si="4"/>
        <v>1.0183174937689157</v>
      </c>
      <c r="P29" s="33"/>
      <c r="Q29" s="33"/>
      <c r="R29" s="105"/>
      <c r="S29" s="33"/>
      <c r="U29" s="33"/>
      <c r="V29" s="33"/>
      <c r="W29" s="33"/>
      <c r="X29" s="33"/>
    </row>
    <row r="30" spans="1:24" x14ac:dyDescent="0.2">
      <c r="A30" s="87">
        <v>1994</v>
      </c>
      <c r="B30" s="33">
        <f>SUMPRODUCT(Production_Consumption!AB111:AB174,Lifetime!J$15:J$78)</f>
        <v>1.91870311830811</v>
      </c>
      <c r="C30" s="33">
        <f>SUMPRODUCT(Production_Consumption!AC111:AC174,Lifetime!K$15:K$78)</f>
        <v>13.490351105233131</v>
      </c>
      <c r="D30" s="33">
        <f>SUMPRODUCT(Production_Consumption!AD111:AD174,Lifetime!L$15:L$78)</f>
        <v>0.76885373678688507</v>
      </c>
      <c r="E30" s="33">
        <f>SUMPRODUCT(Production_Consumption!AE111:AE174,Lifetime!M$15:M$78)</f>
        <v>1.6480831204416748</v>
      </c>
      <c r="F30" s="33">
        <f>SUMPRODUCT(Production_Consumption!AF111:AF174,Lifetime!N$15:N$78)</f>
        <v>7.7938744668121185</v>
      </c>
      <c r="G30" s="33">
        <f>SUMPRODUCT(Production_Consumption!AG111:AG174,Lifetime!O$15:O$78)</f>
        <v>0.22614382510289732</v>
      </c>
      <c r="H30" s="33">
        <f>SUMPRODUCT(Production_Consumption!AH111:AH174,Lifetime!P$15:P$78)</f>
        <v>3.7919467107667719</v>
      </c>
      <c r="I30" s="33">
        <f>SUMPRODUCT(Production_Consumption!AI111:AI174,Lifetime!Q$15:Q$78)</f>
        <v>2.5771278112419398</v>
      </c>
      <c r="J30" s="33">
        <f t="shared" si="2"/>
        <v>32.215083894693535</v>
      </c>
      <c r="K30" s="33">
        <f>Trade!C77</f>
        <v>-0.225853418</v>
      </c>
      <c r="L30" s="99">
        <f t="shared" si="3"/>
        <v>31.962645907542637</v>
      </c>
      <c r="M30" s="110">
        <f t="shared" ca="1" si="0"/>
        <v>0.16545604807607589</v>
      </c>
      <c r="N30" s="105">
        <f t="shared" ca="1" si="1"/>
        <v>32.12810195561871</v>
      </c>
      <c r="O30" s="112">
        <f t="shared" ca="1" si="4"/>
        <v>0.75902492623093276</v>
      </c>
      <c r="P30" s="33"/>
      <c r="Q30" s="33"/>
      <c r="R30" s="105"/>
      <c r="S30" s="33"/>
      <c r="U30" s="33"/>
      <c r="V30" s="33"/>
      <c r="W30" s="33"/>
      <c r="X30" s="33"/>
    </row>
    <row r="31" spans="1:24" x14ac:dyDescent="0.2">
      <c r="A31" s="87">
        <v>1993</v>
      </c>
      <c r="B31" s="33">
        <f>SUMPRODUCT(Production_Consumption!AB112:AB175,Lifetime!J$15:J$78)</f>
        <v>1.8386131930023262</v>
      </c>
      <c r="C31" s="33">
        <f>SUMPRODUCT(Production_Consumption!AC112:AC175,Lifetime!K$15:K$78)</f>
        <v>12.799030431336369</v>
      </c>
      <c r="D31" s="33">
        <f>SUMPRODUCT(Production_Consumption!AD112:AD175,Lifetime!L$15:L$78)</f>
        <v>0.69299512724098333</v>
      </c>
      <c r="E31" s="33">
        <f>SUMPRODUCT(Production_Consumption!AE112:AE175,Lifetime!M$15:M$78)</f>
        <v>1.5502839113760805</v>
      </c>
      <c r="F31" s="33">
        <f>SUMPRODUCT(Production_Consumption!AF112:AF175,Lifetime!N$15:N$78)</f>
        <v>7.539921337056974</v>
      </c>
      <c r="G31" s="33">
        <f>SUMPRODUCT(Production_Consumption!AG112:AG175,Lifetime!O$15:O$78)</f>
        <v>0.21618623696042799</v>
      </c>
      <c r="H31" s="33">
        <f>SUMPRODUCT(Production_Consumption!AH112:AH175,Lifetime!P$15:P$78)</f>
        <v>3.6309250654543779</v>
      </c>
      <c r="I31" s="33">
        <f>SUMPRODUCT(Production_Consumption!AI112:AI175,Lifetime!Q$15:Q$78)</f>
        <v>2.4676923702933</v>
      </c>
      <c r="J31" s="33">
        <f t="shared" si="2"/>
        <v>30.735647672720837</v>
      </c>
      <c r="K31" s="33">
        <f>Trade!C78</f>
        <v>-2.1663794E-2</v>
      </c>
      <c r="L31" s="99">
        <f t="shared" si="3"/>
        <v>30.711424648035837</v>
      </c>
      <c r="M31" s="111">
        <f t="shared" ca="1" si="0"/>
        <v>0</v>
      </c>
      <c r="N31" s="105">
        <f t="shared" ca="1" si="1"/>
        <v>30.711424648035837</v>
      </c>
      <c r="O31" s="108">
        <f t="shared" ca="1" si="4"/>
        <v>0.54416699265622726</v>
      </c>
      <c r="P31" s="33"/>
      <c r="Q31" s="33"/>
      <c r="R31" s="105"/>
      <c r="S31" s="33"/>
      <c r="U31" s="33"/>
      <c r="V31" s="33"/>
      <c r="W31" s="33"/>
      <c r="X31" s="33"/>
    </row>
    <row r="32" spans="1:24" x14ac:dyDescent="0.2">
      <c r="A32" s="87">
        <v>1992</v>
      </c>
      <c r="B32" s="33">
        <f>SUMPRODUCT(Production_Consumption!AB113:AB176,Lifetime!J$15:J$78)</f>
        <v>1.7607580871725248</v>
      </c>
      <c r="C32" s="33">
        <f>SUMPRODUCT(Production_Consumption!AC113:AC176,Lifetime!K$15:K$78)</f>
        <v>12.054262218897357</v>
      </c>
      <c r="D32" s="33">
        <f>SUMPRODUCT(Production_Consumption!AD113:AD176,Lifetime!L$15:L$78)</f>
        <v>0.62291877372791415</v>
      </c>
      <c r="E32" s="33">
        <f>SUMPRODUCT(Production_Consumption!AE113:AE176,Lifetime!M$15:M$78)</f>
        <v>1.4611382653202662</v>
      </c>
      <c r="F32" s="33">
        <f>SUMPRODUCT(Production_Consumption!AF113:AF176,Lifetime!N$15:N$78)</f>
        <v>7.2675339087094271</v>
      </c>
      <c r="G32" s="33">
        <f>SUMPRODUCT(Production_Consumption!AG113:AG176,Lifetime!O$15:O$78)</f>
        <v>0.20955260405856707</v>
      </c>
      <c r="H32" s="33">
        <f>SUMPRODUCT(Production_Consumption!AH113:AH176,Lifetime!P$15:P$78)</f>
        <v>3.4449817670332079</v>
      </c>
      <c r="I32" s="33">
        <f>SUMPRODUCT(Production_Consumption!AI113:AI176,Lifetime!Q$15:Q$78)</f>
        <v>2.3413193797882834</v>
      </c>
      <c r="J32" s="33">
        <f t="shared" si="2"/>
        <v>29.162465004707549</v>
      </c>
      <c r="K32" s="33">
        <f>Trade!C79</f>
        <v>-0.111749627</v>
      </c>
      <c r="L32" s="99">
        <f t="shared" si="3"/>
        <v>29.037514318488942</v>
      </c>
      <c r="M32" s="112">
        <f t="shared" ca="1" si="0"/>
        <v>0</v>
      </c>
      <c r="N32" s="105">
        <f t="shared" ca="1" si="1"/>
        <v>29.037514318488942</v>
      </c>
      <c r="O32" s="109">
        <f t="shared" ca="1" si="4"/>
        <v>0.34300496795557239</v>
      </c>
      <c r="P32" s="33"/>
      <c r="Q32" s="33"/>
      <c r="R32" s="105"/>
      <c r="S32" s="33"/>
      <c r="U32" s="33"/>
      <c r="V32" s="33"/>
      <c r="W32" s="33"/>
      <c r="X32" s="33"/>
    </row>
    <row r="33" spans="1:24" x14ac:dyDescent="0.2">
      <c r="A33" s="87">
        <v>1991</v>
      </c>
      <c r="B33" s="33">
        <f>SUMPRODUCT(Production_Consumption!AB114:AB177,Lifetime!J$15:J$78)</f>
        <v>1.6777666081096458</v>
      </c>
      <c r="C33" s="33">
        <f>SUMPRODUCT(Production_Consumption!AC114:AC177,Lifetime!K$15:K$78)</f>
        <v>11.885862126235757</v>
      </c>
      <c r="D33" s="33">
        <f>SUMPRODUCT(Production_Consumption!AD114:AD177,Lifetime!L$15:L$78)</f>
        <v>0.5581095822001394</v>
      </c>
      <c r="E33" s="33">
        <f>SUMPRODUCT(Production_Consumption!AE114:AE177,Lifetime!M$15:M$78)</f>
        <v>1.3852817798498827</v>
      </c>
      <c r="F33" s="33">
        <f>SUMPRODUCT(Production_Consumption!AF114:AF177,Lifetime!N$15:N$78)</f>
        <v>6.9863478933735585</v>
      </c>
      <c r="G33" s="33">
        <f>SUMPRODUCT(Production_Consumption!AG114:AG177,Lifetime!O$15:O$78)</f>
        <v>0.20162279276798792</v>
      </c>
      <c r="H33" s="33">
        <f>SUMPRODUCT(Production_Consumption!AH114:AH177,Lifetime!P$15:P$78)</f>
        <v>3.2327736043654949</v>
      </c>
      <c r="I33" s="33">
        <f>SUMPRODUCT(Production_Consumption!AI114:AI177,Lifetime!Q$15:Q$78)</f>
        <v>2.1970959506375789</v>
      </c>
      <c r="J33" s="33">
        <f t="shared" si="2"/>
        <v>28.124860337540046</v>
      </c>
      <c r="K33" s="33">
        <f>Trade!C80</f>
        <v>-9.9631223000000005E-2</v>
      </c>
      <c r="L33" s="99">
        <f t="shared" si="3"/>
        <v>28.013777139880634</v>
      </c>
      <c r="M33" s="108">
        <f t="shared" ca="1" si="0"/>
        <v>0</v>
      </c>
      <c r="N33" s="105">
        <f t="shared" ca="1" si="1"/>
        <v>28.013777139880634</v>
      </c>
      <c r="O33" s="110">
        <f t="shared" ca="1" si="4"/>
        <v>0.16545604807607589</v>
      </c>
      <c r="P33" s="33"/>
      <c r="Q33" s="33"/>
      <c r="R33" s="105"/>
      <c r="S33" s="33"/>
      <c r="U33" s="33"/>
      <c r="V33" s="33"/>
      <c r="W33" s="33"/>
      <c r="X33" s="33"/>
    </row>
    <row r="34" spans="1:24" x14ac:dyDescent="0.2">
      <c r="A34" s="96">
        <v>1990</v>
      </c>
      <c r="B34" s="33">
        <f>SUMPRODUCT(Production_Consumption!AB115:AB178,Lifetime!J$15:J$78)</f>
        <v>1.5844472462441779</v>
      </c>
      <c r="C34" s="33">
        <f>SUMPRODUCT(Production_Consumption!AC115:AC178,Lifetime!K$15:K$78)</f>
        <v>11.290596837943303</v>
      </c>
      <c r="D34" s="33">
        <f>SUMPRODUCT(Production_Consumption!AD115:AD178,Lifetime!L$15:L$78)</f>
        <v>0.49807407510252483</v>
      </c>
      <c r="E34" s="33">
        <f>SUMPRODUCT(Production_Consumption!AE115:AE178,Lifetime!M$15:M$78)</f>
        <v>1.3239572706041201</v>
      </c>
      <c r="F34" s="33">
        <f>SUMPRODUCT(Production_Consumption!AF115:AF178,Lifetime!N$15:N$78)</f>
        <v>6.5946836464611538</v>
      </c>
      <c r="G34" s="33">
        <f>SUMPRODUCT(Production_Consumption!AG115:AG178,Lifetime!O$15:O$78)</f>
        <v>0.19432132018018278</v>
      </c>
      <c r="H34" s="33">
        <f>SUMPRODUCT(Production_Consumption!AH115:AH178,Lifetime!P$15:P$78)</f>
        <v>3.0288403815347014</v>
      </c>
      <c r="I34" s="33">
        <f>SUMPRODUCT(Production_Consumption!AI115:AI178,Lifetime!Q$15:Q$78)</f>
        <v>2.0584964342727599</v>
      </c>
      <c r="J34" s="33">
        <f t="shared" si="2"/>
        <v>26.573417212342925</v>
      </c>
      <c r="K34" s="97">
        <f>Trade!C81</f>
        <v>-4.8967033E-2</v>
      </c>
      <c r="L34" s="100">
        <f t="shared" si="3"/>
        <v>26.518868912706075</v>
      </c>
      <c r="M34" s="109">
        <f t="shared" ca="1" si="0"/>
        <v>0</v>
      </c>
      <c r="N34" s="105">
        <f t="shared" ca="1" si="1"/>
        <v>26.518868912706075</v>
      </c>
      <c r="O34" s="111">
        <f t="shared" ca="1" si="4"/>
        <v>0</v>
      </c>
      <c r="P34" s="33"/>
      <c r="Q34" s="33"/>
      <c r="R34" s="105"/>
      <c r="S34" s="33"/>
      <c r="U34" s="33"/>
      <c r="V34" s="33"/>
      <c r="W34" s="33"/>
      <c r="X34" s="33"/>
    </row>
    <row r="37" spans="1:24" x14ac:dyDescent="0.2">
      <c r="N37" t="s">
        <v>250</v>
      </c>
    </row>
    <row r="38" spans="1:24" x14ac:dyDescent="0.2">
      <c r="O38" s="87" t="s">
        <v>251</v>
      </c>
      <c r="P38" s="1" t="s">
        <v>252</v>
      </c>
      <c r="Q38" s="1" t="s">
        <v>253</v>
      </c>
      <c r="R38" s="88" t="s">
        <v>254</v>
      </c>
    </row>
    <row r="39" spans="1:24" x14ac:dyDescent="0.2">
      <c r="M39" s="1"/>
      <c r="N39" s="1">
        <v>2020</v>
      </c>
      <c r="O39" s="89">
        <v>9.4027219941646395E-2</v>
      </c>
      <c r="P39" s="90">
        <v>0.15387243036499598</v>
      </c>
      <c r="Q39" s="90">
        <v>0.72837784103448111</v>
      </c>
      <c r="R39" s="91">
        <v>2.3722508658876641E-2</v>
      </c>
      <c r="S39" s="68"/>
    </row>
    <row r="40" spans="1:24" x14ac:dyDescent="0.2">
      <c r="M40" s="1"/>
      <c r="N40" s="1">
        <v>2019</v>
      </c>
      <c r="O40" s="89">
        <v>9.0315179477549662E-2</v>
      </c>
      <c r="P40" s="90">
        <v>0.15569182056366393</v>
      </c>
      <c r="Q40" s="90">
        <v>0.72976658180225396</v>
      </c>
      <c r="R40" s="91">
        <v>2.4226418156532519E-2</v>
      </c>
    </row>
    <row r="41" spans="1:24" x14ac:dyDescent="0.2">
      <c r="M41" s="1"/>
      <c r="N41" s="1">
        <v>2018</v>
      </c>
      <c r="O41" s="89">
        <v>8.6603139013452915E-2</v>
      </c>
      <c r="P41" s="90">
        <v>0.15751121076233185</v>
      </c>
      <c r="Q41" s="90">
        <v>0.73114461861010926</v>
      </c>
      <c r="R41" s="91">
        <v>2.4741031614105922E-2</v>
      </c>
    </row>
    <row r="42" spans="1:24" x14ac:dyDescent="0.2">
      <c r="M42" s="1"/>
      <c r="N42" s="1">
        <v>2017</v>
      </c>
      <c r="O42" s="89">
        <v>8.4721829991527817E-2</v>
      </c>
      <c r="P42" s="90">
        <v>0.15786500988421351</v>
      </c>
      <c r="Q42" s="90">
        <v>0.73214658372096431</v>
      </c>
      <c r="R42" s="91">
        <v>2.5266576403294449E-2</v>
      </c>
    </row>
    <row r="43" spans="1:24" x14ac:dyDescent="0.2">
      <c r="M43" s="1"/>
      <c r="N43" s="1">
        <v>2016</v>
      </c>
      <c r="O43" s="89">
        <v>9.3955886565454019E-2</v>
      </c>
      <c r="P43" s="90">
        <v>0.15296476654253796</v>
      </c>
      <c r="Q43" s="90">
        <v>0.72727606216642127</v>
      </c>
      <c r="R43" s="91">
        <v>2.5803284725586653E-2</v>
      </c>
    </row>
    <row r="44" spans="1:24" x14ac:dyDescent="0.2">
      <c r="M44" s="1"/>
      <c r="N44" s="1">
        <v>2015</v>
      </c>
      <c r="O44" s="89">
        <v>9.0487238979118326E-2</v>
      </c>
      <c r="P44" s="90">
        <v>0.15458236658932714</v>
      </c>
      <c r="Q44" s="90">
        <v>0.7285790007166989</v>
      </c>
      <c r="R44" s="91">
        <v>2.6351393714855651E-2</v>
      </c>
    </row>
    <row r="45" spans="1:24" x14ac:dyDescent="0.2">
      <c r="M45" s="1"/>
      <c r="N45" s="1">
        <v>2014</v>
      </c>
      <c r="O45" s="89">
        <v>9.4781043791241748E-2</v>
      </c>
      <c r="P45" s="90">
        <v>0.14997000599880023</v>
      </c>
      <c r="Q45" s="90">
        <v>0.72833780466782594</v>
      </c>
      <c r="R45" s="91">
        <v>2.6911145542131996E-2</v>
      </c>
    </row>
    <row r="46" spans="1:24" x14ac:dyDescent="0.2">
      <c r="M46" s="1"/>
      <c r="N46" s="1">
        <v>2013</v>
      </c>
      <c r="O46" s="89">
        <v>9.1353498319584475E-2</v>
      </c>
      <c r="P46" s="90">
        <v>0.15062633669416436</v>
      </c>
      <c r="Q46" s="90">
        <v>0.730537377463649</v>
      </c>
      <c r="R46" s="91">
        <v>2.7482787522602123E-2</v>
      </c>
    </row>
    <row r="47" spans="1:24" x14ac:dyDescent="0.2">
      <c r="M47" s="1"/>
      <c r="N47" s="1">
        <v>2012</v>
      </c>
      <c r="O47" s="89">
        <v>8.699719363891488E-2</v>
      </c>
      <c r="P47" s="90">
        <v>0.15653258497037731</v>
      </c>
      <c r="Q47" s="90">
        <v>0.72840364916582812</v>
      </c>
      <c r="R47" s="91">
        <v>2.806657222487962E-2</v>
      </c>
    </row>
    <row r="48" spans="1:24" x14ac:dyDescent="0.2">
      <c r="M48" s="1"/>
      <c r="N48" s="1">
        <v>2011</v>
      </c>
      <c r="O48" s="89">
        <v>8.2866043613707169E-2</v>
      </c>
      <c r="P48" s="90">
        <v>0.16199376947040497</v>
      </c>
      <c r="Q48" s="90">
        <v>0.72647742933329018</v>
      </c>
      <c r="R48" s="91">
        <v>2.8662757582597651E-2</v>
      </c>
    </row>
    <row r="49" spans="13:18" x14ac:dyDescent="0.2">
      <c r="M49" s="1"/>
      <c r="N49" s="1">
        <v>2010</v>
      </c>
      <c r="O49" s="89">
        <v>7.9617834394904455E-2</v>
      </c>
      <c r="P49" s="90">
        <v>0.14426751592356687</v>
      </c>
      <c r="Q49" s="90">
        <v>0.74684304267315682</v>
      </c>
      <c r="R49" s="91">
        <v>2.9271607008371784E-2</v>
      </c>
    </row>
    <row r="50" spans="13:18" x14ac:dyDescent="0.2">
      <c r="M50" s="1"/>
      <c r="N50" s="1">
        <v>2009</v>
      </c>
      <c r="O50" s="89">
        <v>7.050216162287995E-2</v>
      </c>
      <c r="P50" s="90">
        <v>0.15026044833756885</v>
      </c>
      <c r="Q50" s="90">
        <v>0.74934400052936767</v>
      </c>
      <c r="R50" s="91">
        <v>2.9893389510183603E-2</v>
      </c>
    </row>
    <row r="51" spans="13:18" x14ac:dyDescent="0.2">
      <c r="M51" s="1"/>
      <c r="N51" s="1">
        <v>2008</v>
      </c>
      <c r="O51" s="89">
        <v>7.06503796632552E-2</v>
      </c>
      <c r="P51" s="90">
        <v>0.14954012862894248</v>
      </c>
      <c r="Q51" s="90">
        <v>0.74928111189756585</v>
      </c>
      <c r="R51" s="91">
        <v>3.0528379810236525E-2</v>
      </c>
    </row>
    <row r="52" spans="13:18" x14ac:dyDescent="0.2">
      <c r="M52" s="1"/>
      <c r="N52" s="1">
        <v>2007</v>
      </c>
      <c r="O52" s="89">
        <v>6.8262698155936594E-2</v>
      </c>
      <c r="P52" s="90">
        <v>0.1488198089203161</v>
      </c>
      <c r="Q52" s="90">
        <v>0.75174063445741102</v>
      </c>
      <c r="R52" s="91">
        <v>3.1176858466336322E-2</v>
      </c>
    </row>
    <row r="53" spans="13:18" x14ac:dyDescent="0.2">
      <c r="M53" s="1"/>
      <c r="N53" s="1">
        <v>2006</v>
      </c>
      <c r="O53" s="89">
        <v>6.8758344459279044E-2</v>
      </c>
      <c r="P53" s="90">
        <v>0.14809948921168972</v>
      </c>
      <c r="Q53" s="90">
        <v>0.75130305433318123</v>
      </c>
      <c r="R53" s="91">
        <v>3.1839111995850003E-2</v>
      </c>
    </row>
    <row r="54" spans="13:18" x14ac:dyDescent="0.2">
      <c r="M54" s="1"/>
      <c r="N54" s="1">
        <v>2005</v>
      </c>
      <c r="O54" s="89">
        <v>6.0585432266848198E-2</v>
      </c>
      <c r="P54" s="90">
        <v>0.14737916950306332</v>
      </c>
      <c r="Q54" s="90">
        <v>0.75951996522779075</v>
      </c>
      <c r="R54" s="91">
        <v>3.2515433002297797E-2</v>
      </c>
    </row>
    <row r="55" spans="13:18" x14ac:dyDescent="0.2">
      <c r="M55" s="1"/>
      <c r="N55" s="1">
        <v>2004</v>
      </c>
      <c r="O55" s="89">
        <v>5.868385345997286E-2</v>
      </c>
      <c r="P55" s="90">
        <v>0.14665884979443694</v>
      </c>
      <c r="Q55" s="90">
        <v>0.76145117644095606</v>
      </c>
      <c r="R55" s="91">
        <v>3.3206120304634192E-2</v>
      </c>
    </row>
    <row r="56" spans="13:18" x14ac:dyDescent="0.2">
      <c r="M56" s="1"/>
      <c r="N56" s="1">
        <v>2003</v>
      </c>
      <c r="O56" s="89">
        <v>5.4897739504843918E-2</v>
      </c>
      <c r="P56" s="90">
        <v>0.14593853008581056</v>
      </c>
      <c r="Q56" s="90">
        <v>0.76525225134007036</v>
      </c>
      <c r="R56" s="91">
        <v>3.3911479069275115E-2</v>
      </c>
    </row>
    <row r="57" spans="13:18" x14ac:dyDescent="0.2">
      <c r="M57" s="1"/>
      <c r="N57" s="1">
        <v>2002</v>
      </c>
      <c r="O57" s="89">
        <v>5.4034319094560058E-2</v>
      </c>
      <c r="P57" s="90">
        <v>0.14521821037718419</v>
      </c>
      <c r="Q57" s="90">
        <v>0.76611564958332612</v>
      </c>
      <c r="R57" s="91">
        <v>3.4631820944929656E-2</v>
      </c>
    </row>
    <row r="58" spans="13:18" x14ac:dyDescent="0.2">
      <c r="M58" s="1"/>
      <c r="N58" s="1">
        <v>2001</v>
      </c>
      <c r="O58" s="89">
        <v>5.8126195028680688E-2</v>
      </c>
      <c r="P58" s="90">
        <v>0.14449789066855781</v>
      </c>
      <c r="Q58" s="90">
        <v>0.76200845010246576</v>
      </c>
      <c r="R58" s="91">
        <v>3.5367464200295809E-2</v>
      </c>
    </row>
    <row r="59" spans="13:18" x14ac:dyDescent="0.2">
      <c r="M59" s="1"/>
      <c r="N59" s="1">
        <v>2000</v>
      </c>
      <c r="O59" s="89">
        <v>5.7971014492753624E-2</v>
      </c>
      <c r="P59" s="90">
        <v>0.14377757095993143</v>
      </c>
      <c r="Q59" s="90">
        <v>0.76213268068263373</v>
      </c>
      <c r="R59" s="91">
        <v>3.6118733864681181E-2</v>
      </c>
    </row>
    <row r="60" spans="13:18" x14ac:dyDescent="0.2">
      <c r="M60" s="1"/>
      <c r="N60" s="1">
        <v>1999</v>
      </c>
      <c r="O60" s="89">
        <v>5.3156146179401995E-2</v>
      </c>
      <c r="P60" s="90">
        <v>0.14305725125130506</v>
      </c>
      <c r="Q60" s="90">
        <v>0.76690064069768227</v>
      </c>
      <c r="R60" s="91">
        <v>3.6885961871610681E-2</v>
      </c>
    </row>
    <row r="61" spans="13:18" x14ac:dyDescent="0.2">
      <c r="M61" s="1"/>
      <c r="N61" s="1">
        <v>1998</v>
      </c>
      <c r="O61" s="89">
        <v>4.7249907715023992E-2</v>
      </c>
      <c r="P61" s="90"/>
      <c r="Q61" s="90"/>
      <c r="R61" s="91"/>
    </row>
    <row r="62" spans="13:18" x14ac:dyDescent="0.2">
      <c r="M62" s="1"/>
      <c r="N62" s="1">
        <v>1997</v>
      </c>
      <c r="O62" s="89">
        <v>4.134366925064599E-2</v>
      </c>
      <c r="P62" s="90"/>
      <c r="Q62" s="90"/>
      <c r="R62" s="91"/>
    </row>
    <row r="63" spans="13:18" x14ac:dyDescent="0.2">
      <c r="M63" s="1"/>
      <c r="N63" s="1">
        <v>1996</v>
      </c>
      <c r="O63" s="89">
        <v>3.5437430786267987E-2</v>
      </c>
      <c r="P63" s="90"/>
      <c r="Q63" s="90"/>
      <c r="R63" s="91"/>
    </row>
    <row r="64" spans="13:18" x14ac:dyDescent="0.2">
      <c r="M64" s="1"/>
      <c r="N64" s="1">
        <v>1995</v>
      </c>
      <c r="O64" s="89">
        <v>2.9531192321889988E-2</v>
      </c>
      <c r="P64" s="90"/>
      <c r="Q64" s="90"/>
      <c r="R64" s="91"/>
    </row>
    <row r="65" spans="13:18" x14ac:dyDescent="0.2">
      <c r="M65" s="1"/>
      <c r="N65" s="1">
        <v>1994</v>
      </c>
      <c r="O65" s="89">
        <v>2.3624953857511989E-2</v>
      </c>
      <c r="P65" s="90"/>
      <c r="Q65" s="90"/>
      <c r="R65" s="91"/>
    </row>
    <row r="66" spans="13:18" x14ac:dyDescent="0.2">
      <c r="M66" s="1"/>
      <c r="N66" s="1">
        <v>1993</v>
      </c>
      <c r="O66" s="89">
        <v>1.771871539313399E-2</v>
      </c>
      <c r="P66" s="90"/>
      <c r="Q66" s="90"/>
      <c r="R66" s="91"/>
    </row>
    <row r="67" spans="13:18" x14ac:dyDescent="0.2">
      <c r="M67" s="1"/>
      <c r="N67" s="1">
        <v>1992</v>
      </c>
      <c r="O67" s="89">
        <v>1.1812476928755991E-2</v>
      </c>
      <c r="P67" s="90"/>
      <c r="Q67" s="90"/>
      <c r="R67" s="91"/>
    </row>
    <row r="68" spans="13:18" x14ac:dyDescent="0.2">
      <c r="M68" s="1"/>
      <c r="N68" s="1">
        <v>1991</v>
      </c>
      <c r="O68" s="89">
        <v>5.9062384643779921E-3</v>
      </c>
      <c r="P68" s="90"/>
      <c r="Q68" s="90"/>
      <c r="R68" s="91"/>
    </row>
    <row r="69" spans="13:18" x14ac:dyDescent="0.2">
      <c r="M69" s="1"/>
      <c r="N69" s="1">
        <v>1990</v>
      </c>
      <c r="O69" s="89">
        <v>0</v>
      </c>
      <c r="P69" s="90"/>
      <c r="Q69" s="90"/>
      <c r="R69" s="91"/>
    </row>
  </sheetData>
  <mergeCells count="5">
    <mergeCell ref="O1:R1"/>
    <mergeCell ref="M1:N1"/>
    <mergeCell ref="T1:V1"/>
    <mergeCell ref="T2:V2"/>
    <mergeCell ref="A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6524-F108-BB40-B19F-6B700587DF8A}">
  <dimension ref="B2:R74"/>
  <sheetViews>
    <sheetView topLeftCell="H1" zoomScale="93" zoomScaleNormal="100" workbookViewId="0">
      <selection activeCell="I57" sqref="I57"/>
    </sheetView>
  </sheetViews>
  <sheetFormatPr baseColWidth="10" defaultRowHeight="16" x14ac:dyDescent="0.2"/>
  <cols>
    <col min="1" max="1" width="3.83203125" style="13" customWidth="1"/>
    <col min="2" max="2" width="10.83203125" style="13"/>
    <col min="3" max="3" width="12.5" style="13" customWidth="1"/>
    <col min="4" max="4" width="18.6640625" style="13" customWidth="1"/>
    <col min="5" max="5" width="37.1640625" style="13" bestFit="1" customWidth="1"/>
    <col min="6" max="6" width="10.83203125" style="13"/>
    <col min="7" max="7" width="42.83203125" style="13" bestFit="1" customWidth="1"/>
    <col min="8" max="8" width="45" style="13" bestFit="1" customWidth="1"/>
    <col min="9" max="9" width="39.5" style="13" bestFit="1" customWidth="1"/>
    <col min="10" max="10" width="45.6640625" style="13" bestFit="1" customWidth="1"/>
    <col min="11" max="11" width="38" style="13" bestFit="1" customWidth="1"/>
    <col min="12" max="12" width="40.6640625" style="13" customWidth="1"/>
    <col min="13" max="13" width="32.33203125" style="13" customWidth="1"/>
    <col min="14" max="14" width="30.6640625" style="13" customWidth="1"/>
    <col min="15" max="16384" width="10.83203125" style="13"/>
  </cols>
  <sheetData>
    <row r="2" spans="2:18" s="5" customFormat="1" x14ac:dyDescent="0.2">
      <c r="B2" s="167" t="s">
        <v>5</v>
      </c>
      <c r="C2" s="168"/>
      <c r="D2" s="168"/>
      <c r="E2" s="169"/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168" t="s">
        <v>11</v>
      </c>
      <c r="M2" s="169"/>
    </row>
    <row r="3" spans="2:18" s="5" customFormat="1" x14ac:dyDescent="0.2">
      <c r="B3" s="6" t="s">
        <v>0</v>
      </c>
      <c r="C3" s="5" t="s">
        <v>12</v>
      </c>
      <c r="D3" s="5" t="s">
        <v>13</v>
      </c>
      <c r="E3" s="7" t="s">
        <v>14</v>
      </c>
      <c r="G3" s="6" t="s">
        <v>15</v>
      </c>
      <c r="H3" s="6" t="s">
        <v>15</v>
      </c>
      <c r="I3" s="6" t="s">
        <v>15</v>
      </c>
      <c r="J3" s="6" t="s">
        <v>15</v>
      </c>
      <c r="K3" s="6" t="s">
        <v>15</v>
      </c>
      <c r="L3" s="5" t="s">
        <v>15</v>
      </c>
      <c r="M3" s="7" t="s">
        <v>16</v>
      </c>
      <c r="N3" s="70" t="s">
        <v>214</v>
      </c>
    </row>
    <row r="4" spans="2:18" x14ac:dyDescent="0.2">
      <c r="B4" s="6">
        <v>2020</v>
      </c>
      <c r="C4" s="8">
        <v>75993</v>
      </c>
      <c r="D4" s="9">
        <f>C4/1000</f>
        <v>75.992999999999995</v>
      </c>
      <c r="E4" s="10">
        <f>D4/Production_Consumption!$B5</f>
        <v>0.20769657218450796</v>
      </c>
      <c r="F4" s="5"/>
      <c r="G4" s="11">
        <v>0.73770500000000006</v>
      </c>
      <c r="H4" s="11">
        <v>0.74563100000000004</v>
      </c>
      <c r="I4" s="11">
        <v>5.56701E-2</v>
      </c>
      <c r="J4" s="11">
        <v>1.5699399999999999</v>
      </c>
      <c r="K4" s="11">
        <v>1.25793</v>
      </c>
      <c r="L4" s="9">
        <f t="shared" ref="L4:L44" si="0">SUM(G4,H4,I4,J4,K4)</f>
        <v>4.3668760999999998</v>
      </c>
      <c r="M4" s="12">
        <f>M5*L4/L5</f>
        <v>2.9837415294558709</v>
      </c>
      <c r="N4" s="69" t="s">
        <v>215</v>
      </c>
      <c r="P4" s="14"/>
      <c r="Q4" s="14"/>
      <c r="R4" s="14"/>
    </row>
    <row r="5" spans="2:18" x14ac:dyDescent="0.2">
      <c r="B5" s="6">
        <v>2019</v>
      </c>
      <c r="C5" s="8">
        <v>73740</v>
      </c>
      <c r="D5" s="9">
        <f>C5/1000</f>
        <v>73.739999999999995</v>
      </c>
      <c r="E5" s="10">
        <f>D5/Production_Consumption!$B6</f>
        <v>0.20402101699842487</v>
      </c>
      <c r="F5" s="5"/>
      <c r="G5" s="11">
        <v>0.73770500000000006</v>
      </c>
      <c r="H5" s="11">
        <v>0.74563100000000004</v>
      </c>
      <c r="I5" s="11">
        <v>5.6760100000000001E-2</v>
      </c>
      <c r="J5" s="11">
        <v>1.55324</v>
      </c>
      <c r="K5" s="11">
        <v>1.2790699999999999</v>
      </c>
      <c r="L5" s="9">
        <f t="shared" si="0"/>
        <v>4.3724061000000001</v>
      </c>
      <c r="M5" s="12">
        <f>M6*L5/L6</f>
        <v>2.9875199949492912</v>
      </c>
      <c r="N5" s="5"/>
      <c r="P5" s="14"/>
      <c r="Q5" s="14"/>
      <c r="R5" s="14"/>
    </row>
    <row r="6" spans="2:18" x14ac:dyDescent="0.2">
      <c r="B6" s="6">
        <v>2018</v>
      </c>
      <c r="C6" s="8">
        <v>71410</v>
      </c>
      <c r="D6" s="9">
        <f>C6/1000</f>
        <v>71.41</v>
      </c>
      <c r="E6" s="10">
        <f>D6/Production_Consumption!$B7</f>
        <v>0.20654793874244637</v>
      </c>
      <c r="F6" s="5"/>
      <c r="G6" s="11">
        <v>0.73770500000000006</v>
      </c>
      <c r="H6" s="11">
        <v>0.74563100000000004</v>
      </c>
      <c r="I6" s="11">
        <v>5.7850199999999997E-2</v>
      </c>
      <c r="J6" s="11">
        <v>1.53653</v>
      </c>
      <c r="K6" s="11">
        <v>1.1099399999999999</v>
      </c>
      <c r="L6" s="9">
        <f t="shared" si="0"/>
        <v>4.1876562000000002</v>
      </c>
      <c r="M6" s="12">
        <f>M7*L6/L7</f>
        <v>2.8612865189885652</v>
      </c>
      <c r="N6" s="5"/>
      <c r="P6" s="14"/>
      <c r="Q6" s="14"/>
      <c r="R6" s="14"/>
    </row>
    <row r="7" spans="2:18" x14ac:dyDescent="0.2">
      <c r="B7" s="6">
        <v>2017</v>
      </c>
      <c r="C7" s="8">
        <v>69028</v>
      </c>
      <c r="D7" s="9">
        <f>C7/1000</f>
        <v>69.028000000000006</v>
      </c>
      <c r="E7" s="10">
        <f>D7/Production_Consumption!$B8</f>
        <v>0.20361273715248654</v>
      </c>
      <c r="F7" s="5"/>
      <c r="G7" s="11">
        <v>0.73770500000000006</v>
      </c>
      <c r="H7" s="11">
        <v>0.74563100000000004</v>
      </c>
      <c r="I7" s="11">
        <v>5.8940199999999998E-2</v>
      </c>
      <c r="J7" s="11">
        <v>1.53653</v>
      </c>
      <c r="K7" s="11">
        <v>1.3107800000000001</v>
      </c>
      <c r="L7" s="9">
        <f t="shared" si="0"/>
        <v>4.3895862000000001</v>
      </c>
      <c r="M7" s="12">
        <f>M8*L7/L8</f>
        <v>2.9992585871777737</v>
      </c>
      <c r="N7" s="5"/>
      <c r="P7" s="14"/>
      <c r="Q7" s="14"/>
      <c r="R7" s="14"/>
    </row>
    <row r="8" spans="2:18" x14ac:dyDescent="0.2">
      <c r="B8" s="6">
        <v>2016</v>
      </c>
      <c r="C8" s="5">
        <v>64750</v>
      </c>
      <c r="D8" s="9">
        <f>C8/1000</f>
        <v>64.75</v>
      </c>
      <c r="E8" s="10">
        <f>D8/Production_Consumption!$B9</f>
        <v>0.1964979300731422</v>
      </c>
      <c r="F8" s="5"/>
      <c r="G8" s="11">
        <v>0.73770500000000006</v>
      </c>
      <c r="H8" s="11">
        <v>0.74563100000000004</v>
      </c>
      <c r="I8" s="11">
        <v>6.61553E-2</v>
      </c>
      <c r="J8" s="11">
        <v>1.51983</v>
      </c>
      <c r="K8" s="11">
        <v>1.32135</v>
      </c>
      <c r="L8" s="9">
        <f t="shared" si="0"/>
        <v>4.3906713000000002</v>
      </c>
      <c r="M8" s="15">
        <v>3</v>
      </c>
      <c r="N8" s="5"/>
      <c r="P8" s="14"/>
      <c r="Q8" s="14"/>
      <c r="R8" s="14"/>
    </row>
    <row r="9" spans="2:18" x14ac:dyDescent="0.2">
      <c r="B9" s="6">
        <v>2015</v>
      </c>
      <c r="C9" s="5">
        <v>63568</v>
      </c>
      <c r="D9" s="9">
        <f t="shared" ref="D9:D54" si="1">C9/1000</f>
        <v>63.567999999999998</v>
      </c>
      <c r="E9" s="10">
        <f>D9/Production_Consumption!$B10</f>
        <v>0.19950083548817454</v>
      </c>
      <c r="F9" s="5"/>
      <c r="G9" s="11">
        <v>0.73770500000000006</v>
      </c>
      <c r="H9" s="11">
        <v>0.74563100000000004</v>
      </c>
      <c r="I9" s="11">
        <v>6.7245299999999994E-2</v>
      </c>
      <c r="J9" s="11">
        <v>1.51983</v>
      </c>
      <c r="K9" s="11">
        <v>1.3002100000000001</v>
      </c>
      <c r="L9" s="9">
        <f t="shared" si="0"/>
        <v>4.3706212999999998</v>
      </c>
      <c r="M9" s="12">
        <f t="shared" ref="M9:M44" si="2">M8*L9/L8</f>
        <v>2.9863005003357914</v>
      </c>
      <c r="N9" s="5"/>
      <c r="P9" s="14"/>
      <c r="Q9" s="14"/>
      <c r="R9" s="14"/>
    </row>
    <row r="10" spans="2:18" x14ac:dyDescent="0.2">
      <c r="B10" s="6">
        <v>2014</v>
      </c>
      <c r="C10" s="5">
        <v>59788</v>
      </c>
      <c r="D10" s="9">
        <f t="shared" si="1"/>
        <v>59.787999999999997</v>
      </c>
      <c r="E10" s="10">
        <f>D10/Production_Consumption!$B11</f>
        <v>0.19389047462109868</v>
      </c>
      <c r="F10" s="5"/>
      <c r="G10" s="11">
        <v>0.73770500000000006</v>
      </c>
      <c r="H10" s="11">
        <v>0.74563100000000004</v>
      </c>
      <c r="I10" s="11">
        <v>6.8335400000000004E-2</v>
      </c>
      <c r="J10" s="11">
        <v>1.5031300000000001</v>
      </c>
      <c r="K10" s="11">
        <v>1.3847799999999999</v>
      </c>
      <c r="L10" s="9">
        <f t="shared" si="0"/>
        <v>4.4395813999999998</v>
      </c>
      <c r="M10" s="12">
        <f t="shared" si="2"/>
        <v>3.0334186483055561</v>
      </c>
      <c r="N10" s="5"/>
      <c r="P10" s="14"/>
      <c r="Q10" s="14"/>
      <c r="R10" s="14"/>
    </row>
    <row r="11" spans="2:18" x14ac:dyDescent="0.2">
      <c r="B11" s="6">
        <v>2013</v>
      </c>
      <c r="C11" s="5">
        <v>56682</v>
      </c>
      <c r="D11" s="9">
        <f t="shared" si="1"/>
        <v>56.682000000000002</v>
      </c>
      <c r="E11" s="10">
        <f>D11/Production_Consumption!$B12</f>
        <v>0.1926082029702911</v>
      </c>
      <c r="F11" s="5"/>
      <c r="G11" s="11">
        <v>0.73770500000000006</v>
      </c>
      <c r="H11" s="11">
        <v>0.74563100000000004</v>
      </c>
      <c r="I11" s="11">
        <v>6.9425399999999998E-2</v>
      </c>
      <c r="J11" s="11">
        <v>1.5031300000000001</v>
      </c>
      <c r="K11" s="11">
        <v>1.4587699999999999</v>
      </c>
      <c r="L11" s="9">
        <f t="shared" si="0"/>
        <v>4.5146613999999996</v>
      </c>
      <c r="M11" s="12">
        <f t="shared" si="2"/>
        <v>3.0847183208635998</v>
      </c>
      <c r="N11" s="5"/>
      <c r="P11" s="14"/>
      <c r="Q11" s="14"/>
      <c r="R11" s="14"/>
    </row>
    <row r="12" spans="2:18" x14ac:dyDescent="0.2">
      <c r="B12" s="6">
        <v>2012</v>
      </c>
      <c r="C12" s="5">
        <v>53467</v>
      </c>
      <c r="D12" s="9">
        <f t="shared" si="1"/>
        <v>53.466999999999999</v>
      </c>
      <c r="E12" s="10">
        <f>D12/Production_Consumption!$B13</f>
        <v>0.19233396572520603</v>
      </c>
      <c r="F12" s="5"/>
      <c r="G12" s="11">
        <v>0.81967199999999996</v>
      </c>
      <c r="H12" s="11">
        <v>0.74563100000000004</v>
      </c>
      <c r="I12" s="11">
        <v>7.6701000000000005E-2</v>
      </c>
      <c r="J12" s="11">
        <v>1.4864299999999999</v>
      </c>
      <c r="K12" s="11">
        <v>1.43763</v>
      </c>
      <c r="L12" s="9">
        <f t="shared" si="0"/>
        <v>4.5660639999999999</v>
      </c>
      <c r="M12" s="12">
        <f t="shared" si="2"/>
        <v>3.1198400117084604</v>
      </c>
      <c r="N12" s="5"/>
      <c r="P12" s="14"/>
      <c r="Q12" s="14"/>
      <c r="R12" s="14"/>
    </row>
    <row r="13" spans="2:18" x14ac:dyDescent="0.2">
      <c r="B13" s="6">
        <v>2011</v>
      </c>
      <c r="C13" s="5">
        <v>49930</v>
      </c>
      <c r="D13" s="9">
        <f t="shared" si="1"/>
        <v>49.93</v>
      </c>
      <c r="E13" s="10">
        <f>D13/Production_Consumption!$B14</f>
        <v>0.18498338651045879</v>
      </c>
      <c r="F13" s="5"/>
      <c r="G13" s="11">
        <v>0.81967199999999996</v>
      </c>
      <c r="H13" s="11">
        <v>0.62135899999999999</v>
      </c>
      <c r="I13" s="11">
        <v>7.7791100000000002E-2</v>
      </c>
      <c r="J13" s="11">
        <v>1.4864299999999999</v>
      </c>
      <c r="K13" s="11">
        <v>1.4799199999999999</v>
      </c>
      <c r="L13" s="9">
        <f t="shared" si="0"/>
        <v>4.4851720999999998</v>
      </c>
      <c r="M13" s="12">
        <f t="shared" si="2"/>
        <v>3.0645692607415183</v>
      </c>
      <c r="N13" s="5"/>
      <c r="P13" s="14"/>
      <c r="Q13" s="14"/>
      <c r="R13" s="14"/>
    </row>
    <row r="14" spans="2:18" x14ac:dyDescent="0.2">
      <c r="B14" s="6">
        <v>2010</v>
      </c>
      <c r="C14" s="5">
        <v>47259</v>
      </c>
      <c r="D14" s="9">
        <f t="shared" si="1"/>
        <v>47.259</v>
      </c>
      <c r="E14" s="10">
        <f>D14/Production_Consumption!$B15</f>
        <v>0.18555129441265658</v>
      </c>
      <c r="F14" s="5"/>
      <c r="G14" s="11">
        <v>0.76800000000000002</v>
      </c>
      <c r="H14" s="11">
        <v>0.70450100000000004</v>
      </c>
      <c r="I14" s="11">
        <v>0.112013</v>
      </c>
      <c r="J14" s="11">
        <v>1.4663999999999999</v>
      </c>
      <c r="K14" s="11">
        <v>1.43763</v>
      </c>
      <c r="L14" s="9">
        <f t="shared" si="0"/>
        <v>4.4885439999999992</v>
      </c>
      <c r="M14" s="12">
        <f t="shared" si="2"/>
        <v>3.0668731681189612</v>
      </c>
      <c r="N14" s="5"/>
      <c r="P14" s="14"/>
      <c r="Q14" s="14"/>
      <c r="R14" s="14"/>
    </row>
    <row r="15" spans="2:18" x14ac:dyDescent="0.2">
      <c r="B15" s="6">
        <v>2009</v>
      </c>
      <c r="C15" s="5">
        <v>41443</v>
      </c>
      <c r="D15" s="9">
        <f t="shared" si="1"/>
        <v>41.442999999999998</v>
      </c>
      <c r="E15" s="10">
        <f>D15/Production_Consumption!$B16</f>
        <v>0.16409572710136186</v>
      </c>
      <c r="F15" s="5"/>
      <c r="G15" s="11">
        <v>0.70399999999999996</v>
      </c>
      <c r="H15" s="11">
        <v>0.54794500000000002</v>
      </c>
      <c r="I15" s="11">
        <v>0.112013</v>
      </c>
      <c r="J15" s="11">
        <v>1.38086</v>
      </c>
      <c r="K15" s="11">
        <v>1.3847799999999999</v>
      </c>
      <c r="L15" s="9">
        <f t="shared" si="0"/>
        <v>4.1295979999999997</v>
      </c>
      <c r="M15" s="12">
        <f t="shared" si="2"/>
        <v>2.8216172775220043</v>
      </c>
      <c r="N15" s="5"/>
      <c r="P15" s="14"/>
      <c r="Q15" s="14"/>
      <c r="R15" s="14"/>
    </row>
    <row r="16" spans="2:18" x14ac:dyDescent="0.2">
      <c r="B16" s="6">
        <v>2008</v>
      </c>
      <c r="C16" s="5">
        <v>39555</v>
      </c>
      <c r="D16" s="9">
        <f t="shared" si="1"/>
        <v>39.555</v>
      </c>
      <c r="E16" s="10">
        <f>D16/Production_Consumption!$B17</f>
        <v>0.1594548695645332</v>
      </c>
      <c r="F16" s="5"/>
      <c r="G16" s="11">
        <v>0.89600000000000002</v>
      </c>
      <c r="H16" s="11">
        <v>0.70450100000000004</v>
      </c>
      <c r="I16" s="11">
        <v>0.107143</v>
      </c>
      <c r="J16" s="11">
        <v>1.6496900000000001</v>
      </c>
      <c r="K16" s="11">
        <v>1.3953500000000001</v>
      </c>
      <c r="L16" s="9">
        <f t="shared" si="0"/>
        <v>4.7526840000000004</v>
      </c>
      <c r="M16" s="12">
        <f t="shared" si="2"/>
        <v>3.2473512649421061</v>
      </c>
      <c r="N16" s="5"/>
      <c r="P16" s="14"/>
      <c r="Q16" s="14"/>
      <c r="R16" s="14"/>
    </row>
    <row r="17" spans="2:18" x14ac:dyDescent="0.2">
      <c r="B17" s="6">
        <v>2007</v>
      </c>
      <c r="C17" s="5">
        <v>41736</v>
      </c>
      <c r="D17" s="9">
        <f t="shared" si="1"/>
        <v>41.735999999999997</v>
      </c>
      <c r="E17" s="10">
        <f>D17/Production_Consumption!$B18</f>
        <v>0.16458137439178558</v>
      </c>
      <c r="F17" s="5"/>
      <c r="G17" s="11">
        <v>0.96</v>
      </c>
      <c r="H17" s="11">
        <v>0.70450100000000004</v>
      </c>
      <c r="I17" s="11">
        <v>0.121753</v>
      </c>
      <c r="J17" s="11">
        <v>1.79633</v>
      </c>
      <c r="K17" s="11">
        <v>1.4587699999999999</v>
      </c>
      <c r="L17" s="9">
        <f t="shared" si="0"/>
        <v>5.0413540000000001</v>
      </c>
      <c r="M17" s="12">
        <f t="shared" si="2"/>
        <v>3.4445898967659003</v>
      </c>
      <c r="N17" s="5"/>
      <c r="P17" s="14"/>
      <c r="Q17" s="14"/>
      <c r="R17" s="14"/>
    </row>
    <row r="18" spans="2:18" x14ac:dyDescent="0.2">
      <c r="B18" s="6">
        <v>2006</v>
      </c>
      <c r="C18" s="5">
        <v>38238</v>
      </c>
      <c r="D18" s="9">
        <f t="shared" si="1"/>
        <v>38.238</v>
      </c>
      <c r="E18" s="10">
        <f>D18/Production_Consumption!$B19</f>
        <v>0.16053395403967188</v>
      </c>
      <c r="F18" s="5"/>
      <c r="G18" s="11">
        <v>0.89600000000000002</v>
      </c>
      <c r="H18" s="11">
        <v>0.86105699999999996</v>
      </c>
      <c r="I18" s="11">
        <v>0.12662300000000001</v>
      </c>
      <c r="J18" s="11">
        <v>1.77189</v>
      </c>
      <c r="K18" s="11">
        <v>1.53277</v>
      </c>
      <c r="L18" s="9">
        <f t="shared" si="0"/>
        <v>5.1883400000000002</v>
      </c>
      <c r="M18" s="12">
        <f t="shared" si="2"/>
        <v>3.5450205530074643</v>
      </c>
      <c r="N18" s="5"/>
      <c r="P18" s="14"/>
      <c r="Q18" s="14"/>
      <c r="R18" s="14"/>
    </row>
    <row r="19" spans="2:18" x14ac:dyDescent="0.2">
      <c r="B19" s="6">
        <v>2005</v>
      </c>
      <c r="C19" s="5">
        <v>36765</v>
      </c>
      <c r="D19" s="9">
        <f t="shared" si="1"/>
        <v>36.765000000000001</v>
      </c>
      <c r="E19" s="10">
        <f>D19/Production_Consumption!$B20</f>
        <v>0.16466136781014892</v>
      </c>
      <c r="F19" s="5"/>
      <c r="G19" s="11">
        <v>1.1519999999999999</v>
      </c>
      <c r="H19" s="11">
        <v>0.86105699999999996</v>
      </c>
      <c r="I19" s="11">
        <v>0.19480500000000001</v>
      </c>
      <c r="J19" s="11">
        <v>1.8574299999999999</v>
      </c>
      <c r="K19" s="11">
        <v>1.5644800000000001</v>
      </c>
      <c r="L19" s="9">
        <f t="shared" si="0"/>
        <v>5.6297719999999991</v>
      </c>
      <c r="M19" s="12">
        <f t="shared" si="2"/>
        <v>3.8466363902030194</v>
      </c>
      <c r="N19" s="5"/>
      <c r="P19" s="14"/>
      <c r="Q19" s="14"/>
      <c r="R19" s="14"/>
    </row>
    <row r="20" spans="2:18" x14ac:dyDescent="0.2">
      <c r="B20" s="6">
        <v>2004</v>
      </c>
      <c r="C20" s="5">
        <v>34184</v>
      </c>
      <c r="D20" s="9">
        <f t="shared" si="1"/>
        <v>34.183999999999997</v>
      </c>
      <c r="E20" s="10">
        <f>D20/'1950~2004'!K6</f>
        <v>0.15192888888888889</v>
      </c>
      <c r="F20" s="5"/>
      <c r="G20" s="11">
        <v>1.216</v>
      </c>
      <c r="H20" s="11">
        <v>0.86105699999999996</v>
      </c>
      <c r="I20" s="11">
        <v>0.27759699999999998</v>
      </c>
      <c r="J20" s="11">
        <v>1.8329899999999999</v>
      </c>
      <c r="K20" s="11">
        <v>1.59619</v>
      </c>
      <c r="L20" s="9">
        <f t="shared" si="0"/>
        <v>5.7838339999999997</v>
      </c>
      <c r="M20" s="12">
        <f t="shared" si="2"/>
        <v>3.9519018424358023</v>
      </c>
      <c r="N20" s="5"/>
      <c r="P20" s="14"/>
      <c r="Q20" s="14"/>
      <c r="R20" s="14"/>
    </row>
    <row r="21" spans="2:18" x14ac:dyDescent="0.2">
      <c r="B21" s="6">
        <v>2003</v>
      </c>
      <c r="C21" s="5">
        <v>32132</v>
      </c>
      <c r="D21" s="9">
        <f t="shared" si="1"/>
        <v>32.131999999999998</v>
      </c>
      <c r="E21" s="10">
        <f>D21/'1950~2004'!K7</f>
        <v>0.15156603773584904</v>
      </c>
      <c r="F21" s="5"/>
      <c r="G21" s="11">
        <v>1.1519999999999999</v>
      </c>
      <c r="H21" s="11">
        <v>0.86105699999999996</v>
      </c>
      <c r="I21" s="11">
        <v>0.29707800000000001</v>
      </c>
      <c r="J21" s="11">
        <v>1.7841100000000001</v>
      </c>
      <c r="K21" s="11">
        <v>1.5750500000000001</v>
      </c>
      <c r="L21" s="9">
        <f t="shared" si="0"/>
        <v>5.669295</v>
      </c>
      <c r="M21" s="12">
        <f t="shared" si="2"/>
        <v>3.8736411445785071</v>
      </c>
      <c r="N21" s="5"/>
      <c r="P21" s="14"/>
      <c r="Q21" s="14"/>
      <c r="R21" s="14"/>
    </row>
    <row r="22" spans="2:18" x14ac:dyDescent="0.2">
      <c r="B22" s="6">
        <v>2002</v>
      </c>
      <c r="C22" s="5">
        <v>30636</v>
      </c>
      <c r="D22" s="9">
        <f t="shared" si="1"/>
        <v>30.635999999999999</v>
      </c>
      <c r="E22" s="10">
        <f>D22/'1950~2004'!K8</f>
        <v>0.1501764705882353</v>
      </c>
      <c r="F22" s="5"/>
      <c r="G22" s="11">
        <v>1.216</v>
      </c>
      <c r="H22" s="11">
        <v>0.86105699999999996</v>
      </c>
      <c r="I22" s="11">
        <v>0.32142900000000002</v>
      </c>
      <c r="J22" s="11">
        <v>1.7474499999999999</v>
      </c>
      <c r="K22" s="11">
        <v>1.51163</v>
      </c>
      <c r="L22" s="9">
        <f t="shared" si="0"/>
        <v>5.6575660000000001</v>
      </c>
      <c r="M22" s="12">
        <f t="shared" si="2"/>
        <v>3.8656271080916493</v>
      </c>
      <c r="N22" s="5"/>
      <c r="P22" s="14"/>
      <c r="Q22" s="14"/>
      <c r="R22" s="14"/>
    </row>
    <row r="23" spans="2:18" x14ac:dyDescent="0.2">
      <c r="B23" s="6">
        <v>2001</v>
      </c>
      <c r="C23" s="5">
        <v>28905</v>
      </c>
      <c r="D23" s="9">
        <f t="shared" si="1"/>
        <v>28.905000000000001</v>
      </c>
      <c r="E23" s="10">
        <f>D23/'1950~2004'!K9</f>
        <v>0.150546875</v>
      </c>
      <c r="F23" s="5"/>
      <c r="G23" s="11">
        <v>1.216</v>
      </c>
      <c r="H23" s="11">
        <v>0.86105699999999996</v>
      </c>
      <c r="I23" s="11">
        <v>0.32629900000000001</v>
      </c>
      <c r="J23" s="11">
        <v>1.7596700000000001</v>
      </c>
      <c r="K23" s="11">
        <v>1.51163</v>
      </c>
      <c r="L23" s="9">
        <f t="shared" si="0"/>
        <v>5.6746560000000006</v>
      </c>
      <c r="M23" s="12">
        <f t="shared" si="2"/>
        <v>3.8773041379799951</v>
      </c>
      <c r="N23" s="5"/>
      <c r="P23" s="14"/>
      <c r="Q23" s="14"/>
      <c r="R23" s="14"/>
    </row>
    <row r="24" spans="2:18" x14ac:dyDescent="0.2">
      <c r="B24" s="6">
        <v>2000</v>
      </c>
      <c r="C24" s="5">
        <v>28375</v>
      </c>
      <c r="D24" s="9">
        <f t="shared" si="1"/>
        <v>28.375</v>
      </c>
      <c r="E24" s="10">
        <f>D24/'1950~2004'!K10</f>
        <v>0.1517379679144385</v>
      </c>
      <c r="F24" s="5"/>
      <c r="G24" s="11">
        <v>1.4079999999999999</v>
      </c>
      <c r="H24" s="11">
        <v>1.0176099999999999</v>
      </c>
      <c r="I24" s="11">
        <v>0.37013000000000001</v>
      </c>
      <c r="J24" s="11">
        <v>1.86965</v>
      </c>
      <c r="K24" s="11">
        <v>1.4799199999999999</v>
      </c>
      <c r="L24" s="9">
        <f t="shared" si="0"/>
        <v>6.1453100000000003</v>
      </c>
      <c r="M24" s="12">
        <f t="shared" si="2"/>
        <v>4.1988863980776712</v>
      </c>
      <c r="N24" s="5"/>
      <c r="P24" s="14"/>
      <c r="Q24" s="14"/>
      <c r="R24" s="14"/>
    </row>
    <row r="25" spans="2:18" x14ac:dyDescent="0.2">
      <c r="B25" s="6">
        <v>1999</v>
      </c>
      <c r="C25" s="5">
        <v>26821</v>
      </c>
      <c r="D25" s="9">
        <f t="shared" si="1"/>
        <v>26.821000000000002</v>
      </c>
      <c r="E25" s="10">
        <f>D25/'1950~2004'!K11</f>
        <v>0.15067977528089888</v>
      </c>
      <c r="F25" s="5"/>
      <c r="G25" s="11">
        <v>1.4079999999999999</v>
      </c>
      <c r="H25" s="11">
        <v>1.0176099999999999</v>
      </c>
      <c r="I25" s="11">
        <v>0.36038999999999999</v>
      </c>
      <c r="J25" s="11">
        <v>1.7474499999999999</v>
      </c>
      <c r="K25" s="11">
        <v>1.3002100000000001</v>
      </c>
      <c r="L25" s="9">
        <f t="shared" si="0"/>
        <v>5.8336599999999992</v>
      </c>
      <c r="M25" s="12">
        <f t="shared" si="2"/>
        <v>3.9859462948182895</v>
      </c>
      <c r="N25" s="5"/>
      <c r="P25" s="14"/>
      <c r="Q25" s="14"/>
      <c r="R25" s="14"/>
    </row>
    <row r="26" spans="2:18" x14ac:dyDescent="0.2">
      <c r="B26" s="6">
        <v>1998</v>
      </c>
      <c r="C26" s="5">
        <v>25521</v>
      </c>
      <c r="D26" s="9">
        <f t="shared" si="1"/>
        <v>25.521000000000001</v>
      </c>
      <c r="E26" s="10">
        <f>D26/'1950~2004'!K12</f>
        <v>0.15467272727272727</v>
      </c>
      <c r="F26" s="5"/>
      <c r="G26" s="11">
        <v>1.4079999999999999</v>
      </c>
      <c r="H26" s="11">
        <v>1.0176099999999999</v>
      </c>
      <c r="I26" s="11">
        <v>0.39935100000000001</v>
      </c>
      <c r="J26" s="11">
        <v>1.6496900000000001</v>
      </c>
      <c r="K26" s="11">
        <v>1.42706</v>
      </c>
      <c r="L26" s="9">
        <f t="shared" si="0"/>
        <v>5.9017109999999997</v>
      </c>
      <c r="M26" s="12">
        <f t="shared" si="2"/>
        <v>4.0324432849254741</v>
      </c>
      <c r="N26" s="5"/>
      <c r="P26" s="14"/>
      <c r="Q26" s="14"/>
      <c r="R26" s="14"/>
    </row>
    <row r="27" spans="2:18" x14ac:dyDescent="0.2">
      <c r="B27" s="6">
        <v>1997</v>
      </c>
      <c r="C27" s="5">
        <v>24644</v>
      </c>
      <c r="D27" s="9">
        <f t="shared" si="1"/>
        <v>24.643999999999998</v>
      </c>
      <c r="E27" s="10">
        <f>D27/'1950~2004'!K13</f>
        <v>0.1559746835443038</v>
      </c>
      <c r="F27" s="5"/>
      <c r="G27" s="11">
        <v>1.472</v>
      </c>
      <c r="H27" s="11">
        <v>1.0176099999999999</v>
      </c>
      <c r="I27" s="11">
        <v>0.45779199999999998</v>
      </c>
      <c r="J27" s="11">
        <v>1.5397099999999999</v>
      </c>
      <c r="K27" s="11">
        <v>1.42706</v>
      </c>
      <c r="L27" s="9">
        <f t="shared" si="0"/>
        <v>5.9141719999999998</v>
      </c>
      <c r="M27" s="12">
        <f t="shared" si="2"/>
        <v>4.0409574727217681</v>
      </c>
      <c r="N27" s="5"/>
      <c r="P27" s="14"/>
      <c r="Q27" s="14"/>
      <c r="R27" s="14"/>
    </row>
    <row r="28" spans="2:18" x14ac:dyDescent="0.2">
      <c r="B28" s="6">
        <v>1996</v>
      </c>
      <c r="C28" s="5">
        <v>21810</v>
      </c>
      <c r="D28" s="9">
        <f t="shared" si="1"/>
        <v>21.81</v>
      </c>
      <c r="E28" s="10">
        <f>D28/'1950~2004'!K14</f>
        <v>0.14736486486486486</v>
      </c>
      <c r="F28" s="5"/>
      <c r="G28" s="11">
        <v>1.3440000000000001</v>
      </c>
      <c r="H28" s="11">
        <v>1.0176099999999999</v>
      </c>
      <c r="I28" s="11">
        <v>0.43344199999999999</v>
      </c>
      <c r="J28" s="11">
        <v>1.4419599999999999</v>
      </c>
      <c r="K28" s="11">
        <v>1.4587699999999999</v>
      </c>
      <c r="L28" s="9">
        <f t="shared" si="0"/>
        <v>5.6957819999999995</v>
      </c>
      <c r="M28" s="12">
        <f t="shared" si="2"/>
        <v>3.8917388327384015</v>
      </c>
      <c r="N28" s="5"/>
      <c r="P28" s="14"/>
      <c r="Q28" s="14"/>
      <c r="R28" s="14"/>
    </row>
    <row r="29" spans="2:18" x14ac:dyDescent="0.2">
      <c r="B29" s="6">
        <v>1995</v>
      </c>
      <c r="C29" s="5">
        <v>20621</v>
      </c>
      <c r="D29" s="9">
        <f t="shared" si="1"/>
        <v>20.620999999999999</v>
      </c>
      <c r="E29" s="10">
        <f>D29/'1950~2004'!K15</f>
        <v>0.14942753623188404</v>
      </c>
      <c r="F29" s="5"/>
      <c r="G29" s="11">
        <v>1.28</v>
      </c>
      <c r="H29" s="11">
        <v>1.0176099999999999</v>
      </c>
      <c r="I29" s="11">
        <v>0.39935100000000001</v>
      </c>
      <c r="J29" s="11">
        <v>1.3930800000000001</v>
      </c>
      <c r="K29" s="11">
        <v>1.3953500000000001</v>
      </c>
      <c r="L29" s="9">
        <f t="shared" si="0"/>
        <v>5.4853909999999999</v>
      </c>
      <c r="M29" s="12">
        <f t="shared" si="2"/>
        <v>3.7479856440175792</v>
      </c>
      <c r="N29" s="5"/>
      <c r="P29" s="14"/>
      <c r="Q29" s="14"/>
      <c r="R29" s="14"/>
    </row>
    <row r="30" spans="2:18" x14ac:dyDescent="0.2">
      <c r="B30" s="6">
        <v>1994</v>
      </c>
      <c r="C30" s="5">
        <v>19779</v>
      </c>
      <c r="D30" s="9">
        <f t="shared" si="1"/>
        <v>19.779</v>
      </c>
      <c r="E30" s="10">
        <f>D30/'1950~2004'!K16</f>
        <v>0.14871428571428572</v>
      </c>
      <c r="F30" s="5"/>
      <c r="G30" s="11">
        <v>1.3440000000000001</v>
      </c>
      <c r="H30" s="11">
        <v>1.0176099999999999</v>
      </c>
      <c r="I30" s="11">
        <v>0.40909099999999998</v>
      </c>
      <c r="J30" s="11">
        <v>1.38086</v>
      </c>
      <c r="K30" s="11">
        <v>1.34249</v>
      </c>
      <c r="L30" s="9">
        <f t="shared" si="0"/>
        <v>5.4940509999999998</v>
      </c>
      <c r="M30" s="12">
        <f t="shared" si="2"/>
        <v>3.7539027346456115</v>
      </c>
      <c r="N30" s="5"/>
      <c r="P30" s="14"/>
      <c r="Q30" s="14"/>
      <c r="R30" s="14"/>
    </row>
    <row r="31" spans="2:18" x14ac:dyDescent="0.2">
      <c r="B31" s="6">
        <v>1993</v>
      </c>
      <c r="C31" s="5">
        <v>18022</v>
      </c>
      <c r="D31" s="9">
        <f t="shared" si="1"/>
        <v>18.021999999999998</v>
      </c>
      <c r="E31" s="10">
        <f>D31/'1950~2004'!K17</f>
        <v>0.14894214876033057</v>
      </c>
      <c r="F31" s="5"/>
      <c r="G31" s="11">
        <v>1.28</v>
      </c>
      <c r="H31" s="11">
        <v>0.86105699999999996</v>
      </c>
      <c r="I31" s="11">
        <v>0.38474000000000003</v>
      </c>
      <c r="J31" s="11">
        <v>1.2342200000000001</v>
      </c>
      <c r="K31" s="11">
        <v>1.2050700000000001</v>
      </c>
      <c r="L31" s="9">
        <f t="shared" si="0"/>
        <v>4.9650870000000005</v>
      </c>
      <c r="M31" s="12">
        <f t="shared" si="2"/>
        <v>3.3924791864970634</v>
      </c>
      <c r="N31" s="5"/>
      <c r="P31" s="14"/>
      <c r="Q31" s="14"/>
      <c r="R31" s="14"/>
    </row>
    <row r="32" spans="2:18" x14ac:dyDescent="0.2">
      <c r="B32" s="6">
        <v>1992</v>
      </c>
      <c r="C32" s="5">
        <v>17693</v>
      </c>
      <c r="D32" s="9">
        <f t="shared" si="1"/>
        <v>17.693000000000001</v>
      </c>
      <c r="E32" s="10">
        <f>D32/'1950~2004'!K18</f>
        <v>0.15252586206896554</v>
      </c>
      <c r="F32" s="5"/>
      <c r="G32" s="11">
        <v>1.28</v>
      </c>
      <c r="H32" s="11">
        <v>0.86105699999999996</v>
      </c>
      <c r="I32" s="11">
        <v>0.38474000000000003</v>
      </c>
      <c r="J32" s="11">
        <v>1.0509200000000001</v>
      </c>
      <c r="K32" s="11">
        <v>0.97251600000000005</v>
      </c>
      <c r="L32" s="9">
        <f t="shared" si="0"/>
        <v>4.5492330000000001</v>
      </c>
      <c r="M32" s="12">
        <f t="shared" si="2"/>
        <v>3.1083399479255034</v>
      </c>
      <c r="N32" s="5"/>
      <c r="P32" s="14"/>
      <c r="Q32" s="14"/>
      <c r="R32" s="14"/>
    </row>
    <row r="33" spans="2:18" x14ac:dyDescent="0.2">
      <c r="B33" s="6">
        <v>1991</v>
      </c>
      <c r="C33" s="5">
        <v>16814</v>
      </c>
      <c r="D33" s="9">
        <f t="shared" si="1"/>
        <v>16.814</v>
      </c>
      <c r="E33" s="10">
        <f>D33/'1950~2004'!K19</f>
        <v>0.15425688073394495</v>
      </c>
      <c r="F33" s="5"/>
      <c r="G33" s="11">
        <v>1.28</v>
      </c>
      <c r="H33" s="11">
        <v>0.86105699999999996</v>
      </c>
      <c r="I33" s="11">
        <v>0.39935100000000001</v>
      </c>
      <c r="J33" s="11">
        <v>0.98981699999999995</v>
      </c>
      <c r="K33" s="11">
        <v>0.82452400000000003</v>
      </c>
      <c r="L33" s="9">
        <f t="shared" si="0"/>
        <v>4.354749</v>
      </c>
      <c r="M33" s="12">
        <f t="shared" si="2"/>
        <v>2.9754554844494967</v>
      </c>
      <c r="N33" s="5"/>
      <c r="P33" s="14"/>
      <c r="Q33" s="14"/>
      <c r="R33" s="14"/>
    </row>
    <row r="34" spans="2:18" x14ac:dyDescent="0.2">
      <c r="B34" s="6">
        <v>1990</v>
      </c>
      <c r="C34" s="5">
        <v>16191</v>
      </c>
      <c r="D34" s="9">
        <f t="shared" si="1"/>
        <v>16.190999999999999</v>
      </c>
      <c r="E34" s="10">
        <f>D34/'1950~2004'!K20</f>
        <v>0.1542</v>
      </c>
      <c r="F34" s="5"/>
      <c r="G34" s="11">
        <v>1.216</v>
      </c>
      <c r="H34" s="11">
        <v>0.70450100000000004</v>
      </c>
      <c r="I34" s="11">
        <v>0.39448100000000003</v>
      </c>
      <c r="J34" s="11">
        <v>0.904277</v>
      </c>
      <c r="K34" s="11">
        <v>0.86680800000000002</v>
      </c>
      <c r="L34" s="9">
        <f t="shared" si="0"/>
        <v>4.0860669999999999</v>
      </c>
      <c r="M34" s="12">
        <f t="shared" si="2"/>
        <v>2.7918739897473084</v>
      </c>
      <c r="N34" s="5"/>
      <c r="P34" s="14"/>
      <c r="Q34" s="14"/>
      <c r="R34" s="14"/>
    </row>
    <row r="35" spans="2:18" x14ac:dyDescent="0.2">
      <c r="B35" s="6">
        <v>1989</v>
      </c>
      <c r="C35" s="5">
        <v>15602</v>
      </c>
      <c r="D35" s="9">
        <f t="shared" si="1"/>
        <v>15.602</v>
      </c>
      <c r="E35" s="10">
        <f>D35/'1950~2004'!K21</f>
        <v>0.15759595959595959</v>
      </c>
      <c r="F35" s="5"/>
      <c r="G35" s="11">
        <v>1.28</v>
      </c>
      <c r="H35" s="11">
        <v>0.70450100000000004</v>
      </c>
      <c r="I35" s="11">
        <v>0.41883100000000001</v>
      </c>
      <c r="J35" s="11">
        <v>0.76985700000000001</v>
      </c>
      <c r="K35" s="11">
        <v>0.85623700000000003</v>
      </c>
      <c r="L35" s="9">
        <f t="shared" si="0"/>
        <v>4.029426</v>
      </c>
      <c r="M35" s="12">
        <f t="shared" si="2"/>
        <v>2.7531730740126235</v>
      </c>
      <c r="N35" s="5"/>
      <c r="P35" s="14"/>
      <c r="Q35" s="14"/>
      <c r="R35" s="14"/>
    </row>
    <row r="36" spans="2:18" x14ac:dyDescent="0.2">
      <c r="B36" s="6">
        <v>1988</v>
      </c>
      <c r="C36" s="5">
        <v>15172</v>
      </c>
      <c r="D36" s="9">
        <f t="shared" si="1"/>
        <v>15.172000000000001</v>
      </c>
      <c r="E36" s="10">
        <f>D36/'1950~2004'!K22</f>
        <v>0.15804166666666666</v>
      </c>
      <c r="F36" s="5"/>
      <c r="G36" s="11">
        <v>1.4079999999999999</v>
      </c>
      <c r="H36" s="11">
        <v>0.70450100000000004</v>
      </c>
      <c r="I36" s="11">
        <v>0.45292199999999999</v>
      </c>
      <c r="J36" s="11">
        <v>0.74541800000000003</v>
      </c>
      <c r="K36" s="11">
        <v>0.79281199999999996</v>
      </c>
      <c r="L36" s="9">
        <f t="shared" si="0"/>
        <v>4.1036529999999996</v>
      </c>
      <c r="M36" s="12">
        <f t="shared" si="2"/>
        <v>2.8038899199764735</v>
      </c>
      <c r="N36" s="5"/>
      <c r="P36" s="14"/>
      <c r="Q36" s="14"/>
      <c r="R36" s="14"/>
    </row>
    <row r="37" spans="2:18" x14ac:dyDescent="0.2">
      <c r="B37" s="6">
        <v>1987</v>
      </c>
      <c r="C37" s="5">
        <v>14578</v>
      </c>
      <c r="D37" s="9">
        <f t="shared" si="1"/>
        <v>14.577999999999999</v>
      </c>
      <c r="E37" s="10">
        <f>D37/'1950~2004'!K23</f>
        <v>0.16197777777777778</v>
      </c>
      <c r="F37" s="5"/>
      <c r="G37" s="11">
        <v>1.28</v>
      </c>
      <c r="H37" s="11">
        <v>0.70450100000000004</v>
      </c>
      <c r="I37" s="11">
        <v>0.45292199999999999</v>
      </c>
      <c r="J37" s="11">
        <v>0.68431799999999998</v>
      </c>
      <c r="K37" s="11">
        <v>0.76109899999999997</v>
      </c>
      <c r="L37" s="9">
        <f t="shared" si="0"/>
        <v>3.8828399999999998</v>
      </c>
      <c r="M37" s="12">
        <f t="shared" si="2"/>
        <v>2.6530157244975276</v>
      </c>
      <c r="N37" s="5"/>
      <c r="P37" s="14"/>
      <c r="Q37" s="14"/>
      <c r="R37" s="14"/>
    </row>
    <row r="38" spans="2:18" x14ac:dyDescent="0.2">
      <c r="B38" s="6">
        <v>1986</v>
      </c>
      <c r="C38" s="5">
        <v>13645</v>
      </c>
      <c r="D38" s="9">
        <f t="shared" si="1"/>
        <v>13.645</v>
      </c>
      <c r="E38" s="10">
        <f>D38/'1950~2004'!K24</f>
        <v>0.16439759036144577</v>
      </c>
      <c r="F38" s="5"/>
      <c r="G38" s="11">
        <v>1.216</v>
      </c>
      <c r="H38" s="11">
        <v>0.70450100000000004</v>
      </c>
      <c r="I38" s="11">
        <v>0.44318200000000002</v>
      </c>
      <c r="J38" s="11">
        <v>0.64765799999999996</v>
      </c>
      <c r="K38" s="11">
        <v>0.72938700000000001</v>
      </c>
      <c r="L38" s="9">
        <f t="shared" si="0"/>
        <v>3.7407279999999998</v>
      </c>
      <c r="M38" s="12">
        <f t="shared" si="2"/>
        <v>2.5559153107179764</v>
      </c>
      <c r="N38" s="5"/>
      <c r="P38" s="14"/>
      <c r="Q38" s="14"/>
      <c r="R38" s="14"/>
    </row>
    <row r="39" spans="2:18" x14ac:dyDescent="0.2">
      <c r="B39" s="6">
        <v>1985</v>
      </c>
      <c r="C39" s="5">
        <v>13025</v>
      </c>
      <c r="D39" s="9">
        <f t="shared" si="1"/>
        <v>13.025</v>
      </c>
      <c r="E39" s="10">
        <f>D39/'1950~2004'!K25</f>
        <v>0.1669871794871795</v>
      </c>
      <c r="F39" s="5"/>
      <c r="G39" s="11">
        <v>1.0880000000000001</v>
      </c>
      <c r="H39" s="11">
        <v>0.86105699999999996</v>
      </c>
      <c r="I39" s="11">
        <v>0.43344199999999999</v>
      </c>
      <c r="J39" s="11">
        <v>0.59877800000000003</v>
      </c>
      <c r="K39" s="11">
        <v>0.68710400000000005</v>
      </c>
      <c r="L39" s="9">
        <f t="shared" si="0"/>
        <v>3.6683810000000006</v>
      </c>
      <c r="M39" s="12">
        <f t="shared" si="2"/>
        <v>2.5064830063685259</v>
      </c>
      <c r="N39" s="5"/>
      <c r="P39" s="14"/>
      <c r="Q39" s="14"/>
      <c r="R39" s="14"/>
    </row>
    <row r="40" spans="2:18" x14ac:dyDescent="0.2">
      <c r="B40" s="6">
        <v>1984</v>
      </c>
      <c r="C40" s="5">
        <v>12377</v>
      </c>
      <c r="D40" s="9">
        <f t="shared" si="1"/>
        <v>12.377000000000001</v>
      </c>
      <c r="E40" s="10">
        <f>D40/'1950~2004'!K26</f>
        <v>0.16725675675675677</v>
      </c>
      <c r="F40" s="5"/>
      <c r="G40" s="11">
        <v>1.1519999999999999</v>
      </c>
      <c r="H40" s="11">
        <v>0.70450100000000004</v>
      </c>
      <c r="I40" s="11">
        <v>0.44318200000000002</v>
      </c>
      <c r="J40" s="11">
        <v>0.52545799999999998</v>
      </c>
      <c r="K40" s="11">
        <v>0.65539099999999995</v>
      </c>
      <c r="L40" s="9">
        <f t="shared" si="0"/>
        <v>3.4805319999999997</v>
      </c>
      <c r="M40" s="12">
        <f t="shared" si="2"/>
        <v>2.3781320182178072</v>
      </c>
      <c r="N40" s="5"/>
      <c r="P40" s="14"/>
      <c r="Q40" s="14"/>
      <c r="R40" s="14"/>
    </row>
    <row r="41" spans="2:18" x14ac:dyDescent="0.2">
      <c r="B41" s="6">
        <v>1983</v>
      </c>
      <c r="C41" s="5">
        <v>11540</v>
      </c>
      <c r="D41" s="9">
        <f t="shared" si="1"/>
        <v>11.54</v>
      </c>
      <c r="E41" s="10">
        <f>D41/'1950~2004'!K27</f>
        <v>0.16724637681159418</v>
      </c>
      <c r="F41" s="5"/>
      <c r="G41" s="11">
        <v>1.1519999999999999</v>
      </c>
      <c r="H41" s="11">
        <v>0.86105699999999996</v>
      </c>
      <c r="I41" s="11">
        <v>0.43344199999999999</v>
      </c>
      <c r="J41" s="11">
        <v>0.46435799999999999</v>
      </c>
      <c r="K41" s="11">
        <v>0.62367899999999998</v>
      </c>
      <c r="L41" s="9">
        <f t="shared" si="0"/>
        <v>3.5345359999999997</v>
      </c>
      <c r="M41" s="12">
        <f t="shared" si="2"/>
        <v>2.4150311593582519</v>
      </c>
      <c r="N41" s="5"/>
      <c r="P41" s="14"/>
      <c r="Q41" s="14"/>
      <c r="R41" s="14"/>
    </row>
    <row r="42" spans="2:18" x14ac:dyDescent="0.2">
      <c r="B42" s="6">
        <v>1982</v>
      </c>
      <c r="C42" s="5">
        <v>10403</v>
      </c>
      <c r="D42" s="9">
        <f t="shared" si="1"/>
        <v>10.403</v>
      </c>
      <c r="E42" s="10">
        <f>D42/'1950~2004'!K28</f>
        <v>0.16512698412698412</v>
      </c>
      <c r="F42" s="5"/>
      <c r="G42" s="11">
        <v>1.024</v>
      </c>
      <c r="H42" s="11">
        <v>0.70450100000000004</v>
      </c>
      <c r="I42" s="11">
        <v>0.40909099999999998</v>
      </c>
      <c r="J42" s="11">
        <v>0.39103900000000003</v>
      </c>
      <c r="K42" s="11">
        <v>0.60253699999999999</v>
      </c>
      <c r="L42" s="9">
        <f t="shared" si="0"/>
        <v>3.1311680000000002</v>
      </c>
      <c r="M42" s="12">
        <f t="shared" si="2"/>
        <v>2.1394231902533911</v>
      </c>
      <c r="N42" s="5"/>
      <c r="P42" s="14"/>
      <c r="Q42" s="14"/>
      <c r="R42" s="14"/>
    </row>
    <row r="43" spans="2:18" x14ac:dyDescent="0.2">
      <c r="B43" s="6">
        <v>1981</v>
      </c>
      <c r="C43" s="5">
        <v>11167</v>
      </c>
      <c r="D43" s="9">
        <f t="shared" si="1"/>
        <v>11.167</v>
      </c>
      <c r="E43" s="10">
        <f>D43/'1950~2004'!K29</f>
        <v>0.18306557377049179</v>
      </c>
      <c r="F43" s="5"/>
      <c r="G43" s="11">
        <v>1.28</v>
      </c>
      <c r="H43" s="11">
        <v>0.86105699999999996</v>
      </c>
      <c r="I43" s="11">
        <v>0.42370099999999999</v>
      </c>
      <c r="J43" s="11">
        <v>0.39103900000000003</v>
      </c>
      <c r="K43" s="11">
        <v>0.581395</v>
      </c>
      <c r="L43" s="9">
        <f t="shared" si="0"/>
        <v>3.5371920000000001</v>
      </c>
      <c r="M43" s="12">
        <f t="shared" si="2"/>
        <v>2.4168459160219999</v>
      </c>
      <c r="N43" s="5"/>
      <c r="P43" s="14"/>
      <c r="Q43" s="14"/>
      <c r="R43" s="14"/>
    </row>
    <row r="44" spans="2:18" x14ac:dyDescent="0.2">
      <c r="B44" s="6">
        <v>1980</v>
      </c>
      <c r="C44" s="5">
        <v>10779</v>
      </c>
      <c r="D44" s="9">
        <f t="shared" si="1"/>
        <v>10.779</v>
      </c>
      <c r="E44" s="10">
        <f>D44/'1950~2004'!K30</f>
        <v>0.17965</v>
      </c>
      <c r="F44" s="5"/>
      <c r="G44" s="11">
        <v>1.28</v>
      </c>
      <c r="H44" s="11">
        <v>1.0176099999999999</v>
      </c>
      <c r="I44" s="11">
        <v>0.467532</v>
      </c>
      <c r="J44" s="11">
        <v>0.36659900000000001</v>
      </c>
      <c r="K44" s="11">
        <v>0.54968300000000003</v>
      </c>
      <c r="L44" s="9">
        <f t="shared" si="0"/>
        <v>3.6814239999999994</v>
      </c>
      <c r="M44" s="12">
        <f t="shared" si="2"/>
        <v>2.5153948554518313</v>
      </c>
      <c r="N44" s="5"/>
      <c r="P44" s="14"/>
      <c r="Q44" s="14"/>
      <c r="R44" s="14"/>
    </row>
    <row r="45" spans="2:18" x14ac:dyDescent="0.2">
      <c r="B45" s="6">
        <v>1979</v>
      </c>
      <c r="C45" s="16">
        <f>C44-(C$44-C$49)/5</f>
        <v>10115.4</v>
      </c>
      <c r="D45" s="17">
        <f t="shared" si="1"/>
        <v>10.115399999999999</v>
      </c>
      <c r="E45" s="10">
        <f>D45/'1950~2004'!K31</f>
        <v>0.1658262295081967</v>
      </c>
      <c r="F45" s="5"/>
      <c r="G45" s="6"/>
      <c r="H45" s="6"/>
      <c r="I45" s="6"/>
      <c r="J45" s="6"/>
      <c r="K45" s="6"/>
      <c r="L45" s="5"/>
      <c r="M45" s="12">
        <f>M44/$D44*$D45</f>
        <v>2.3605367029258235</v>
      </c>
      <c r="N45" s="5"/>
      <c r="P45" s="14"/>
    </row>
    <row r="46" spans="2:18" x14ac:dyDescent="0.2">
      <c r="B46" s="6">
        <v>1978</v>
      </c>
      <c r="C46" s="16">
        <f>C45-(C$44-C$49)/5</f>
        <v>9451.7999999999993</v>
      </c>
      <c r="D46" s="17">
        <f t="shared" si="1"/>
        <v>9.4517999999999986</v>
      </c>
      <c r="E46" s="10">
        <f>D46/'1950~2004'!K32</f>
        <v>0.17185090909090905</v>
      </c>
      <c r="F46" s="5"/>
      <c r="G46" s="6"/>
      <c r="H46" s="6"/>
      <c r="I46" s="6"/>
      <c r="J46" s="6"/>
      <c r="K46" s="6"/>
      <c r="L46" s="5"/>
      <c r="M46" s="12">
        <f t="shared" ref="M46:M61" si="3">M45/$D45*$D46</f>
        <v>2.2056785503998158</v>
      </c>
      <c r="N46" s="5"/>
    </row>
    <row r="47" spans="2:18" x14ac:dyDescent="0.2">
      <c r="B47" s="6">
        <v>1977</v>
      </c>
      <c r="C47" s="16">
        <f>C46-(C$44-C$49)/5</f>
        <v>8788.1999999999989</v>
      </c>
      <c r="D47" s="17">
        <f t="shared" si="1"/>
        <v>8.7881999999999998</v>
      </c>
      <c r="E47" s="10">
        <f>D47/'1950~2004'!K33</f>
        <v>0.17231764705882352</v>
      </c>
      <c r="F47" s="5"/>
      <c r="G47" s="6"/>
      <c r="H47" s="6"/>
      <c r="I47" s="6"/>
      <c r="J47" s="6"/>
      <c r="K47" s="6"/>
      <c r="L47" s="5"/>
      <c r="M47" s="12">
        <f t="shared" si="3"/>
        <v>2.0508203978738084</v>
      </c>
      <c r="N47" s="5"/>
    </row>
    <row r="48" spans="2:18" x14ac:dyDescent="0.2">
      <c r="B48" s="6">
        <v>1976</v>
      </c>
      <c r="C48" s="16">
        <f>C47-(C$44-C$49)/5</f>
        <v>8124.5999999999985</v>
      </c>
      <c r="D48" s="17">
        <f t="shared" si="1"/>
        <v>8.1245999999999992</v>
      </c>
      <c r="E48" s="10">
        <f>D48/'1950~2004'!K34</f>
        <v>0.17286382978723402</v>
      </c>
      <c r="F48" s="5"/>
      <c r="G48" s="6"/>
      <c r="H48" s="6"/>
      <c r="I48" s="6"/>
      <c r="J48" s="6"/>
      <c r="K48" s="6"/>
      <c r="L48" s="5"/>
      <c r="M48" s="12">
        <f t="shared" si="3"/>
        <v>1.8959622453478007</v>
      </c>
      <c r="N48" s="5"/>
    </row>
    <row r="49" spans="2:14" x14ac:dyDescent="0.2">
      <c r="B49" s="6">
        <v>1975</v>
      </c>
      <c r="C49" s="5">
        <v>7461</v>
      </c>
      <c r="D49" s="9">
        <f t="shared" si="1"/>
        <v>7.4610000000000003</v>
      </c>
      <c r="E49" s="10">
        <f>D49/'1950~2004'!K35</f>
        <v>0.186525</v>
      </c>
      <c r="F49" s="5"/>
      <c r="G49" s="6"/>
      <c r="H49" s="6"/>
      <c r="I49" s="6"/>
      <c r="J49" s="6"/>
      <c r="K49" s="6"/>
      <c r="L49" s="5"/>
      <c r="M49" s="12">
        <f t="shared" si="3"/>
        <v>1.7411040928217933</v>
      </c>
      <c r="N49" s="5"/>
    </row>
    <row r="50" spans="2:14" x14ac:dyDescent="0.2">
      <c r="B50" s="6">
        <v>1974</v>
      </c>
      <c r="C50" s="16">
        <f>C49-(C$49-C$54)/5</f>
        <v>6930.6</v>
      </c>
      <c r="D50" s="17">
        <f t="shared" si="1"/>
        <v>6.9306000000000001</v>
      </c>
      <c r="E50" s="10">
        <f>D50/'1950~2004'!K36</f>
        <v>0.15401333333333334</v>
      </c>
      <c r="F50" s="5"/>
      <c r="G50" s="6"/>
      <c r="H50" s="6"/>
      <c r="I50" s="6"/>
      <c r="J50" s="6"/>
      <c r="K50" s="6"/>
      <c r="L50" s="5"/>
      <c r="M50" s="12">
        <f t="shared" si="3"/>
        <v>1.6173295839312052</v>
      </c>
      <c r="N50" s="5"/>
    </row>
    <row r="51" spans="2:14" x14ac:dyDescent="0.2">
      <c r="B51" s="6">
        <v>1973</v>
      </c>
      <c r="C51" s="16">
        <f>C50-(C$49-C$54)/5</f>
        <v>6400.2000000000007</v>
      </c>
      <c r="D51" s="17">
        <f t="shared" si="1"/>
        <v>6.4002000000000008</v>
      </c>
      <c r="E51" s="10">
        <f>D51/'1950~2004'!K37</f>
        <v>0.14545909090909093</v>
      </c>
      <c r="F51" s="5"/>
      <c r="G51" s="6"/>
      <c r="H51" s="6"/>
      <c r="I51" s="6"/>
      <c r="J51" s="6"/>
      <c r="K51" s="6"/>
      <c r="L51" s="5"/>
      <c r="M51" s="12">
        <f t="shared" si="3"/>
        <v>1.493555075040617</v>
      </c>
      <c r="N51" s="5"/>
    </row>
    <row r="52" spans="2:14" x14ac:dyDescent="0.2">
      <c r="B52" s="6">
        <v>1972</v>
      </c>
      <c r="C52" s="16">
        <f>C51-(C$49-C$54)/5</f>
        <v>5869.8000000000011</v>
      </c>
      <c r="D52" s="17">
        <f t="shared" si="1"/>
        <v>5.8698000000000015</v>
      </c>
      <c r="E52" s="10">
        <f>D52/'1950~2004'!K38</f>
        <v>0.15446842105263162</v>
      </c>
      <c r="F52" s="5"/>
      <c r="G52" s="6"/>
      <c r="H52" s="6"/>
      <c r="I52" s="6"/>
      <c r="J52" s="6"/>
      <c r="K52" s="6"/>
      <c r="L52" s="5"/>
      <c r="M52" s="12">
        <f t="shared" si="3"/>
        <v>1.3697805661500289</v>
      </c>
      <c r="N52" s="5"/>
    </row>
    <row r="53" spans="2:14" x14ac:dyDescent="0.2">
      <c r="B53" s="6">
        <v>1971</v>
      </c>
      <c r="C53" s="16">
        <f>C52-(C$49-C$54)/5</f>
        <v>5339.4000000000015</v>
      </c>
      <c r="D53" s="17">
        <f t="shared" si="1"/>
        <v>5.3394000000000013</v>
      </c>
      <c r="E53" s="10">
        <f>D53/'1950~2004'!K39</f>
        <v>0.16180000000000003</v>
      </c>
      <c r="F53" s="5"/>
      <c r="G53" s="6"/>
      <c r="H53" s="6"/>
      <c r="I53" s="6"/>
      <c r="J53" s="6"/>
      <c r="K53" s="6"/>
      <c r="L53" s="5"/>
      <c r="M53" s="12">
        <f t="shared" si="3"/>
        <v>1.2460060572594405</v>
      </c>
      <c r="N53" s="5"/>
    </row>
    <row r="54" spans="2:14" x14ac:dyDescent="0.2">
      <c r="B54" s="6">
        <v>1970</v>
      </c>
      <c r="C54" s="5">
        <v>4809</v>
      </c>
      <c r="D54" s="9">
        <f t="shared" si="1"/>
        <v>4.8090000000000002</v>
      </c>
      <c r="E54" s="10">
        <f>D54/'1950~2004'!K40</f>
        <v>0.1603</v>
      </c>
      <c r="F54" s="5"/>
      <c r="G54" s="6"/>
      <c r="H54" s="6"/>
      <c r="I54" s="6"/>
      <c r="J54" s="6"/>
      <c r="K54" s="6"/>
      <c r="L54" s="5"/>
      <c r="M54" s="12">
        <f t="shared" si="3"/>
        <v>1.1222315483688519</v>
      </c>
      <c r="N54" s="5"/>
    </row>
    <row r="55" spans="2:14" x14ac:dyDescent="0.2">
      <c r="B55" s="6">
        <v>1969</v>
      </c>
      <c r="C55" s="5"/>
      <c r="D55" s="17">
        <f>'1950~2004'!K41*AVERAGE('Fiber Fabric'!E$4:E$54)</f>
        <v>4.7051293215190277</v>
      </c>
      <c r="E55" s="7"/>
      <c r="F55" s="5"/>
      <c r="G55" s="6"/>
      <c r="H55" s="6"/>
      <c r="I55" s="6"/>
      <c r="J55" s="6"/>
      <c r="K55" s="6"/>
      <c r="L55" s="5"/>
      <c r="M55" s="12">
        <f t="shared" si="3"/>
        <v>1.0979922153803252</v>
      </c>
      <c r="N55" s="5"/>
    </row>
    <row r="56" spans="2:14" x14ac:dyDescent="0.2">
      <c r="B56" s="6">
        <v>1968</v>
      </c>
      <c r="C56" s="5"/>
      <c r="D56" s="17">
        <f>'1950~2004'!K42*AVERAGE('Fiber Fabric'!E$4:E$54)</f>
        <v>3.965751856708895</v>
      </c>
      <c r="E56" s="7"/>
      <c r="F56" s="5"/>
      <c r="G56" s="6"/>
      <c r="H56" s="6"/>
      <c r="I56" s="6"/>
      <c r="J56" s="6"/>
      <c r="K56" s="6"/>
      <c r="L56" s="5"/>
      <c r="M56" s="12">
        <f t="shared" si="3"/>
        <v>0.92545058153484561</v>
      </c>
      <c r="N56" s="5"/>
    </row>
    <row r="57" spans="2:14" x14ac:dyDescent="0.2">
      <c r="B57" s="6">
        <v>1967</v>
      </c>
      <c r="C57" s="5"/>
      <c r="D57" s="17">
        <f>'1950~2004'!K43*AVERAGE('Fiber Fabric'!E$4:E$54)</f>
        <v>3.3103945583544583</v>
      </c>
      <c r="E57" s="7"/>
      <c r="F57" s="5"/>
      <c r="G57" s="6"/>
      <c r="H57" s="6"/>
      <c r="I57" s="6"/>
      <c r="J57" s="6"/>
      <c r="K57" s="6"/>
      <c r="L57" s="5"/>
      <c r="M57" s="12">
        <f t="shared" si="3"/>
        <v>0.77251595153544306</v>
      </c>
      <c r="N57" s="5"/>
    </row>
    <row r="58" spans="2:14" x14ac:dyDescent="0.2">
      <c r="B58" s="6">
        <v>1966</v>
      </c>
      <c r="C58" s="5"/>
      <c r="D58" s="17">
        <f>'1950~2004'!K44*AVERAGE('Fiber Fabric'!E$4:E$54)</f>
        <v>2.9575098592405316</v>
      </c>
      <c r="E58" s="7"/>
      <c r="F58" s="5"/>
      <c r="G58" s="6"/>
      <c r="H58" s="6"/>
      <c r="I58" s="6"/>
      <c r="J58" s="6"/>
      <c r="K58" s="6"/>
      <c r="L58" s="5"/>
      <c r="M58" s="12">
        <f t="shared" si="3"/>
        <v>0.69016653538191874</v>
      </c>
      <c r="N58" s="5"/>
    </row>
    <row r="59" spans="2:14" x14ac:dyDescent="0.2">
      <c r="B59" s="6">
        <v>1965</v>
      </c>
      <c r="C59" s="5"/>
      <c r="D59" s="17">
        <f>'1950~2004'!K45*AVERAGE('Fiber Fabric'!E$4:E$54)</f>
        <v>2.5206049936709074</v>
      </c>
      <c r="E59" s="7"/>
      <c r="F59" s="5"/>
      <c r="G59" s="6"/>
      <c r="H59" s="6"/>
      <c r="I59" s="6"/>
      <c r="J59" s="6"/>
      <c r="K59" s="6"/>
      <c r="L59" s="5"/>
      <c r="M59" s="12">
        <f t="shared" si="3"/>
        <v>0.58821011538231704</v>
      </c>
      <c r="N59" s="5"/>
    </row>
    <row r="60" spans="2:14" x14ac:dyDescent="0.2">
      <c r="B60" s="6">
        <v>1964</v>
      </c>
      <c r="C60" s="5"/>
      <c r="D60" s="17">
        <f>'1950~2004'!K46*AVERAGE('Fiber Fabric'!E$4:E$54)</f>
        <v>2.1845243278481199</v>
      </c>
      <c r="E60" s="7"/>
      <c r="F60" s="5"/>
      <c r="G60" s="6"/>
      <c r="H60" s="6"/>
      <c r="I60" s="6"/>
      <c r="J60" s="6"/>
      <c r="K60" s="6"/>
      <c r="L60" s="5"/>
      <c r="M60" s="12">
        <f t="shared" si="3"/>
        <v>0.50978209999800816</v>
      </c>
      <c r="N60" s="5"/>
    </row>
    <row r="61" spans="2:14" x14ac:dyDescent="0.2">
      <c r="B61" s="6">
        <v>1963</v>
      </c>
      <c r="C61" s="5"/>
      <c r="D61" s="17">
        <f>'1950~2004'!K47*AVERAGE('Fiber Fabric'!E$4:E$54)</f>
        <v>1.8316396287341929</v>
      </c>
      <c r="E61" s="7"/>
      <c r="F61" s="5"/>
      <c r="G61" s="6"/>
      <c r="H61" s="6"/>
      <c r="I61" s="6"/>
      <c r="J61" s="6"/>
      <c r="K61" s="6"/>
      <c r="L61" s="5"/>
      <c r="M61" s="12">
        <f t="shared" si="3"/>
        <v>0.4274326838444838</v>
      </c>
      <c r="N61" s="5"/>
    </row>
    <row r="62" spans="2:14" x14ac:dyDescent="0.2">
      <c r="B62" s="6">
        <v>1962</v>
      </c>
      <c r="C62" s="5"/>
      <c r="D62" s="17">
        <f>'1950~2004'!K48*AVERAGE('Fiber Fabric'!E$4:E$54)</f>
        <v>1.5963831626582414</v>
      </c>
      <c r="E62" s="7"/>
      <c r="F62" s="5"/>
      <c r="G62" s="6"/>
      <c r="H62" s="6"/>
      <c r="I62" s="6"/>
      <c r="J62" s="6"/>
      <c r="K62" s="6"/>
      <c r="L62" s="5"/>
      <c r="M62" s="12">
        <f t="shared" ref="M62:M74" si="4">M61/$D61*$D62</f>
        <v>0.37253307307546751</v>
      </c>
      <c r="N62" s="5"/>
    </row>
    <row r="63" spans="2:14" x14ac:dyDescent="0.2">
      <c r="B63" s="6">
        <v>1961</v>
      </c>
      <c r="C63" s="5"/>
      <c r="D63" s="17">
        <f>'1950~2004'!K49*AVERAGE('Fiber Fabric'!E$4:E$54)</f>
        <v>1.3443226632911507</v>
      </c>
      <c r="E63" s="7"/>
      <c r="F63" s="5"/>
      <c r="G63" s="6"/>
      <c r="H63" s="6"/>
      <c r="I63" s="6"/>
      <c r="J63" s="6"/>
      <c r="K63" s="6"/>
      <c r="L63" s="5"/>
      <c r="M63" s="12">
        <f t="shared" si="4"/>
        <v>0.3137120615372358</v>
      </c>
      <c r="N63" s="5"/>
    </row>
    <row r="64" spans="2:14" x14ac:dyDescent="0.2">
      <c r="B64" s="6">
        <v>1960</v>
      </c>
      <c r="C64" s="5"/>
      <c r="D64" s="17">
        <f>'1950~2004'!K50*AVERAGE('Fiber Fabric'!E$4:E$54)</f>
        <v>1.2098903969620356</v>
      </c>
      <c r="E64" s="7"/>
      <c r="F64" s="5"/>
      <c r="G64" s="6"/>
      <c r="H64" s="6"/>
      <c r="I64" s="6"/>
      <c r="J64" s="6"/>
      <c r="K64" s="6"/>
      <c r="L64" s="5"/>
      <c r="M64" s="12">
        <f t="shared" si="4"/>
        <v>0.28234085538351222</v>
      </c>
      <c r="N64" s="5"/>
    </row>
    <row r="65" spans="2:14" x14ac:dyDescent="0.2">
      <c r="B65" s="6">
        <v>1959</v>
      </c>
      <c r="C65" s="5"/>
      <c r="D65" s="17">
        <f>'1950~2004'!K51*AVERAGE('Fiber Fabric'!E$4:E$54)</f>
        <v>1.0586540973417811</v>
      </c>
      <c r="E65" s="7"/>
      <c r="F65" s="5"/>
      <c r="G65" s="6"/>
      <c r="H65" s="6"/>
      <c r="I65" s="6"/>
      <c r="J65" s="6"/>
      <c r="K65" s="6"/>
      <c r="L65" s="5"/>
      <c r="M65" s="12">
        <f t="shared" si="4"/>
        <v>0.24704824846057316</v>
      </c>
      <c r="N65" s="5"/>
    </row>
    <row r="66" spans="2:14" x14ac:dyDescent="0.2">
      <c r="B66" s="6">
        <v>1958</v>
      </c>
      <c r="C66" s="5"/>
      <c r="D66" s="17">
        <f>'1950~2004'!K52*AVERAGE('Fiber Fabric'!E$4:E$54)</f>
        <v>0.82339763126582988</v>
      </c>
      <c r="E66" s="7"/>
      <c r="F66" s="5"/>
      <c r="G66" s="6"/>
      <c r="H66" s="6"/>
      <c r="I66" s="6"/>
      <c r="J66" s="6"/>
      <c r="K66" s="6"/>
      <c r="L66" s="5"/>
      <c r="M66" s="12">
        <f t="shared" si="4"/>
        <v>0.19214863769155696</v>
      </c>
      <c r="N66" s="5"/>
    </row>
    <row r="67" spans="2:14" x14ac:dyDescent="0.2">
      <c r="B67" s="6">
        <v>1957</v>
      </c>
      <c r="C67" s="5"/>
      <c r="D67" s="17">
        <f>'1950~2004'!K53*AVERAGE('Fiber Fabric'!E$4:E$54)</f>
        <v>0.77298553139241155</v>
      </c>
      <c r="E67" s="7"/>
      <c r="F67" s="5"/>
      <c r="G67" s="6"/>
      <c r="H67" s="6"/>
      <c r="I67" s="6"/>
      <c r="J67" s="6"/>
      <c r="K67" s="6"/>
      <c r="L67" s="5"/>
      <c r="M67" s="12">
        <f t="shared" si="4"/>
        <v>0.18038443538391058</v>
      </c>
      <c r="N67" s="5"/>
    </row>
    <row r="68" spans="2:14" x14ac:dyDescent="0.2">
      <c r="B68" s="6">
        <v>1956</v>
      </c>
      <c r="C68" s="5"/>
      <c r="D68" s="17">
        <f>'1950~2004'!K54*AVERAGE('Fiber Fabric'!E$4:E$54)</f>
        <v>0.67216133164557534</v>
      </c>
      <c r="E68" s="7"/>
      <c r="F68" s="5"/>
      <c r="G68" s="6"/>
      <c r="H68" s="6"/>
      <c r="I68" s="6"/>
      <c r="J68" s="6"/>
      <c r="K68" s="6"/>
      <c r="L68" s="5"/>
      <c r="M68" s="12">
        <f t="shared" si="4"/>
        <v>0.15685603076861793</v>
      </c>
      <c r="N68" s="5"/>
    </row>
    <row r="69" spans="2:14" x14ac:dyDescent="0.2">
      <c r="B69" s="6">
        <v>1955</v>
      </c>
      <c r="C69" s="5"/>
      <c r="D69" s="17">
        <f>'1950~2004'!K55*AVERAGE('Fiber Fabric'!E$4:E$54)</f>
        <v>0.58814116518987847</v>
      </c>
      <c r="E69" s="7"/>
      <c r="F69" s="5"/>
      <c r="G69" s="6"/>
      <c r="H69" s="6"/>
      <c r="I69" s="6"/>
      <c r="J69" s="6"/>
      <c r="K69" s="6"/>
      <c r="L69" s="5"/>
      <c r="M69" s="12">
        <f t="shared" si="4"/>
        <v>0.13724902692254068</v>
      </c>
      <c r="N69" s="5"/>
    </row>
    <row r="70" spans="2:14" x14ac:dyDescent="0.2">
      <c r="B70" s="6">
        <v>1954</v>
      </c>
      <c r="C70" s="5"/>
      <c r="D70" s="17">
        <f>'1950~2004'!K56*AVERAGE('Fiber Fabric'!E$4:E$54)</f>
        <v>0.45370889886076338</v>
      </c>
      <c r="E70" s="7"/>
      <c r="F70" s="5"/>
      <c r="G70" s="6"/>
      <c r="H70" s="6"/>
      <c r="I70" s="6"/>
      <c r="J70" s="6"/>
      <c r="K70" s="6"/>
      <c r="L70" s="5"/>
      <c r="M70" s="12">
        <f t="shared" si="4"/>
        <v>0.10587782076881709</v>
      </c>
      <c r="N70" s="5"/>
    </row>
    <row r="71" spans="2:14" x14ac:dyDescent="0.2">
      <c r="B71" s="6">
        <v>1953</v>
      </c>
      <c r="C71" s="5"/>
      <c r="D71" s="17">
        <f>'1950~2004'!K57*AVERAGE('Fiber Fabric'!E$4:E$54)</f>
        <v>0.40329679898734522</v>
      </c>
      <c r="E71" s="7"/>
      <c r="F71" s="5"/>
      <c r="G71" s="6"/>
      <c r="H71" s="6"/>
      <c r="I71" s="6"/>
      <c r="J71" s="6"/>
      <c r="K71" s="6"/>
      <c r="L71" s="5"/>
      <c r="M71" s="12">
        <f t="shared" si="4"/>
        <v>9.411361846117075E-2</v>
      </c>
      <c r="N71" s="5"/>
    </row>
    <row r="72" spans="2:14" x14ac:dyDescent="0.2">
      <c r="B72" s="6">
        <v>1952</v>
      </c>
      <c r="C72" s="5"/>
      <c r="D72" s="17">
        <f>'1950~2004'!K58*AVERAGE('Fiber Fabric'!E$4:E$54)</f>
        <v>0.31927663253164829</v>
      </c>
      <c r="E72" s="7"/>
      <c r="F72" s="5"/>
      <c r="G72" s="6"/>
      <c r="H72" s="6"/>
      <c r="I72" s="6"/>
      <c r="J72" s="6"/>
      <c r="K72" s="6"/>
      <c r="L72" s="5"/>
      <c r="M72" s="12">
        <f t="shared" si="4"/>
        <v>7.4506614615093503E-2</v>
      </c>
      <c r="N72" s="5"/>
    </row>
    <row r="73" spans="2:14" x14ac:dyDescent="0.2">
      <c r="B73" s="6">
        <v>1951</v>
      </c>
      <c r="C73" s="5"/>
      <c r="D73" s="17">
        <f>'1950~2004'!K59*AVERAGE('Fiber Fabric'!E$4:E$54)</f>
        <v>0.33608066582278767</v>
      </c>
      <c r="E73" s="7"/>
      <c r="F73" s="5"/>
      <c r="G73" s="6"/>
      <c r="H73" s="6"/>
      <c r="I73" s="6"/>
      <c r="J73" s="6"/>
      <c r="K73" s="6"/>
      <c r="L73" s="5"/>
      <c r="M73" s="12">
        <f t="shared" si="4"/>
        <v>7.8428015384308949E-2</v>
      </c>
      <c r="N73" s="5"/>
    </row>
    <row r="74" spans="2:14" x14ac:dyDescent="0.2">
      <c r="B74" s="18">
        <v>1950</v>
      </c>
      <c r="C74" s="19"/>
      <c r="D74" s="20">
        <f>'1950~2004'!K60*AVERAGE('Fiber Fabric'!E$4:E$54)</f>
        <v>0.28566856594936951</v>
      </c>
      <c r="E74" s="21"/>
      <c r="F74" s="5"/>
      <c r="G74" s="18"/>
      <c r="H74" s="18"/>
      <c r="I74" s="18"/>
      <c r="J74" s="18"/>
      <c r="K74" s="18"/>
      <c r="L74" s="19"/>
      <c r="M74" s="22">
        <f t="shared" si="4"/>
        <v>6.6663813076662609E-2</v>
      </c>
      <c r="N74" s="5"/>
    </row>
  </sheetData>
  <mergeCells count="2">
    <mergeCell ref="B2:E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AD11-7604-1F4C-9267-5B66B11FD7D5}">
  <dimension ref="A2:R63"/>
  <sheetViews>
    <sheetView zoomScale="88" zoomScaleNormal="94" workbookViewId="0">
      <selection activeCell="D30" sqref="D30"/>
    </sheetView>
  </sheetViews>
  <sheetFormatPr baseColWidth="10" defaultRowHeight="16" x14ac:dyDescent="0.2"/>
  <cols>
    <col min="1" max="1" width="10.6640625" style="13" customWidth="1"/>
    <col min="2" max="2" width="33.6640625" style="13" customWidth="1"/>
    <col min="3" max="3" width="35.6640625" style="13" bestFit="1" customWidth="1"/>
    <col min="4" max="16384" width="10.83203125" style="13"/>
  </cols>
  <sheetData>
    <row r="2" spans="1:18" ht="21" x14ac:dyDescent="0.2">
      <c r="A2" s="36" t="s">
        <v>22</v>
      </c>
    </row>
    <row r="3" spans="1:18" x14ac:dyDescent="0.2">
      <c r="Q3" s="37"/>
    </row>
    <row r="4" spans="1:18" s="38" customFormat="1" x14ac:dyDescent="0.2">
      <c r="B4" s="171" t="s">
        <v>23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38" t="s">
        <v>216</v>
      </c>
    </row>
    <row r="5" spans="1:18" x14ac:dyDescent="0.2">
      <c r="B5" s="172" t="s">
        <v>24</v>
      </c>
      <c r="C5" s="172"/>
      <c r="D5" s="38" t="s">
        <v>25</v>
      </c>
      <c r="E5" s="38" t="s">
        <v>26</v>
      </c>
      <c r="F5" s="38" t="s">
        <v>27</v>
      </c>
      <c r="G5" s="38" t="s">
        <v>28</v>
      </c>
      <c r="H5" s="38" t="s">
        <v>29</v>
      </c>
      <c r="I5" s="38" t="s">
        <v>30</v>
      </c>
      <c r="J5" s="38" t="s">
        <v>31</v>
      </c>
      <c r="K5" s="38" t="s">
        <v>32</v>
      </c>
      <c r="L5" s="38" t="s">
        <v>33</v>
      </c>
      <c r="M5" s="38" t="s">
        <v>34</v>
      </c>
      <c r="N5" s="38" t="s">
        <v>35</v>
      </c>
      <c r="O5" s="38" t="s">
        <v>36</v>
      </c>
      <c r="P5" s="38" t="s">
        <v>37</v>
      </c>
      <c r="Q5" s="38" t="s">
        <v>38</v>
      </c>
    </row>
    <row r="6" spans="1:18" x14ac:dyDescent="0.2">
      <c r="B6" s="172" t="s">
        <v>39</v>
      </c>
      <c r="C6" s="172"/>
      <c r="D6" s="71">
        <v>6.6904370218108028E-3</v>
      </c>
      <c r="E6" s="71">
        <v>2.4214899466100128E-3</v>
      </c>
      <c r="F6" s="71">
        <v>1.2494257617828262E-3</v>
      </c>
      <c r="G6" s="71">
        <v>4.7303262350175358E-3</v>
      </c>
      <c r="H6" s="71">
        <v>6.6994712104582761E-4</v>
      </c>
      <c r="I6" s="71">
        <v>2.8528133125576042E-4</v>
      </c>
      <c r="J6" s="71">
        <v>2.8148469620825617E-4</v>
      </c>
      <c r="K6" s="71">
        <v>3.118744415663562E-4</v>
      </c>
      <c r="L6" s="71">
        <v>5.4053028690831116E-5</v>
      </c>
      <c r="M6" s="71">
        <v>8.7569397576098685E-5</v>
      </c>
      <c r="N6" s="71">
        <v>1.5350730556557677E-4</v>
      </c>
      <c r="O6" s="71">
        <v>6.0500665116223714E-5</v>
      </c>
      <c r="P6" s="71">
        <v>1.2132816864605068E-3</v>
      </c>
      <c r="Q6" s="71">
        <v>1.8209178638706618E-2</v>
      </c>
    </row>
    <row r="7" spans="1:18" x14ac:dyDescent="0.2">
      <c r="B7" s="172" t="s">
        <v>40</v>
      </c>
      <c r="C7" s="172"/>
      <c r="D7" s="71">
        <v>0</v>
      </c>
      <c r="E7" s="71">
        <v>0</v>
      </c>
      <c r="F7" s="71">
        <v>0</v>
      </c>
      <c r="G7" s="71">
        <v>0</v>
      </c>
      <c r="H7" s="71">
        <v>8.6631276111639999E-4</v>
      </c>
      <c r="I7" s="71">
        <v>2.6578020880255768E-4</v>
      </c>
      <c r="J7" s="71">
        <v>4.0140835104367348E-4</v>
      </c>
      <c r="K7" s="71">
        <v>4.0074421878121371E-4</v>
      </c>
      <c r="L7" s="71">
        <v>0</v>
      </c>
      <c r="M7" s="71">
        <v>1.3951643879022473E-4</v>
      </c>
      <c r="N7" s="71">
        <v>0</v>
      </c>
      <c r="O7" s="71">
        <v>0</v>
      </c>
      <c r="P7" s="71">
        <v>8.7997094752938177E-4</v>
      </c>
      <c r="Q7" s="71">
        <v>2.9537329260634513E-3</v>
      </c>
    </row>
    <row r="8" spans="1:18" x14ac:dyDescent="0.2">
      <c r="B8" s="172" t="s">
        <v>41</v>
      </c>
      <c r="C8" s="172"/>
      <c r="D8" s="71">
        <v>5.5159168486756021E-3</v>
      </c>
      <c r="E8" s="71">
        <v>2.0102935405818972E-3</v>
      </c>
      <c r="F8" s="71">
        <v>9.9789120248001311E-4</v>
      </c>
      <c r="G8" s="71">
        <v>4.5622435769204668E-3</v>
      </c>
      <c r="H8" s="71">
        <v>6.321552321663195E-4</v>
      </c>
      <c r="I8" s="71">
        <v>2.5149801571231509E-4</v>
      </c>
      <c r="J8" s="71">
        <v>2.5496802192776831E-4</v>
      </c>
      <c r="K8" s="71">
        <v>3.0147862684747767E-4</v>
      </c>
      <c r="L8" s="71">
        <v>5.4217824510010478E-5</v>
      </c>
      <c r="M8" s="71">
        <v>8.7569397576098685E-5</v>
      </c>
      <c r="N8" s="71">
        <v>1.5744339032366846E-4</v>
      </c>
      <c r="O8" s="71">
        <v>5.6421968591534453E-5</v>
      </c>
      <c r="P8" s="71">
        <v>1.0335362514293203E-3</v>
      </c>
      <c r="Q8" s="71">
        <v>1.591563389774249E-2</v>
      </c>
    </row>
    <row r="9" spans="1:18" x14ac:dyDescent="0.2">
      <c r="B9" s="172" t="s">
        <v>42</v>
      </c>
      <c r="C9" s="172"/>
      <c r="D9" s="71">
        <v>6.9963793794889676E-3</v>
      </c>
      <c r="E9" s="71">
        <v>2.2158917435959554E-3</v>
      </c>
      <c r="F9" s="71">
        <v>1.1504613450079491E-3</v>
      </c>
      <c r="G9" s="71">
        <v>4.8743970848150256E-3</v>
      </c>
      <c r="H9" s="71">
        <v>6.6994712104582761E-4</v>
      </c>
      <c r="I9" s="71">
        <v>2.815276295287109E-4</v>
      </c>
      <c r="J9" s="71">
        <v>0</v>
      </c>
      <c r="K9" s="71">
        <v>3.0494389842043718E-4</v>
      </c>
      <c r="L9" s="71">
        <v>0</v>
      </c>
      <c r="M9" s="71">
        <v>8.525274684657226E-5</v>
      </c>
      <c r="N9" s="71">
        <v>0</v>
      </c>
      <c r="O9" s="71">
        <v>0</v>
      </c>
      <c r="P9" s="71">
        <v>1.1284018976957797E-3</v>
      </c>
      <c r="Q9" s="71">
        <v>1.7707202846445225E-2</v>
      </c>
    </row>
    <row r="10" spans="1:18" x14ac:dyDescent="0.2">
      <c r="B10" s="172" t="s">
        <v>43</v>
      </c>
      <c r="C10" s="172"/>
      <c r="D10" s="71">
        <v>4.9950686397503361E-3</v>
      </c>
      <c r="E10" s="71">
        <v>1.8732280719058587E-3</v>
      </c>
      <c r="F10" s="71">
        <v>6.0203353538050368E-4</v>
      </c>
      <c r="G10" s="71">
        <v>3.4577003951397215E-3</v>
      </c>
      <c r="H10" s="71">
        <v>6.1154147459567868E-4</v>
      </c>
      <c r="I10" s="71">
        <v>1.6891657771722654E-4</v>
      </c>
      <c r="J10" s="71">
        <v>2.3661032434896896E-4</v>
      </c>
      <c r="K10" s="71">
        <v>2.56430096399004E-4</v>
      </c>
      <c r="L10" s="71">
        <v>4.5318850274324875E-5</v>
      </c>
      <c r="M10" s="71">
        <v>7.6449474074371867E-5</v>
      </c>
      <c r="N10" s="71">
        <v>1.4038702303860437E-4</v>
      </c>
      <c r="O10" s="71">
        <v>4.6905010033926237E-5</v>
      </c>
      <c r="P10" s="71">
        <v>7.9553998097136095E-4</v>
      </c>
      <c r="Q10" s="71">
        <v>1.3306129453629889E-2</v>
      </c>
    </row>
    <row r="11" spans="1:18" x14ac:dyDescent="0.2">
      <c r="B11" s="172" t="s">
        <v>44</v>
      </c>
      <c r="C11" s="172"/>
      <c r="D11" s="71">
        <v>0</v>
      </c>
      <c r="E11" s="71">
        <v>0</v>
      </c>
      <c r="F11" s="71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  <c r="P11" s="71">
        <v>0</v>
      </c>
      <c r="Q11" s="71">
        <v>0</v>
      </c>
    </row>
    <row r="12" spans="1:18" x14ac:dyDescent="0.2">
      <c r="B12" s="172" t="s">
        <v>45</v>
      </c>
      <c r="C12" s="172"/>
      <c r="D12" s="71">
        <v>3.7474207811213304E-3</v>
      </c>
      <c r="E12" s="71">
        <v>2.7070430063517595E-3</v>
      </c>
      <c r="F12" s="71">
        <v>3.4225194134645078E-4</v>
      </c>
      <c r="G12" s="71">
        <v>6.6272590906844668E-3</v>
      </c>
      <c r="H12" s="71">
        <v>6.596402422605073E-4</v>
      </c>
      <c r="I12" s="71">
        <v>1.6140917426312761E-4</v>
      </c>
      <c r="J12" s="71">
        <v>2.6720648698030111E-4</v>
      </c>
      <c r="K12" s="71">
        <v>3.0494389842043712E-4</v>
      </c>
      <c r="L12" s="71">
        <v>5.4877007786727938E-5</v>
      </c>
      <c r="M12" s="71">
        <v>1.4038903420930107E-4</v>
      </c>
      <c r="N12" s="71">
        <v>1.3907499478590715E-4</v>
      </c>
      <c r="O12" s="71">
        <v>6.3899578886798055E-5</v>
      </c>
      <c r="P12" s="71">
        <v>1.3464264531502742E-3</v>
      </c>
      <c r="Q12" s="71">
        <v>1.6561841690247391E-2</v>
      </c>
      <c r="R12" s="14">
        <f>SUM(Q6:Q12)</f>
        <v>8.4653719452835063E-2</v>
      </c>
    </row>
    <row r="13" spans="1:18" x14ac:dyDescent="0.2">
      <c r="Q13" s="37"/>
    </row>
    <row r="14" spans="1:18" x14ac:dyDescent="0.2">
      <c r="B14" s="173"/>
      <c r="C14" s="173"/>
      <c r="D14" s="173"/>
      <c r="E14" s="37"/>
      <c r="F14" s="37"/>
      <c r="Q14" s="37"/>
    </row>
    <row r="15" spans="1:18" x14ac:dyDescent="0.2">
      <c r="B15" s="38"/>
      <c r="C15" s="38"/>
      <c r="D15" s="38"/>
      <c r="E15" s="37"/>
      <c r="F15" s="37"/>
      <c r="Q15" s="37"/>
    </row>
    <row r="16" spans="1:18" x14ac:dyDescent="0.2">
      <c r="B16" s="38"/>
      <c r="C16" s="37"/>
      <c r="D16" s="39"/>
      <c r="E16" s="37"/>
      <c r="F16" s="37"/>
      <c r="Q16" s="37"/>
    </row>
    <row r="17" spans="1:17" x14ac:dyDescent="0.2">
      <c r="B17" s="38"/>
      <c r="C17" s="37"/>
      <c r="D17" s="39"/>
      <c r="E17" s="37"/>
      <c r="F17" s="38"/>
      <c r="Q17" s="37"/>
    </row>
    <row r="18" spans="1:17" x14ac:dyDescent="0.2">
      <c r="B18" s="38"/>
      <c r="C18" s="37"/>
      <c r="D18" s="39"/>
      <c r="E18" s="37"/>
      <c r="F18" s="37"/>
      <c r="Q18" s="37"/>
    </row>
    <row r="19" spans="1:17" x14ac:dyDescent="0.2">
      <c r="B19" s="38"/>
      <c r="C19" s="37"/>
      <c r="D19" s="39"/>
      <c r="E19" s="37"/>
      <c r="F19" s="37"/>
      <c r="Q19" s="37"/>
    </row>
    <row r="20" spans="1:17" x14ac:dyDescent="0.2">
      <c r="B20" s="38"/>
      <c r="C20" s="37"/>
      <c r="D20" s="39"/>
      <c r="E20" s="37"/>
      <c r="F20" s="37"/>
      <c r="Q20" s="37"/>
    </row>
    <row r="21" spans="1:17" x14ac:dyDescent="0.2">
      <c r="Q21" s="37"/>
    </row>
    <row r="22" spans="1:17" ht="21" x14ac:dyDescent="0.2">
      <c r="A22" s="36" t="s">
        <v>46</v>
      </c>
      <c r="Q22" s="37"/>
    </row>
    <row r="23" spans="1:17" x14ac:dyDescent="0.2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x14ac:dyDescent="0.2">
      <c r="B24" s="170" t="s">
        <v>47</v>
      </c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37"/>
    </row>
    <row r="25" spans="1:17" s="38" customFormat="1" x14ac:dyDescent="0.2">
      <c r="B25" s="38" t="s">
        <v>24</v>
      </c>
      <c r="C25" s="38" t="s">
        <v>48</v>
      </c>
      <c r="D25" s="38" t="s">
        <v>25</v>
      </c>
      <c r="E25" s="38" t="s">
        <v>26</v>
      </c>
      <c r="F25" s="38" t="s">
        <v>27</v>
      </c>
      <c r="G25" s="38" t="s">
        <v>28</v>
      </c>
      <c r="H25" s="38" t="s">
        <v>29</v>
      </c>
      <c r="I25" s="38" t="s">
        <v>30</v>
      </c>
      <c r="J25" s="38" t="s">
        <v>31</v>
      </c>
      <c r="K25" s="38" t="s">
        <v>32</v>
      </c>
      <c r="L25" s="38" t="s">
        <v>33</v>
      </c>
      <c r="M25" s="38" t="s">
        <v>34</v>
      </c>
      <c r="N25" s="38" t="s">
        <v>35</v>
      </c>
      <c r="O25" s="38" t="s">
        <v>36</v>
      </c>
      <c r="P25" s="38" t="s">
        <v>37</v>
      </c>
    </row>
    <row r="26" spans="1:17" x14ac:dyDescent="0.2">
      <c r="B26" s="38" t="s">
        <v>39</v>
      </c>
      <c r="C26" s="38" t="s">
        <v>49</v>
      </c>
      <c r="D26" s="23">
        <f t="shared" ref="D26:P26" si="0">SUM(D$54:D$59)*D41/D$36</f>
        <v>2.418147077426525</v>
      </c>
      <c r="E26" s="23">
        <f t="shared" si="0"/>
        <v>0.87520722761812753</v>
      </c>
      <c r="F26" s="23">
        <f t="shared" si="0"/>
        <v>0.45158414083671045</v>
      </c>
      <c r="G26" s="23">
        <f t="shared" si="0"/>
        <v>1.7096976659658845</v>
      </c>
      <c r="H26" s="23">
        <f t="shared" si="0"/>
        <v>0.24214123345096708</v>
      </c>
      <c r="I26" s="23">
        <f t="shared" si="0"/>
        <v>0.10311018774581532</v>
      </c>
      <c r="J26" s="23">
        <f t="shared" si="0"/>
        <v>0.10173795721524639</v>
      </c>
      <c r="K26" s="23">
        <f t="shared" si="0"/>
        <v>0.11272182473867705</v>
      </c>
      <c r="L26" s="23">
        <f t="shared" si="0"/>
        <v>1.95365673316522E-2</v>
      </c>
      <c r="M26" s="23">
        <f t="shared" si="0"/>
        <v>3.165050087614929E-2</v>
      </c>
      <c r="N26" s="23">
        <f t="shared" si="0"/>
        <v>5.5482659967786653E-2</v>
      </c>
      <c r="O26" s="23">
        <f t="shared" si="0"/>
        <v>2.1866958175709803E-2</v>
      </c>
      <c r="P26" s="23">
        <f t="shared" si="0"/>
        <v>0.43852046654726984</v>
      </c>
      <c r="Q26" s="37"/>
    </row>
    <row r="27" spans="1:17" x14ac:dyDescent="0.2">
      <c r="B27" s="38" t="s">
        <v>50</v>
      </c>
      <c r="C27" s="38" t="s">
        <v>51</v>
      </c>
      <c r="D27" s="23">
        <f t="shared" ref="D27:P27" si="1">SUM(D$54:D$59)*D42/D$36</f>
        <v>2.5287248492026655</v>
      </c>
      <c r="E27" s="23">
        <f t="shared" si="1"/>
        <v>0.8008971799901734</v>
      </c>
      <c r="F27" s="23">
        <f t="shared" si="1"/>
        <v>0.41581509997835714</v>
      </c>
      <c r="G27" s="23">
        <f t="shared" si="1"/>
        <v>1.7617696760968253</v>
      </c>
      <c r="H27" s="23">
        <f t="shared" si="1"/>
        <v>0.24214123345096708</v>
      </c>
      <c r="I27" s="23">
        <f t="shared" si="1"/>
        <v>0.10175347474915986</v>
      </c>
      <c r="J27" s="23">
        <f t="shared" si="1"/>
        <v>0</v>
      </c>
      <c r="K27" s="23">
        <f t="shared" si="1"/>
        <v>0.11021689530003979</v>
      </c>
      <c r="L27" s="23">
        <f t="shared" si="1"/>
        <v>0</v>
      </c>
      <c r="M27" s="23">
        <f t="shared" si="1"/>
        <v>3.0813186038155919E-2</v>
      </c>
      <c r="N27" s="23">
        <f t="shared" si="1"/>
        <v>0</v>
      </c>
      <c r="O27" s="23">
        <f t="shared" si="1"/>
        <v>0</v>
      </c>
      <c r="P27" s="23">
        <f t="shared" si="1"/>
        <v>0.40784207999869537</v>
      </c>
      <c r="Q27" s="37"/>
    </row>
    <row r="28" spans="1:17" x14ac:dyDescent="0.2">
      <c r="B28" s="38" t="s">
        <v>41</v>
      </c>
      <c r="C28" s="38" t="s">
        <v>52</v>
      </c>
      <c r="D28" s="23">
        <f t="shared" ref="D28:P32" si="2">SUM(D$54:D$59)*D43/D$36</f>
        <v>1.9936363145590978</v>
      </c>
      <c r="E28" s="23">
        <f t="shared" si="2"/>
        <v>0.72658713236221895</v>
      </c>
      <c r="F28" s="23">
        <f t="shared" si="2"/>
        <v>0.36067116198839577</v>
      </c>
      <c r="G28" s="23">
        <f t="shared" si="2"/>
        <v>1.6489469874797871</v>
      </c>
      <c r="H28" s="23">
        <f t="shared" si="2"/>
        <v>0.22848198438450232</v>
      </c>
      <c r="I28" s="23">
        <f t="shared" si="2"/>
        <v>9.0899770775916128E-2</v>
      </c>
      <c r="J28" s="23">
        <f t="shared" si="2"/>
        <v>9.2153946752940585E-2</v>
      </c>
      <c r="K28" s="23">
        <f t="shared" si="2"/>
        <v>0.10896443058072115</v>
      </c>
      <c r="L28" s="23">
        <f t="shared" si="2"/>
        <v>1.9596130036931628E-2</v>
      </c>
      <c r="M28" s="23">
        <f t="shared" si="2"/>
        <v>3.165050087614929E-2</v>
      </c>
      <c r="N28" s="23">
        <f t="shared" si="2"/>
        <v>5.6905292274652977E-2</v>
      </c>
      <c r="O28" s="23">
        <f t="shared" si="2"/>
        <v>2.0392781220043968E-2</v>
      </c>
      <c r="P28" s="23">
        <f t="shared" si="2"/>
        <v>0.37355447150322979</v>
      </c>
      <c r="Q28" s="37"/>
    </row>
    <row r="29" spans="1:17" x14ac:dyDescent="0.2">
      <c r="B29" s="38" t="s">
        <v>53</v>
      </c>
      <c r="C29" s="38" t="s">
        <v>54</v>
      </c>
      <c r="D29" s="23">
        <f t="shared" si="2"/>
        <v>1.8053844006572783</v>
      </c>
      <c r="E29" s="23">
        <f t="shared" si="2"/>
        <v>0.67704710061024953</v>
      </c>
      <c r="F29" s="23">
        <f t="shared" si="2"/>
        <v>0.21759499855498257</v>
      </c>
      <c r="G29" s="23">
        <f t="shared" si="2"/>
        <v>1.2497282431425754</v>
      </c>
      <c r="H29" s="23">
        <f t="shared" si="2"/>
        <v>0.22103148489370331</v>
      </c>
      <c r="I29" s="23">
        <f t="shared" si="2"/>
        <v>6.1052084849495911E-2</v>
      </c>
      <c r="J29" s="23">
        <f t="shared" si="2"/>
        <v>8.5518862586728847E-2</v>
      </c>
      <c r="K29" s="23">
        <f t="shared" si="2"/>
        <v>9.2682389229578915E-2</v>
      </c>
      <c r="L29" s="23">
        <f t="shared" si="2"/>
        <v>1.6379743951842548E-2</v>
      </c>
      <c r="M29" s="23">
        <f t="shared" si="2"/>
        <v>2.7631389653781126E-2</v>
      </c>
      <c r="N29" s="23">
        <f t="shared" si="2"/>
        <v>5.0740552278232237E-2</v>
      </c>
      <c r="O29" s="23">
        <f t="shared" si="2"/>
        <v>1.6953034990157035E-2</v>
      </c>
      <c r="P29" s="23">
        <f t="shared" si="2"/>
        <v>0.28753468176899172</v>
      </c>
      <c r="Q29" s="37"/>
    </row>
    <row r="30" spans="1:17" x14ac:dyDescent="0.2">
      <c r="B30" s="38" t="s">
        <v>55</v>
      </c>
      <c r="C30" s="38" t="s">
        <v>56</v>
      </c>
      <c r="D30" s="23">
        <f t="shared" si="2"/>
        <v>0.34575781321222449</v>
      </c>
      <c r="E30" s="23">
        <f t="shared" si="2"/>
        <v>0</v>
      </c>
      <c r="F30" s="23">
        <f t="shared" si="2"/>
        <v>0</v>
      </c>
      <c r="G30" s="23">
        <f t="shared" si="2"/>
        <v>0.99804686084302907</v>
      </c>
      <c r="H30" s="23">
        <f t="shared" si="2"/>
        <v>0.13907599049491443</v>
      </c>
      <c r="I30" s="23">
        <f t="shared" si="2"/>
        <v>0</v>
      </c>
      <c r="J30" s="23">
        <f t="shared" si="2"/>
        <v>0</v>
      </c>
      <c r="K30" s="23">
        <f t="shared" si="2"/>
        <v>4.2583800456833548E-2</v>
      </c>
      <c r="L30" s="23">
        <f t="shared" si="2"/>
        <v>0</v>
      </c>
      <c r="M30" s="23">
        <f t="shared" si="2"/>
        <v>0</v>
      </c>
      <c r="N30" s="23">
        <f t="shared" si="2"/>
        <v>0</v>
      </c>
      <c r="O30" s="23">
        <f t="shared" si="2"/>
        <v>1.2284807963881907E-2</v>
      </c>
      <c r="P30" s="23">
        <f t="shared" si="2"/>
        <v>0.18166417132685253</v>
      </c>
      <c r="Q30" s="37"/>
    </row>
    <row r="31" spans="1:17" x14ac:dyDescent="0.2">
      <c r="B31" s="38" t="s">
        <v>55</v>
      </c>
      <c r="C31" s="38" t="s">
        <v>57</v>
      </c>
      <c r="D31" s="23">
        <f t="shared" si="2"/>
        <v>1.0086850401043055</v>
      </c>
      <c r="E31" s="23">
        <f t="shared" si="2"/>
        <v>0.97841562710139729</v>
      </c>
      <c r="F31" s="23">
        <f t="shared" si="2"/>
        <v>0.12370126630180517</v>
      </c>
      <c r="G31" s="23">
        <f t="shared" si="2"/>
        <v>1.3972656051802406</v>
      </c>
      <c r="H31" s="23">
        <f t="shared" si="2"/>
        <v>9.9339993210653177E-2</v>
      </c>
      <c r="I31" s="23">
        <f t="shared" si="2"/>
        <v>5.8338658856184986E-2</v>
      </c>
      <c r="J31" s="23">
        <f t="shared" si="2"/>
        <v>9.6577336197081712E-2</v>
      </c>
      <c r="K31" s="23">
        <f t="shared" si="2"/>
        <v>6.7633094843206232E-2</v>
      </c>
      <c r="L31" s="23">
        <f t="shared" si="2"/>
        <v>1.9834380858049339E-2</v>
      </c>
      <c r="M31" s="23">
        <f t="shared" si="2"/>
        <v>5.0741279182398069E-2</v>
      </c>
      <c r="N31" s="23">
        <f t="shared" si="2"/>
        <v>5.0266341509276793E-2</v>
      </c>
      <c r="O31" s="23">
        <f t="shared" si="2"/>
        <v>1.081063100821608E-2</v>
      </c>
      <c r="P31" s="23">
        <f t="shared" si="2"/>
        <v>0.30497925451229874</v>
      </c>
      <c r="Q31" s="37"/>
    </row>
    <row r="32" spans="1:17" x14ac:dyDescent="0.2">
      <c r="B32" s="38" t="s">
        <v>40</v>
      </c>
      <c r="C32" s="38" t="s">
        <v>40</v>
      </c>
      <c r="D32" s="23">
        <f t="shared" si="2"/>
        <v>0</v>
      </c>
      <c r="E32" s="23">
        <f t="shared" si="2"/>
        <v>0</v>
      </c>
      <c r="F32" s="23">
        <f t="shared" si="2"/>
        <v>0</v>
      </c>
      <c r="G32" s="23">
        <f t="shared" si="2"/>
        <v>0</v>
      </c>
      <c r="H32" s="23">
        <f t="shared" si="2"/>
        <v>0.31311432490906815</v>
      </c>
      <c r="I32" s="23">
        <f t="shared" si="2"/>
        <v>9.6061831694780289E-2</v>
      </c>
      <c r="J32" s="23">
        <f t="shared" si="2"/>
        <v>0.14508236573582514</v>
      </c>
      <c r="K32" s="23">
        <f t="shared" si="2"/>
        <v>0.14484232618620285</v>
      </c>
      <c r="L32" s="23">
        <f t="shared" si="2"/>
        <v>0</v>
      </c>
      <c r="M32" s="23">
        <f t="shared" si="2"/>
        <v>5.042589409536468E-2</v>
      </c>
      <c r="N32" s="23">
        <f t="shared" si="2"/>
        <v>0</v>
      </c>
      <c r="O32" s="23">
        <f t="shared" si="2"/>
        <v>0</v>
      </c>
      <c r="P32" s="23">
        <f t="shared" si="2"/>
        <v>0.31805084900305919</v>
      </c>
      <c r="Q32" s="37"/>
    </row>
    <row r="33" spans="2:17" x14ac:dyDescent="0.2">
      <c r="Q33" s="37"/>
    </row>
    <row r="34" spans="2:17" ht="20" customHeight="1" x14ac:dyDescent="0.2">
      <c r="B34" s="170" t="s">
        <v>58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37"/>
    </row>
    <row r="35" spans="2:17" x14ac:dyDescent="0.2">
      <c r="B35" s="175" t="s">
        <v>59</v>
      </c>
      <c r="C35" s="175"/>
      <c r="D35" s="23">
        <v>0.84091535704438936</v>
      </c>
      <c r="E35" s="23">
        <v>1.0987306064880114</v>
      </c>
      <c r="F35" s="23">
        <v>1.5217391304347827</v>
      </c>
      <c r="G35" s="23">
        <v>0.26132632961260671</v>
      </c>
      <c r="H35" s="23">
        <v>1.44140625</v>
      </c>
      <c r="I35" s="23">
        <v>2.7150837988826817</v>
      </c>
      <c r="J35" s="23">
        <v>2.2197802197802199</v>
      </c>
      <c r="K35" s="23">
        <v>1.4248927038626609</v>
      </c>
      <c r="L35" s="23">
        <v>7.615384615384615</v>
      </c>
      <c r="M35" s="23">
        <v>2.095890410958904</v>
      </c>
      <c r="N35" s="23">
        <v>0.95652173913043481</v>
      </c>
      <c r="O35" s="23">
        <v>1.8461538461538463</v>
      </c>
      <c r="P35" s="23">
        <v>0.6503311258278146</v>
      </c>
      <c r="Q35" s="37"/>
    </row>
    <row r="36" spans="2:17" x14ac:dyDescent="0.2">
      <c r="B36" s="175" t="s">
        <v>60</v>
      </c>
      <c r="C36" s="175"/>
      <c r="D36" s="13">
        <f>D35*2204.62</f>
        <v>1853.8988144472016</v>
      </c>
      <c r="E36" s="13">
        <f t="shared" ref="E36:P36" si="3">E35*2204.62</f>
        <v>2422.2834696755995</v>
      </c>
      <c r="F36" s="13">
        <f t="shared" si="3"/>
        <v>3354.8565217391306</v>
      </c>
      <c r="G36" s="13">
        <f t="shared" si="3"/>
        <v>576.12525279054501</v>
      </c>
      <c r="H36" s="13">
        <f t="shared" si="3"/>
        <v>3177.7530468749997</v>
      </c>
      <c r="I36" s="13">
        <f t="shared" si="3"/>
        <v>5985.7280446927371</v>
      </c>
      <c r="J36" s="13">
        <f t="shared" si="3"/>
        <v>4893.7718681318684</v>
      </c>
      <c r="K36" s="13">
        <f t="shared" si="3"/>
        <v>3141.3469527896991</v>
      </c>
      <c r="L36" s="13">
        <f t="shared" si="3"/>
        <v>16789.029230769229</v>
      </c>
      <c r="M36" s="13">
        <f t="shared" si="3"/>
        <v>4620.6419178082187</v>
      </c>
      <c r="N36" s="13">
        <f t="shared" si="3"/>
        <v>2108.7669565217393</v>
      </c>
      <c r="O36" s="13">
        <f t="shared" si="3"/>
        <v>4070.0676923076921</v>
      </c>
      <c r="P36" s="13">
        <f t="shared" si="3"/>
        <v>1433.7330066225165</v>
      </c>
      <c r="Q36" s="37"/>
    </row>
    <row r="37" spans="2:17" x14ac:dyDescent="0.2">
      <c r="B37" s="174" t="s">
        <v>61</v>
      </c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37"/>
    </row>
    <row r="38" spans="2:17" x14ac:dyDescent="0.2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37"/>
    </row>
    <row r="39" spans="2:17" x14ac:dyDescent="0.2">
      <c r="B39" s="170" t="s">
        <v>62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37"/>
    </row>
    <row r="40" spans="2:17" s="38" customFormat="1" x14ac:dyDescent="0.2">
      <c r="B40" s="38" t="s">
        <v>24</v>
      </c>
      <c r="C40" s="38" t="s">
        <v>48</v>
      </c>
      <c r="D40" s="38" t="s">
        <v>25</v>
      </c>
      <c r="E40" s="38" t="s">
        <v>26</v>
      </c>
      <c r="F40" s="38" t="s">
        <v>27</v>
      </c>
      <c r="G40" s="38" t="s">
        <v>28</v>
      </c>
      <c r="H40" s="38" t="s">
        <v>29</v>
      </c>
      <c r="I40" s="38" t="s">
        <v>30</v>
      </c>
      <c r="J40" s="38" t="s">
        <v>31</v>
      </c>
      <c r="K40" s="38" t="s">
        <v>32</v>
      </c>
      <c r="L40" s="38" t="s">
        <v>33</v>
      </c>
      <c r="M40" s="38" t="s">
        <v>34</v>
      </c>
      <c r="N40" s="38" t="s">
        <v>35</v>
      </c>
      <c r="O40" s="38" t="s">
        <v>36</v>
      </c>
      <c r="P40" s="38" t="s">
        <v>37</v>
      </c>
    </row>
    <row r="41" spans="2:17" x14ac:dyDescent="0.2">
      <c r="B41" s="38" t="s">
        <v>39</v>
      </c>
      <c r="C41" s="38" t="s">
        <v>49</v>
      </c>
      <c r="D41" s="14">
        <f t="shared" ref="D41:P41" si="4">(1-D$60/SUM(D$54:D$59))*D54/SUM(D$54:D$59)</f>
        <v>0.23941255006675569</v>
      </c>
      <c r="E41" s="14">
        <f t="shared" si="4"/>
        <v>0.21566632756866735</v>
      </c>
      <c r="F41" s="14">
        <f t="shared" si="4"/>
        <v>0.28774928774928776</v>
      </c>
      <c r="G41" s="14">
        <f t="shared" si="4"/>
        <v>0.19504950495049506</v>
      </c>
      <c r="H41" s="14">
        <f t="shared" si="4"/>
        <v>0.16302225474001722</v>
      </c>
      <c r="I41" s="14">
        <f t="shared" si="4"/>
        <v>0.20169592891622881</v>
      </c>
      <c r="J41" s="14">
        <f t="shared" si="4"/>
        <v>0.19524798154555939</v>
      </c>
      <c r="K41" s="14">
        <f t="shared" si="4"/>
        <v>0.16585403309402233</v>
      </c>
      <c r="L41" s="14">
        <f t="shared" si="4"/>
        <v>0.25928853754940712</v>
      </c>
      <c r="M41" s="14">
        <f t="shared" si="4"/>
        <v>0.14198604958054484</v>
      </c>
      <c r="N41" s="14">
        <f t="shared" si="4"/>
        <v>0.26</v>
      </c>
      <c r="O41" s="14">
        <f t="shared" si="4"/>
        <v>0.2656716417910448</v>
      </c>
      <c r="P41" s="14">
        <f t="shared" si="4"/>
        <v>0.18965950738109377</v>
      </c>
      <c r="Q41" s="37"/>
    </row>
    <row r="42" spans="2:17" x14ac:dyDescent="0.2">
      <c r="B42" s="38" t="s">
        <v>50</v>
      </c>
      <c r="C42" s="38" t="s">
        <v>51</v>
      </c>
      <c r="D42" s="14">
        <f t="shared" ref="D42:P42" si="5">(1-D$60/SUM(D$54:D$59))*D55/SUM(D$54:D$59)</f>
        <v>0.25036048064085448</v>
      </c>
      <c r="E42" s="14">
        <f t="shared" si="5"/>
        <v>0.19735503560528994</v>
      </c>
      <c r="F42" s="14">
        <f t="shared" si="5"/>
        <v>0.26495726495726496</v>
      </c>
      <c r="G42" s="14">
        <f t="shared" si="5"/>
        <v>0.200990099009901</v>
      </c>
      <c r="H42" s="14">
        <f t="shared" si="5"/>
        <v>0.16302225474001722</v>
      </c>
      <c r="I42" s="14">
        <f t="shared" si="5"/>
        <v>0.19904203511469948</v>
      </c>
      <c r="J42" s="14">
        <f t="shared" si="5"/>
        <v>0</v>
      </c>
      <c r="K42" s="14">
        <f t="shared" si="5"/>
        <v>0.16216838791415519</v>
      </c>
      <c r="L42" s="14">
        <f t="shared" si="5"/>
        <v>0</v>
      </c>
      <c r="M42" s="14">
        <f t="shared" si="5"/>
        <v>0.1382298048826468</v>
      </c>
      <c r="N42" s="14">
        <f t="shared" si="5"/>
        <v>0</v>
      </c>
      <c r="O42" s="14">
        <f t="shared" si="5"/>
        <v>0</v>
      </c>
      <c r="P42" s="14">
        <f t="shared" si="5"/>
        <v>0.17639114678241644</v>
      </c>
      <c r="Q42" s="37"/>
    </row>
    <row r="43" spans="2:17" x14ac:dyDescent="0.2">
      <c r="B43" s="38" t="s">
        <v>41</v>
      </c>
      <c r="C43" s="38" t="s">
        <v>52</v>
      </c>
      <c r="D43" s="14">
        <f t="shared" ref="D43:P46" si="6">(1-D$60/SUM(D$54:D$59))*D56/SUM(D$54:D$59)</f>
        <v>0.19738317757009347</v>
      </c>
      <c r="E43" s="14">
        <f t="shared" si="6"/>
        <v>0.1790437436419125</v>
      </c>
      <c r="F43" s="14">
        <f t="shared" si="6"/>
        <v>0.22981956315289648</v>
      </c>
      <c r="G43" s="14">
        <f t="shared" si="6"/>
        <v>0.18811881188118812</v>
      </c>
      <c r="H43" s="14">
        <f t="shared" si="6"/>
        <v>0.15382612754955471</v>
      </c>
      <c r="I43" s="14">
        <f t="shared" si="6"/>
        <v>0.17781088470246487</v>
      </c>
      <c r="J43" s="14">
        <f t="shared" si="6"/>
        <v>0.17685505574778931</v>
      </c>
      <c r="K43" s="14">
        <f t="shared" si="6"/>
        <v>0.1603255653242216</v>
      </c>
      <c r="L43" s="14">
        <f t="shared" si="6"/>
        <v>0.26007905138339921</v>
      </c>
      <c r="M43" s="14">
        <f t="shared" si="6"/>
        <v>0.14198604958054484</v>
      </c>
      <c r="N43" s="14">
        <f t="shared" si="6"/>
        <v>0.26666666666666666</v>
      </c>
      <c r="O43" s="14">
        <f t="shared" si="6"/>
        <v>0.24776119402985075</v>
      </c>
      <c r="P43" s="14">
        <f t="shared" si="6"/>
        <v>0.16156180258389469</v>
      </c>
      <c r="Q43" s="37"/>
    </row>
    <row r="44" spans="2:17" x14ac:dyDescent="0.2">
      <c r="B44" s="38" t="s">
        <v>53</v>
      </c>
      <c r="C44" s="38" t="s">
        <v>54</v>
      </c>
      <c r="D44" s="14">
        <f t="shared" si="6"/>
        <v>0.17874499332443258</v>
      </c>
      <c r="E44" s="14">
        <f t="shared" si="6"/>
        <v>0.16683621566632756</v>
      </c>
      <c r="F44" s="14">
        <f t="shared" si="6"/>
        <v>0.13865147198480532</v>
      </c>
      <c r="G44" s="14">
        <f t="shared" si="6"/>
        <v>0.14257425742574256</v>
      </c>
      <c r="H44" s="14">
        <f t="shared" si="6"/>
        <v>0.1488100581729388</v>
      </c>
      <c r="I44" s="14">
        <f t="shared" si="6"/>
        <v>0.11942522106881968</v>
      </c>
      <c r="J44" s="14">
        <f t="shared" si="6"/>
        <v>0.16412149173394847</v>
      </c>
      <c r="K44" s="14">
        <f t="shared" si="6"/>
        <v>0.13636887165508504</v>
      </c>
      <c r="L44" s="14">
        <f t="shared" si="6"/>
        <v>0.21739130434782608</v>
      </c>
      <c r="M44" s="14">
        <f t="shared" si="6"/>
        <v>0.12395607503063437</v>
      </c>
      <c r="N44" s="14">
        <f t="shared" si="6"/>
        <v>0.23777777777777778</v>
      </c>
      <c r="O44" s="14">
        <f t="shared" si="6"/>
        <v>0.20597014925373133</v>
      </c>
      <c r="P44" s="14">
        <f t="shared" si="6"/>
        <v>0.12435836012093665</v>
      </c>
      <c r="Q44" s="37"/>
    </row>
    <row r="45" spans="2:17" x14ac:dyDescent="0.2">
      <c r="B45" s="38" t="s">
        <v>55</v>
      </c>
      <c r="C45" s="38" t="s">
        <v>56</v>
      </c>
      <c r="D45" s="14">
        <f t="shared" si="6"/>
        <v>3.4232309746328439E-2</v>
      </c>
      <c r="E45" s="14">
        <f t="shared" si="6"/>
        <v>0</v>
      </c>
      <c r="F45" s="14">
        <f t="shared" si="6"/>
        <v>0</v>
      </c>
      <c r="G45" s="14">
        <f t="shared" si="6"/>
        <v>0.11386138613861387</v>
      </c>
      <c r="H45" s="14">
        <f t="shared" si="6"/>
        <v>9.3633295030163738E-2</v>
      </c>
      <c r="I45" s="14">
        <f t="shared" si="6"/>
        <v>0</v>
      </c>
      <c r="J45" s="14">
        <f t="shared" si="6"/>
        <v>0</v>
      </c>
      <c r="K45" s="14">
        <f t="shared" si="6"/>
        <v>6.2655968057741762E-2</v>
      </c>
      <c r="L45" s="14">
        <f t="shared" si="6"/>
        <v>0</v>
      </c>
      <c r="M45" s="14">
        <f t="shared" si="6"/>
        <v>0</v>
      </c>
      <c r="N45" s="14">
        <f t="shared" si="6"/>
        <v>0</v>
      </c>
      <c r="O45" s="14">
        <f t="shared" si="6"/>
        <v>0.14925373134328357</v>
      </c>
      <c r="P45" s="14">
        <f t="shared" si="6"/>
        <v>7.8569507858834459E-2</v>
      </c>
      <c r="Q45" s="37"/>
    </row>
    <row r="46" spans="2:17" x14ac:dyDescent="0.2">
      <c r="B46" s="38" t="s">
        <v>55</v>
      </c>
      <c r="C46" s="38" t="s">
        <v>57</v>
      </c>
      <c r="D46" s="14">
        <f t="shared" si="6"/>
        <v>9.9866488651535384E-2</v>
      </c>
      <c r="E46" s="14">
        <f t="shared" si="6"/>
        <v>0.24109867751780265</v>
      </c>
      <c r="F46" s="14">
        <f t="shared" si="6"/>
        <v>7.8822412155745494E-2</v>
      </c>
      <c r="G46" s="14">
        <f t="shared" si="6"/>
        <v>0.15940594059405941</v>
      </c>
      <c r="H46" s="14">
        <f t="shared" si="6"/>
        <v>6.6880925021545523E-2</v>
      </c>
      <c r="I46" s="14">
        <f t="shared" si="6"/>
        <v>0.11411743346576103</v>
      </c>
      <c r="J46" s="14">
        <f t="shared" si="6"/>
        <v>0.18534409842368318</v>
      </c>
      <c r="K46" s="14">
        <f t="shared" si="6"/>
        <v>9.9512419856413403E-2</v>
      </c>
      <c r="L46" s="14">
        <f t="shared" si="6"/>
        <v>0.26324110671936757</v>
      </c>
      <c r="M46" s="14">
        <f t="shared" si="6"/>
        <v>0.22762842869261946</v>
      </c>
      <c r="N46" s="14">
        <f t="shared" si="6"/>
        <v>0.23555555555555555</v>
      </c>
      <c r="O46" s="14">
        <f t="shared" si="6"/>
        <v>0.13134328358208955</v>
      </c>
      <c r="P46" s="14">
        <f t="shared" si="6"/>
        <v>0.13190311418685122</v>
      </c>
      <c r="Q46" s="37"/>
    </row>
    <row r="47" spans="2:17" x14ac:dyDescent="0.2">
      <c r="B47" s="38" t="s">
        <v>40</v>
      </c>
      <c r="C47" s="38" t="s">
        <v>40</v>
      </c>
      <c r="D47" s="14">
        <f t="shared" ref="D47:P47" si="7">D60/SUM(D$54:D$59)</f>
        <v>0</v>
      </c>
      <c r="E47" s="14">
        <f t="shared" si="7"/>
        <v>0</v>
      </c>
      <c r="F47" s="14">
        <f t="shared" si="7"/>
        <v>0</v>
      </c>
      <c r="G47" s="14">
        <f t="shared" si="7"/>
        <v>0</v>
      </c>
      <c r="H47" s="14">
        <f t="shared" si="7"/>
        <v>0.21080508474576271</v>
      </c>
      <c r="I47" s="14">
        <f t="shared" si="7"/>
        <v>0.18790849673202614</v>
      </c>
      <c r="J47" s="14">
        <f t="shared" si="7"/>
        <v>0.27843137254901962</v>
      </c>
      <c r="K47" s="14">
        <f t="shared" si="7"/>
        <v>0.21311475409836064</v>
      </c>
      <c r="L47" s="14">
        <f t="shared" si="7"/>
        <v>0</v>
      </c>
      <c r="M47" s="14">
        <f t="shared" si="7"/>
        <v>0.22621359223300971</v>
      </c>
      <c r="N47" s="14">
        <f t="shared" si="7"/>
        <v>0</v>
      </c>
      <c r="O47" s="14">
        <f t="shared" si="7"/>
        <v>0</v>
      </c>
      <c r="P47" s="14">
        <f t="shared" si="7"/>
        <v>0.13755656108597286</v>
      </c>
      <c r="Q47" s="37"/>
    </row>
    <row r="48" spans="2:17" x14ac:dyDescent="0.2">
      <c r="B48" s="38"/>
      <c r="C48" s="38" t="s">
        <v>63</v>
      </c>
      <c r="D48" s="14">
        <f>SUM(D41:D47)</f>
        <v>1</v>
      </c>
      <c r="E48" s="14">
        <f t="shared" ref="E48:P48" si="8">SUM(E41:E47)</f>
        <v>1</v>
      </c>
      <c r="F48" s="14">
        <f t="shared" si="8"/>
        <v>1</v>
      </c>
      <c r="G48" s="14">
        <f t="shared" si="8"/>
        <v>1</v>
      </c>
      <c r="H48" s="14">
        <f t="shared" si="8"/>
        <v>0.99999999999999978</v>
      </c>
      <c r="I48" s="14">
        <f t="shared" si="8"/>
        <v>1</v>
      </c>
      <c r="J48" s="14">
        <f t="shared" si="8"/>
        <v>0.99999999999999989</v>
      </c>
      <c r="K48" s="14">
        <f t="shared" si="8"/>
        <v>1</v>
      </c>
      <c r="L48" s="14">
        <f t="shared" si="8"/>
        <v>1</v>
      </c>
      <c r="M48" s="14">
        <f t="shared" si="8"/>
        <v>1</v>
      </c>
      <c r="N48" s="14">
        <f t="shared" si="8"/>
        <v>0.99999999999999989</v>
      </c>
      <c r="O48" s="14">
        <f t="shared" si="8"/>
        <v>1</v>
      </c>
      <c r="P48" s="14">
        <f t="shared" si="8"/>
        <v>1</v>
      </c>
      <c r="Q48" s="37"/>
    </row>
    <row r="50" spans="1:16" s="38" customFormat="1" ht="21" x14ac:dyDescent="0.2">
      <c r="A50" s="36" t="s">
        <v>64</v>
      </c>
    </row>
    <row r="52" spans="1:16" x14ac:dyDescent="0.2">
      <c r="B52" s="170" t="s">
        <v>65</v>
      </c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</row>
    <row r="53" spans="1:16" x14ac:dyDescent="0.2">
      <c r="B53" s="38" t="s">
        <v>24</v>
      </c>
      <c r="C53" s="38" t="s">
        <v>48</v>
      </c>
      <c r="D53" s="38" t="s">
        <v>25</v>
      </c>
      <c r="E53" s="38" t="s">
        <v>26</v>
      </c>
      <c r="F53" s="38" t="s">
        <v>27</v>
      </c>
      <c r="G53" s="38" t="s">
        <v>28</v>
      </c>
      <c r="H53" s="38" t="s">
        <v>29</v>
      </c>
      <c r="I53" s="38" t="s">
        <v>30</v>
      </c>
      <c r="J53" s="38" t="s">
        <v>31</v>
      </c>
      <c r="K53" s="38" t="s">
        <v>32</v>
      </c>
      <c r="L53" s="38" t="s">
        <v>33</v>
      </c>
      <c r="M53" s="38" t="s">
        <v>34</v>
      </c>
      <c r="N53" s="38" t="s">
        <v>35</v>
      </c>
      <c r="O53" s="38" t="s">
        <v>36</v>
      </c>
      <c r="P53" s="38" t="s">
        <v>37</v>
      </c>
    </row>
    <row r="54" spans="1:16" x14ac:dyDescent="0.2">
      <c r="B54" s="38" t="s">
        <v>39</v>
      </c>
      <c r="C54" s="38" t="s">
        <v>49</v>
      </c>
      <c r="D54" s="37">
        <v>4483</v>
      </c>
      <c r="E54" s="37">
        <v>2120</v>
      </c>
      <c r="F54" s="37">
        <v>1515</v>
      </c>
      <c r="G54" s="37">
        <v>985</v>
      </c>
      <c r="H54" s="37">
        <v>975</v>
      </c>
      <c r="I54" s="37">
        <v>760</v>
      </c>
      <c r="J54" s="37">
        <v>690</v>
      </c>
      <c r="K54" s="37">
        <v>450</v>
      </c>
      <c r="L54" s="37">
        <v>328</v>
      </c>
      <c r="M54" s="37">
        <v>189</v>
      </c>
      <c r="N54" s="37">
        <v>117</v>
      </c>
      <c r="O54" s="37">
        <v>89</v>
      </c>
      <c r="P54" s="37">
        <v>729</v>
      </c>
    </row>
    <row r="55" spans="1:16" x14ac:dyDescent="0.2">
      <c r="B55" s="38" t="s">
        <v>50</v>
      </c>
      <c r="C55" s="38" t="s">
        <v>51</v>
      </c>
      <c r="D55" s="37">
        <v>4688</v>
      </c>
      <c r="E55" s="37">
        <v>1940</v>
      </c>
      <c r="F55" s="37">
        <v>1395</v>
      </c>
      <c r="G55" s="37">
        <v>1015</v>
      </c>
      <c r="H55" s="37">
        <v>975</v>
      </c>
      <c r="I55" s="37">
        <v>750</v>
      </c>
      <c r="J55" s="37">
        <v>0</v>
      </c>
      <c r="K55" s="37">
        <v>440</v>
      </c>
      <c r="L55" s="37">
        <v>0</v>
      </c>
      <c r="M55" s="37">
        <v>184</v>
      </c>
      <c r="N55" s="37">
        <v>0</v>
      </c>
      <c r="O55" s="37">
        <v>0</v>
      </c>
      <c r="P55" s="37">
        <v>678</v>
      </c>
    </row>
    <row r="56" spans="1:16" x14ac:dyDescent="0.2">
      <c r="B56" s="38" t="s">
        <v>41</v>
      </c>
      <c r="C56" s="38" t="s">
        <v>52</v>
      </c>
      <c r="D56" s="37">
        <v>3696</v>
      </c>
      <c r="E56" s="37">
        <v>1760</v>
      </c>
      <c r="F56" s="37">
        <v>1210</v>
      </c>
      <c r="G56" s="37">
        <v>950</v>
      </c>
      <c r="H56" s="37">
        <v>920</v>
      </c>
      <c r="I56" s="37">
        <v>670</v>
      </c>
      <c r="J56" s="37">
        <v>625</v>
      </c>
      <c r="K56" s="37">
        <v>435</v>
      </c>
      <c r="L56" s="37">
        <v>329</v>
      </c>
      <c r="M56" s="37">
        <v>189</v>
      </c>
      <c r="N56" s="37">
        <v>120</v>
      </c>
      <c r="O56" s="37">
        <v>83</v>
      </c>
      <c r="P56" s="37">
        <v>621</v>
      </c>
    </row>
    <row r="57" spans="1:16" x14ac:dyDescent="0.2">
      <c r="B57" s="38" t="s">
        <v>53</v>
      </c>
      <c r="C57" s="38" t="s">
        <v>54</v>
      </c>
      <c r="D57" s="37">
        <v>3347</v>
      </c>
      <c r="E57" s="37">
        <v>1640</v>
      </c>
      <c r="F57" s="37">
        <v>730</v>
      </c>
      <c r="G57" s="37">
        <v>720</v>
      </c>
      <c r="H57" s="37">
        <v>890</v>
      </c>
      <c r="I57" s="37">
        <v>450</v>
      </c>
      <c r="J57" s="37">
        <v>580</v>
      </c>
      <c r="K57" s="37">
        <v>370</v>
      </c>
      <c r="L57" s="37">
        <v>275</v>
      </c>
      <c r="M57" s="37">
        <v>165</v>
      </c>
      <c r="N57" s="37">
        <v>107</v>
      </c>
      <c r="O57" s="37">
        <v>69</v>
      </c>
      <c r="P57" s="37">
        <v>478</v>
      </c>
    </row>
    <row r="58" spans="1:16" x14ac:dyDescent="0.2">
      <c r="B58" s="38" t="s">
        <v>55</v>
      </c>
      <c r="C58" s="38" t="s">
        <v>56</v>
      </c>
      <c r="D58" s="37">
        <v>641</v>
      </c>
      <c r="E58" s="37">
        <v>0</v>
      </c>
      <c r="F58" s="37">
        <v>0</v>
      </c>
      <c r="G58" s="37">
        <v>575</v>
      </c>
      <c r="H58" s="37">
        <v>560</v>
      </c>
      <c r="I58" s="37">
        <v>0</v>
      </c>
      <c r="J58" s="37">
        <v>0</v>
      </c>
      <c r="K58" s="37">
        <v>170</v>
      </c>
      <c r="L58" s="37">
        <v>0</v>
      </c>
      <c r="M58" s="37">
        <v>0</v>
      </c>
      <c r="N58" s="37"/>
      <c r="O58" s="37">
        <v>50</v>
      </c>
      <c r="P58" s="37">
        <v>302</v>
      </c>
    </row>
    <row r="59" spans="1:16" x14ac:dyDescent="0.2">
      <c r="B59" s="38" t="s">
        <v>55</v>
      </c>
      <c r="C59" s="38" t="s">
        <v>57</v>
      </c>
      <c r="D59" s="37">
        <v>1870</v>
      </c>
      <c r="E59" s="37">
        <v>2370</v>
      </c>
      <c r="F59" s="37">
        <v>415</v>
      </c>
      <c r="G59" s="37">
        <v>805</v>
      </c>
      <c r="H59" s="37">
        <v>400</v>
      </c>
      <c r="I59" s="37">
        <v>430</v>
      </c>
      <c r="J59" s="37">
        <v>655</v>
      </c>
      <c r="K59" s="37">
        <v>270</v>
      </c>
      <c r="L59" s="37">
        <v>333</v>
      </c>
      <c r="M59" s="37">
        <v>303</v>
      </c>
      <c r="N59" s="37">
        <v>106</v>
      </c>
      <c r="O59" s="37">
        <v>44</v>
      </c>
      <c r="P59" s="37">
        <v>507</v>
      </c>
    </row>
    <row r="60" spans="1:16" x14ac:dyDescent="0.2">
      <c r="B60" s="38" t="s">
        <v>40</v>
      </c>
      <c r="C60" s="38" t="s">
        <v>40</v>
      </c>
      <c r="D60" s="37">
        <v>0</v>
      </c>
      <c r="E60" s="37">
        <v>0</v>
      </c>
      <c r="F60" s="37">
        <v>0</v>
      </c>
      <c r="G60" s="37">
        <v>0</v>
      </c>
      <c r="H60" s="37">
        <v>995</v>
      </c>
      <c r="I60" s="37">
        <v>575</v>
      </c>
      <c r="J60" s="37">
        <v>710</v>
      </c>
      <c r="K60" s="37">
        <v>455</v>
      </c>
      <c r="L60" s="37">
        <v>0</v>
      </c>
      <c r="M60" s="37">
        <v>233</v>
      </c>
      <c r="N60" s="37"/>
      <c r="O60" s="37">
        <v>0</v>
      </c>
      <c r="P60" s="37">
        <v>456</v>
      </c>
    </row>
    <row r="61" spans="1:16" x14ac:dyDescent="0.2">
      <c r="B61" s="38"/>
      <c r="C61" s="38" t="s">
        <v>63</v>
      </c>
      <c r="D61" s="37">
        <f>SUM(D54:D60)</f>
        <v>18725</v>
      </c>
      <c r="E61" s="37">
        <f t="shared" ref="E61:P61" si="9">SUM(E54:E60)</f>
        <v>9830</v>
      </c>
      <c r="F61" s="37">
        <f t="shared" si="9"/>
        <v>5265</v>
      </c>
      <c r="G61" s="37">
        <f t="shared" si="9"/>
        <v>5050</v>
      </c>
      <c r="H61" s="37">
        <f t="shared" si="9"/>
        <v>5715</v>
      </c>
      <c r="I61" s="37">
        <f t="shared" si="9"/>
        <v>3635</v>
      </c>
      <c r="J61" s="37">
        <f t="shared" si="9"/>
        <v>3260</v>
      </c>
      <c r="K61" s="37">
        <f t="shared" si="9"/>
        <v>2590</v>
      </c>
      <c r="L61" s="37">
        <f t="shared" si="9"/>
        <v>1265</v>
      </c>
      <c r="M61" s="37">
        <f t="shared" si="9"/>
        <v>1263</v>
      </c>
      <c r="N61" s="37">
        <f t="shared" si="9"/>
        <v>450</v>
      </c>
      <c r="O61" s="37">
        <f t="shared" si="9"/>
        <v>335</v>
      </c>
      <c r="P61" s="37">
        <f t="shared" si="9"/>
        <v>3771</v>
      </c>
    </row>
    <row r="62" spans="1:16" x14ac:dyDescent="0.2"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</row>
    <row r="63" spans="1:16" x14ac:dyDescent="0.2"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</row>
  </sheetData>
  <mergeCells count="19">
    <mergeCell ref="B63:P63"/>
    <mergeCell ref="B35:C35"/>
    <mergeCell ref="B36:C36"/>
    <mergeCell ref="B37:P37"/>
    <mergeCell ref="B39:P39"/>
    <mergeCell ref="B52:P52"/>
    <mergeCell ref="B62:P62"/>
    <mergeCell ref="B34:P34"/>
    <mergeCell ref="B4:Q4"/>
    <mergeCell ref="B5:C5"/>
    <mergeCell ref="B6:C6"/>
    <mergeCell ref="B7:C7"/>
    <mergeCell ref="B8:C8"/>
    <mergeCell ref="B9:C9"/>
    <mergeCell ref="B10:C10"/>
    <mergeCell ref="B11:C11"/>
    <mergeCell ref="B12:C12"/>
    <mergeCell ref="B14:D14"/>
    <mergeCell ref="B24:P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2603-D745-3A4E-B6E0-68540872DB29}">
  <dimension ref="B2:AG83"/>
  <sheetViews>
    <sheetView zoomScale="83" zoomScaleNormal="81" workbookViewId="0">
      <selection activeCell="J37" sqref="J37"/>
    </sheetView>
  </sheetViews>
  <sheetFormatPr baseColWidth="10" defaultRowHeight="16" x14ac:dyDescent="0.2"/>
  <cols>
    <col min="1" max="16384" width="10.83203125" style="13"/>
  </cols>
  <sheetData>
    <row r="2" spans="2:26" x14ac:dyDescent="0.2">
      <c r="B2" s="38" t="s">
        <v>66</v>
      </c>
    </row>
    <row r="3" spans="2:26" x14ac:dyDescent="0.2">
      <c r="B3" s="13" t="s">
        <v>67</v>
      </c>
      <c r="N3" s="13" t="s">
        <v>68</v>
      </c>
    </row>
    <row r="4" spans="2:26" x14ac:dyDescent="0.2">
      <c r="C4" s="13" t="s">
        <v>39</v>
      </c>
      <c r="D4" s="13" t="s">
        <v>40</v>
      </c>
      <c r="E4" s="13" t="s">
        <v>41</v>
      </c>
      <c r="F4" s="13" t="s">
        <v>42</v>
      </c>
      <c r="G4" s="13" t="s">
        <v>43</v>
      </c>
      <c r="H4" s="13" t="s">
        <v>44</v>
      </c>
      <c r="I4" s="13" t="s">
        <v>69</v>
      </c>
      <c r="J4" s="13" t="s">
        <v>45</v>
      </c>
      <c r="K4" s="13" t="s">
        <v>70</v>
      </c>
      <c r="N4" s="13">
        <v>3916</v>
      </c>
      <c r="O4" s="13">
        <v>3917</v>
      </c>
      <c r="P4" s="13">
        <v>3918</v>
      </c>
      <c r="Q4" s="13">
        <v>3919</v>
      </c>
      <c r="R4" s="13">
        <v>3920</v>
      </c>
      <c r="S4" s="13">
        <v>3921</v>
      </c>
      <c r="T4" s="13">
        <v>3922</v>
      </c>
      <c r="U4" s="13">
        <v>3923</v>
      </c>
      <c r="V4" s="13">
        <v>3924</v>
      </c>
      <c r="W4" s="13">
        <v>3925</v>
      </c>
      <c r="X4" s="13">
        <v>3926</v>
      </c>
      <c r="Y4" s="13" t="s">
        <v>1</v>
      </c>
    </row>
    <row r="5" spans="2:26" x14ac:dyDescent="0.2">
      <c r="B5" s="13" t="s">
        <v>2</v>
      </c>
      <c r="C5" s="23"/>
      <c r="D5" s="23"/>
      <c r="E5" s="23"/>
      <c r="F5" s="23"/>
      <c r="G5" s="23"/>
      <c r="H5" s="23"/>
      <c r="I5" s="23"/>
      <c r="J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2:26" x14ac:dyDescent="0.2">
      <c r="B6" s="13">
        <v>2021</v>
      </c>
      <c r="C6" s="23">
        <v>0</v>
      </c>
      <c r="D6" s="23">
        <f t="shared" ref="D6:D22" si="0">U6</f>
        <v>0.40253691311757805</v>
      </c>
      <c r="E6" s="23">
        <f t="shared" ref="E6:E22" si="1">SUM(N6:T6,W6)</f>
        <v>4.8521447343003681</v>
      </c>
      <c r="F6" s="23">
        <v>0</v>
      </c>
      <c r="G6" s="23">
        <f t="shared" ref="G6:G22" si="2">V6+X6*0.2</f>
        <v>1.828302698602974</v>
      </c>
      <c r="H6" s="23">
        <v>0</v>
      </c>
      <c r="I6" s="23">
        <v>0</v>
      </c>
      <c r="J6" s="23">
        <f t="shared" ref="J6:J22" si="3">X6*0.8</f>
        <v>1.7002072186904158</v>
      </c>
      <c r="K6" s="23">
        <f t="shared" ref="K6:K22" si="4">SUM(C6:H6,J6)</f>
        <v>8.7831915647113359</v>
      </c>
      <c r="M6" s="23">
        <f t="shared" ref="M6:M22" si="5">SUM(C6:J6)-Y6</f>
        <v>0</v>
      </c>
      <c r="N6" s="23">
        <v>7.3736005720952597E-2</v>
      </c>
      <c r="O6" s="23">
        <v>0.31346884080612303</v>
      </c>
      <c r="P6" s="23">
        <v>2.38281949220538</v>
      </c>
      <c r="Q6" s="23">
        <v>0.14954788432813701</v>
      </c>
      <c r="R6" s="23">
        <v>1.0947094393490702</v>
      </c>
      <c r="S6" s="23">
        <v>0.49859619349960599</v>
      </c>
      <c r="T6" s="23">
        <v>9.1488105752970797E-2</v>
      </c>
      <c r="U6" s="23">
        <v>0.40253691311757805</v>
      </c>
      <c r="V6" s="23">
        <v>1.4032508939303701</v>
      </c>
      <c r="W6" s="23">
        <v>0.247778772638129</v>
      </c>
      <c r="X6" s="23">
        <v>2.1252590233630198</v>
      </c>
      <c r="Y6" s="23">
        <f t="shared" ref="Y6:Y22" si="6">SUM(N6:X6)</f>
        <v>8.7831915647113377</v>
      </c>
      <c r="Z6" s="23"/>
    </row>
    <row r="7" spans="2:26" x14ac:dyDescent="0.2">
      <c r="B7" s="13">
        <v>2020</v>
      </c>
      <c r="C7" s="23">
        <v>0</v>
      </c>
      <c r="D7" s="23">
        <f t="shared" si="0"/>
        <v>1.29604812589505</v>
      </c>
      <c r="E7" s="23">
        <f t="shared" si="1"/>
        <v>3.7858570536527587</v>
      </c>
      <c r="F7" s="23">
        <v>0</v>
      </c>
      <c r="G7" s="23">
        <f t="shared" si="2"/>
        <v>1.984661419239278</v>
      </c>
      <c r="H7" s="23">
        <v>0</v>
      </c>
      <c r="I7" s="23">
        <v>0</v>
      </c>
      <c r="J7" s="23">
        <f t="shared" si="3"/>
        <v>1.3576559291300321</v>
      </c>
      <c r="K7" s="23">
        <f t="shared" si="4"/>
        <v>8.4242225279171183</v>
      </c>
      <c r="M7" s="23">
        <f t="shared" si="5"/>
        <v>0</v>
      </c>
      <c r="N7" s="23">
        <v>6.6231846715638698E-2</v>
      </c>
      <c r="O7" s="23">
        <v>0.26389607323969899</v>
      </c>
      <c r="P7" s="23">
        <v>2.0193922528772199</v>
      </c>
      <c r="Q7" s="23">
        <v>0.14082055878834798</v>
      </c>
      <c r="R7" s="23">
        <v>0.52065315720759098</v>
      </c>
      <c r="S7" s="23">
        <v>0.39053006448949201</v>
      </c>
      <c r="T7" s="23">
        <v>8.8276410375617398E-2</v>
      </c>
      <c r="U7" s="23">
        <v>1.29604812589505</v>
      </c>
      <c r="V7" s="23">
        <v>1.64524743695677</v>
      </c>
      <c r="W7" s="23">
        <v>0.29605668995915196</v>
      </c>
      <c r="X7" s="23">
        <v>1.69706991141254</v>
      </c>
      <c r="Y7" s="23">
        <f t="shared" si="6"/>
        <v>8.4242225279171183</v>
      </c>
      <c r="Z7" s="23"/>
    </row>
    <row r="8" spans="2:26" x14ac:dyDescent="0.2">
      <c r="B8" s="13">
        <v>2019</v>
      </c>
      <c r="C8" s="23">
        <v>0</v>
      </c>
      <c r="D8" s="23">
        <f t="shared" si="0"/>
        <v>1.20859125781141</v>
      </c>
      <c r="E8" s="23">
        <f t="shared" si="1"/>
        <v>3.7718374286293588</v>
      </c>
      <c r="F8" s="23">
        <v>0</v>
      </c>
      <c r="G8" s="23">
        <f t="shared" si="2"/>
        <v>1.4257721024194445</v>
      </c>
      <c r="H8" s="23">
        <v>0</v>
      </c>
      <c r="I8" s="23">
        <v>0</v>
      </c>
      <c r="J8" s="23">
        <f t="shared" si="3"/>
        <v>0.71114327325369764</v>
      </c>
      <c r="K8" s="23">
        <f t="shared" si="4"/>
        <v>7.1173440621139115</v>
      </c>
      <c r="M8" s="23">
        <f t="shared" si="5"/>
        <v>0</v>
      </c>
      <c r="N8" s="23">
        <v>6.8499779253259299E-2</v>
      </c>
      <c r="O8" s="23">
        <v>0.27787516820381897</v>
      </c>
      <c r="P8" s="23">
        <v>1.7275880993539601</v>
      </c>
      <c r="Q8" s="23">
        <v>0.112149405319571</v>
      </c>
      <c r="R8" s="23">
        <v>0.94999371099176</v>
      </c>
      <c r="S8" s="23">
        <v>0.40047736254588995</v>
      </c>
      <c r="T8" s="23">
        <v>5.8551599601570303E-2</v>
      </c>
      <c r="U8" s="23">
        <v>1.20859125781141</v>
      </c>
      <c r="V8" s="23">
        <v>1.2479862841060201</v>
      </c>
      <c r="W8" s="23">
        <v>0.17670230335952999</v>
      </c>
      <c r="X8" s="23">
        <v>0.88892909156712197</v>
      </c>
      <c r="Y8" s="23">
        <f t="shared" si="6"/>
        <v>7.1173440621139106</v>
      </c>
      <c r="Z8" s="23"/>
    </row>
    <row r="9" spans="2:26" x14ac:dyDescent="0.2">
      <c r="B9" s="13">
        <v>2018</v>
      </c>
      <c r="C9" s="23">
        <v>0</v>
      </c>
      <c r="D9" s="23">
        <f t="shared" si="0"/>
        <v>0.99915901832112897</v>
      </c>
      <c r="E9" s="23">
        <f t="shared" si="1"/>
        <v>3.5496546227862162</v>
      </c>
      <c r="F9" s="23">
        <v>0</v>
      </c>
      <c r="G9" s="23">
        <f t="shared" si="2"/>
        <v>1.2206238064704964</v>
      </c>
      <c r="H9" s="23">
        <v>0</v>
      </c>
      <c r="I9" s="23">
        <v>0</v>
      </c>
      <c r="J9" s="23">
        <f t="shared" si="3"/>
        <v>0.6875049371712656</v>
      </c>
      <c r="K9" s="23">
        <f t="shared" si="4"/>
        <v>6.456942384749107</v>
      </c>
      <c r="M9" s="23">
        <f t="shared" si="5"/>
        <v>0</v>
      </c>
      <c r="N9" s="23">
        <v>6.0602139272875999E-2</v>
      </c>
      <c r="O9" s="23">
        <v>0.292845448077243</v>
      </c>
      <c r="P9" s="23">
        <v>1.5125409276054298</v>
      </c>
      <c r="Q9" s="23">
        <v>0.119838932443698</v>
      </c>
      <c r="R9" s="23">
        <v>0.87885447619080992</v>
      </c>
      <c r="S9" s="23">
        <v>0.45324854868250103</v>
      </c>
      <c r="T9" s="23">
        <v>4.9989588270649199E-2</v>
      </c>
      <c r="U9" s="23">
        <v>0.99915901832112897</v>
      </c>
      <c r="V9" s="23">
        <v>1.04874757217768</v>
      </c>
      <c r="W9" s="23">
        <v>0.18173456224300899</v>
      </c>
      <c r="X9" s="23">
        <v>0.85938117146408199</v>
      </c>
      <c r="Y9" s="23">
        <f t="shared" si="6"/>
        <v>6.456942384749107</v>
      </c>
      <c r="Z9" s="23"/>
    </row>
    <row r="10" spans="2:26" x14ac:dyDescent="0.2">
      <c r="B10" s="13">
        <v>2017</v>
      </c>
      <c r="C10" s="23">
        <v>0</v>
      </c>
      <c r="D10" s="23">
        <f t="shared" si="0"/>
        <v>1.0781848632929498</v>
      </c>
      <c r="E10" s="23">
        <f t="shared" si="1"/>
        <v>3.0833363526532573</v>
      </c>
      <c r="F10" s="23">
        <v>0</v>
      </c>
      <c r="G10" s="23">
        <f t="shared" si="2"/>
        <v>1.1648684532275146</v>
      </c>
      <c r="H10" s="23">
        <v>0</v>
      </c>
      <c r="I10" s="23">
        <v>0</v>
      </c>
      <c r="J10" s="23">
        <f t="shared" si="3"/>
        <v>0.53697119182713837</v>
      </c>
      <c r="K10" s="23">
        <f t="shared" si="4"/>
        <v>5.8633608610008601</v>
      </c>
      <c r="M10" s="23">
        <f t="shared" si="5"/>
        <v>0</v>
      </c>
      <c r="N10" s="23">
        <v>8.0471525430233601E-2</v>
      </c>
      <c r="O10" s="23">
        <v>0.29572769577668201</v>
      </c>
      <c r="P10" s="23">
        <v>1.1622376000125201</v>
      </c>
      <c r="Q10" s="23">
        <v>7.3971913701297104E-2</v>
      </c>
      <c r="R10" s="23">
        <v>0.887280808557939</v>
      </c>
      <c r="S10" s="23">
        <v>0.373024405934619</v>
      </c>
      <c r="T10" s="23">
        <v>5.0669283929711796E-2</v>
      </c>
      <c r="U10" s="23">
        <v>1.0781848632929498</v>
      </c>
      <c r="V10" s="23">
        <v>1.03062565527073</v>
      </c>
      <c r="W10" s="23">
        <v>0.15995311931025499</v>
      </c>
      <c r="X10" s="23">
        <v>0.67121398978392299</v>
      </c>
      <c r="Y10" s="23">
        <f t="shared" si="6"/>
        <v>5.8633608610008601</v>
      </c>
      <c r="Z10" s="23"/>
    </row>
    <row r="11" spans="2:26" x14ac:dyDescent="0.2">
      <c r="B11" s="13">
        <v>2016</v>
      </c>
      <c r="C11" s="23">
        <v>0</v>
      </c>
      <c r="D11" s="23">
        <f t="shared" si="0"/>
        <v>0.53043007997042202</v>
      </c>
      <c r="E11" s="23">
        <f t="shared" si="1"/>
        <v>1.146753280509111</v>
      </c>
      <c r="F11" s="23">
        <v>0</v>
      </c>
      <c r="G11" s="23">
        <f t="shared" si="2"/>
        <v>1.043189121918122</v>
      </c>
      <c r="H11" s="23">
        <v>0</v>
      </c>
      <c r="I11" s="23">
        <v>0</v>
      </c>
      <c r="J11" s="23">
        <f t="shared" si="3"/>
        <v>0.32518850805969923</v>
      </c>
      <c r="K11" s="23">
        <f t="shared" si="4"/>
        <v>3.0455609904573544</v>
      </c>
      <c r="M11" s="23">
        <f t="shared" si="5"/>
        <v>0</v>
      </c>
      <c r="N11" s="23">
        <v>-9.4408043231670891E-3</v>
      </c>
      <c r="O11" s="23">
        <v>1.2610271522799799E-2</v>
      </c>
      <c r="P11" s="23">
        <v>0.82979807245317394</v>
      </c>
      <c r="Q11" s="23">
        <v>-2.78837042938452E-2</v>
      </c>
      <c r="R11" s="23">
        <v>0.12022413001691801</v>
      </c>
      <c r="S11" s="23">
        <v>0.117048005065644</v>
      </c>
      <c r="T11" s="23">
        <v>3.8121417969128803E-2</v>
      </c>
      <c r="U11" s="23">
        <v>0.53043007997042202</v>
      </c>
      <c r="V11" s="23">
        <v>0.9618919949031971</v>
      </c>
      <c r="W11" s="23">
        <v>6.6275892098458702E-2</v>
      </c>
      <c r="X11" s="23">
        <v>0.40648563507462399</v>
      </c>
      <c r="Y11" s="23">
        <f t="shared" si="6"/>
        <v>3.045560990457354</v>
      </c>
      <c r="Z11" s="23"/>
    </row>
    <row r="12" spans="2:26" x14ac:dyDescent="0.2">
      <c r="B12" s="13">
        <v>2015</v>
      </c>
      <c r="C12" s="23">
        <v>0</v>
      </c>
      <c r="D12" s="23">
        <f t="shared" si="0"/>
        <v>0.65955654118521201</v>
      </c>
      <c r="E12" s="23">
        <f t="shared" si="1"/>
        <v>2.057250235375442</v>
      </c>
      <c r="F12" s="23">
        <v>0</v>
      </c>
      <c r="G12" s="23">
        <f t="shared" si="2"/>
        <v>1.0171413402473639</v>
      </c>
      <c r="H12" s="23">
        <v>0</v>
      </c>
      <c r="I12" s="23">
        <v>0</v>
      </c>
      <c r="J12" s="23">
        <f t="shared" si="3"/>
        <v>0.47458886813458323</v>
      </c>
      <c r="K12" s="23">
        <f t="shared" si="4"/>
        <v>4.2085369849426018</v>
      </c>
      <c r="M12" s="23">
        <f t="shared" si="5"/>
        <v>0</v>
      </c>
      <c r="N12" s="23">
        <v>3.3114882930469498E-2</v>
      </c>
      <c r="O12" s="23">
        <v>0.15710442394007398</v>
      </c>
      <c r="P12" s="23">
        <v>0.55913342443679503</v>
      </c>
      <c r="Q12" s="23">
        <v>7.2260177418610794E-2</v>
      </c>
      <c r="R12" s="23">
        <v>0.68190629823643301</v>
      </c>
      <c r="S12" s="23">
        <v>0.42710348668032</v>
      </c>
      <c r="T12" s="23">
        <v>3.0111940824157499E-2</v>
      </c>
      <c r="U12" s="23">
        <v>0.65955654118521201</v>
      </c>
      <c r="V12" s="23">
        <v>0.89849412321371802</v>
      </c>
      <c r="W12" s="23">
        <v>9.6515600908582203E-2</v>
      </c>
      <c r="X12" s="23">
        <v>0.59323608516822901</v>
      </c>
      <c r="Y12" s="23">
        <f t="shared" si="6"/>
        <v>4.2085369849426009</v>
      </c>
      <c r="Z12" s="23"/>
    </row>
    <row r="13" spans="2:26" x14ac:dyDescent="0.2">
      <c r="B13" s="13">
        <v>2014</v>
      </c>
      <c r="C13" s="23">
        <v>0</v>
      </c>
      <c r="D13" s="23">
        <f t="shared" si="0"/>
        <v>0.54978775347935993</v>
      </c>
      <c r="E13" s="23">
        <f t="shared" si="1"/>
        <v>1.7291431426000463</v>
      </c>
      <c r="F13" s="23">
        <v>0</v>
      </c>
      <c r="G13" s="23">
        <f t="shared" si="2"/>
        <v>0.96230788805665934</v>
      </c>
      <c r="H13" s="23">
        <v>0</v>
      </c>
      <c r="I13" s="23">
        <v>0</v>
      </c>
      <c r="J13" s="23">
        <f t="shared" si="3"/>
        <v>0.43668638085242162</v>
      </c>
      <c r="K13" s="23">
        <f t="shared" si="4"/>
        <v>3.677925164988487</v>
      </c>
      <c r="M13" s="23">
        <f t="shared" si="5"/>
        <v>0</v>
      </c>
      <c r="N13" s="23">
        <v>3.2742274235732699E-2</v>
      </c>
      <c r="O13" s="23">
        <v>0.19488181816195199</v>
      </c>
      <c r="P13" s="23">
        <v>0.41906643900590401</v>
      </c>
      <c r="Q13" s="23">
        <v>2.2303998950990899E-2</v>
      </c>
      <c r="R13" s="23">
        <v>0.50773298774503206</v>
      </c>
      <c r="S13" s="23">
        <v>0.40654324191984703</v>
      </c>
      <c r="T13" s="23">
        <v>2.48448495106765E-2</v>
      </c>
      <c r="U13" s="23">
        <v>0.54978775347935993</v>
      </c>
      <c r="V13" s="23">
        <v>0.85313629284355397</v>
      </c>
      <c r="W13" s="23">
        <v>0.121027533069911</v>
      </c>
      <c r="X13" s="23">
        <v>0.545857976065527</v>
      </c>
      <c r="Y13" s="23">
        <f t="shared" si="6"/>
        <v>3.677925164988487</v>
      </c>
      <c r="Z13" s="23"/>
    </row>
    <row r="14" spans="2:26" x14ac:dyDescent="0.2">
      <c r="B14" s="13">
        <v>2013</v>
      </c>
      <c r="C14" s="23">
        <v>0</v>
      </c>
      <c r="D14" s="23">
        <f t="shared" si="0"/>
        <v>2.0400618582000001</v>
      </c>
      <c r="E14" s="23">
        <f t="shared" si="1"/>
        <v>3.4959976610000001</v>
      </c>
      <c r="F14" s="23">
        <v>0</v>
      </c>
      <c r="G14" s="23">
        <f t="shared" si="2"/>
        <v>1.1813439444</v>
      </c>
      <c r="H14" s="23">
        <v>0</v>
      </c>
      <c r="I14" s="23">
        <v>0</v>
      </c>
      <c r="J14" s="23">
        <f t="shared" si="3"/>
        <v>1.2692565256000001</v>
      </c>
      <c r="K14" s="23">
        <f t="shared" si="4"/>
        <v>7.9866599892000005</v>
      </c>
      <c r="M14" s="23">
        <f t="shared" si="5"/>
        <v>0</v>
      </c>
      <c r="N14" s="23">
        <v>3.3844807999999997E-2</v>
      </c>
      <c r="O14" s="23">
        <v>1.251671508</v>
      </c>
      <c r="P14" s="23">
        <v>0.41187742700000002</v>
      </c>
      <c r="Q14" s="23">
        <v>0.62263458599999999</v>
      </c>
      <c r="R14" s="23">
        <v>0.46908408099999999</v>
      </c>
      <c r="S14" s="23">
        <v>0.56539983400000005</v>
      </c>
      <c r="T14" s="23">
        <v>2.1334418000000001E-2</v>
      </c>
      <c r="U14" s="23">
        <v>2.0400618582000001</v>
      </c>
      <c r="V14" s="23">
        <v>0.86402981300000004</v>
      </c>
      <c r="W14" s="23">
        <v>0.12015099899999999</v>
      </c>
      <c r="X14" s="23">
        <v>1.586570657</v>
      </c>
      <c r="Y14" s="23">
        <f t="shared" si="6"/>
        <v>7.9866599892000005</v>
      </c>
      <c r="Z14" s="23"/>
    </row>
    <row r="15" spans="2:26" x14ac:dyDescent="0.2">
      <c r="B15" s="13">
        <v>2012</v>
      </c>
      <c r="C15" s="23">
        <v>0</v>
      </c>
      <c r="D15" s="23">
        <f t="shared" si="0"/>
        <v>3.9564966560000001</v>
      </c>
      <c r="E15" s="23">
        <f t="shared" si="1"/>
        <v>1.5640938373000002</v>
      </c>
      <c r="F15" s="23">
        <v>0</v>
      </c>
      <c r="G15" s="23">
        <f t="shared" si="2"/>
        <v>0.9222411638000001</v>
      </c>
      <c r="H15" s="23">
        <v>0</v>
      </c>
      <c r="I15" s="23">
        <v>0</v>
      </c>
      <c r="J15" s="23">
        <f t="shared" si="3"/>
        <v>0.53644736320000008</v>
      </c>
      <c r="K15" s="23">
        <f t="shared" si="4"/>
        <v>6.9792790202999999</v>
      </c>
      <c r="M15" s="23">
        <f t="shared" si="5"/>
        <v>0</v>
      </c>
      <c r="N15" s="23">
        <v>3.8639071999999997E-2</v>
      </c>
      <c r="O15" s="23">
        <v>4.9711838000000001E-2</v>
      </c>
      <c r="P15" s="23">
        <v>0.32250531900000001</v>
      </c>
      <c r="Q15" s="23">
        <v>0.255320186</v>
      </c>
      <c r="R15" s="23">
        <v>0.51413153730000005</v>
      </c>
      <c r="S15" s="23">
        <v>0.26979773099999999</v>
      </c>
      <c r="T15" s="23">
        <v>1.8247648000000002E-2</v>
      </c>
      <c r="U15" s="23">
        <v>3.9564966560000001</v>
      </c>
      <c r="V15" s="23">
        <v>0.78812932300000005</v>
      </c>
      <c r="W15" s="23">
        <v>9.5740506000000003E-2</v>
      </c>
      <c r="X15" s="23">
        <v>0.67055920400000002</v>
      </c>
      <c r="Y15" s="23">
        <f t="shared" si="6"/>
        <v>6.9792790202999999</v>
      </c>
      <c r="Z15" s="23"/>
    </row>
    <row r="16" spans="2:26" x14ac:dyDescent="0.2">
      <c r="B16" s="13">
        <v>2011</v>
      </c>
      <c r="C16" s="23">
        <v>0</v>
      </c>
      <c r="D16" s="23">
        <f t="shared" si="0"/>
        <v>0.92015695900000005</v>
      </c>
      <c r="E16" s="23">
        <f t="shared" si="1"/>
        <v>1.2400445089999999</v>
      </c>
      <c r="F16" s="23">
        <v>0</v>
      </c>
      <c r="G16" s="23">
        <f t="shared" si="2"/>
        <v>1.2085834127858996</v>
      </c>
      <c r="H16" s="23">
        <v>0</v>
      </c>
      <c r="I16" s="23">
        <v>0</v>
      </c>
      <c r="J16" s="23">
        <f t="shared" si="3"/>
        <v>0.29606214314359841</v>
      </c>
      <c r="K16" s="23">
        <f t="shared" si="4"/>
        <v>3.6648470239294979</v>
      </c>
      <c r="M16" s="23">
        <f t="shared" si="5"/>
        <v>0</v>
      </c>
      <c r="N16" s="23">
        <v>1.0069259000000001E-2</v>
      </c>
      <c r="O16" s="23">
        <v>5.9689676999999997E-2</v>
      </c>
      <c r="P16" s="23">
        <v>0.26345227900000001</v>
      </c>
      <c r="Q16" s="23">
        <v>-9.2144999999999998E-4</v>
      </c>
      <c r="R16" s="23">
        <v>0.258770952</v>
      </c>
      <c r="S16" s="23">
        <v>0.55907274500000004</v>
      </c>
      <c r="T16" s="23">
        <v>1.3223973999999999E-2</v>
      </c>
      <c r="U16" s="23">
        <v>0.92015695900000005</v>
      </c>
      <c r="V16" s="23">
        <v>1.1345678770000001</v>
      </c>
      <c r="W16" s="23">
        <v>7.6687072999999994E-2</v>
      </c>
      <c r="X16" s="23">
        <v>0.370077678929498</v>
      </c>
      <c r="Y16" s="23">
        <f t="shared" si="6"/>
        <v>3.6648470239294983</v>
      </c>
      <c r="Z16" s="23"/>
    </row>
    <row r="17" spans="2:33" x14ac:dyDescent="0.2">
      <c r="B17" s="13">
        <v>2010</v>
      </c>
      <c r="C17" s="23">
        <v>0</v>
      </c>
      <c r="D17" s="23">
        <f t="shared" si="0"/>
        <v>1.2296213250000001</v>
      </c>
      <c r="E17" s="23">
        <f t="shared" si="1"/>
        <v>2.7841064520000001</v>
      </c>
      <c r="F17" s="23">
        <v>0</v>
      </c>
      <c r="G17" s="23">
        <f t="shared" si="2"/>
        <v>0.9705050286000001</v>
      </c>
      <c r="H17" s="23">
        <v>0</v>
      </c>
      <c r="I17" s="23">
        <v>0</v>
      </c>
      <c r="J17" s="23">
        <f t="shared" si="3"/>
        <v>1.0960630024</v>
      </c>
      <c r="K17" s="23">
        <f t="shared" si="4"/>
        <v>6.0802958079999998</v>
      </c>
      <c r="M17" s="23">
        <f t="shared" si="5"/>
        <v>0</v>
      </c>
      <c r="N17" s="23">
        <v>5.1995339999999996E-3</v>
      </c>
      <c r="O17" s="23">
        <v>2.8862028930000001</v>
      </c>
      <c r="P17" s="23">
        <v>0.24163081</v>
      </c>
      <c r="Q17" s="23">
        <v>9.9777755999999995E-2</v>
      </c>
      <c r="R17" s="23">
        <v>-0.80972427400000002</v>
      </c>
      <c r="S17" s="23">
        <v>0.27417995000000001</v>
      </c>
      <c r="T17" s="23">
        <v>1.0046085E-2</v>
      </c>
      <c r="U17" s="23">
        <v>1.2296213250000001</v>
      </c>
      <c r="V17" s="23">
        <v>0.69648927800000004</v>
      </c>
      <c r="W17" s="23">
        <v>7.6793697999999994E-2</v>
      </c>
      <c r="X17" s="23">
        <v>1.370078753</v>
      </c>
      <c r="Y17" s="23">
        <f t="shared" si="6"/>
        <v>6.0802958080000007</v>
      </c>
      <c r="Z17" s="23"/>
    </row>
    <row r="18" spans="2:33" x14ac:dyDescent="0.2">
      <c r="B18" s="13">
        <v>2009</v>
      </c>
      <c r="C18" s="23">
        <v>0</v>
      </c>
      <c r="D18" s="23">
        <f t="shared" si="0"/>
        <v>0.57173189899999999</v>
      </c>
      <c r="E18" s="23">
        <f t="shared" si="1"/>
        <v>0.68842556599999982</v>
      </c>
      <c r="F18" s="23">
        <v>0</v>
      </c>
      <c r="G18" s="23">
        <f t="shared" si="2"/>
        <v>0.81232477270000003</v>
      </c>
      <c r="H18" s="23">
        <v>0</v>
      </c>
      <c r="I18" s="23">
        <v>0</v>
      </c>
      <c r="J18" s="23">
        <f t="shared" si="3"/>
        <v>0.70828097080000008</v>
      </c>
      <c r="K18" s="23">
        <f t="shared" si="4"/>
        <v>2.7807632085000002</v>
      </c>
      <c r="M18" s="23">
        <f t="shared" si="5"/>
        <v>0</v>
      </c>
      <c r="N18" s="23">
        <v>3.212805E-3</v>
      </c>
      <c r="O18" s="23">
        <v>-8.3762660000000003E-3</v>
      </c>
      <c r="P18" s="23">
        <v>0.181216031</v>
      </c>
      <c r="Q18" s="23">
        <v>9.6025124000000003E-2</v>
      </c>
      <c r="R18" s="23">
        <v>0.15280031899999999</v>
      </c>
      <c r="S18" s="23">
        <v>0.202402256</v>
      </c>
      <c r="T18" s="23">
        <v>3.2134139999999999E-3</v>
      </c>
      <c r="U18" s="23">
        <v>0.57173189899999999</v>
      </c>
      <c r="V18" s="23">
        <v>0.63525452999999998</v>
      </c>
      <c r="W18" s="23">
        <v>5.7931883000000003E-2</v>
      </c>
      <c r="X18" s="23">
        <v>0.88535121350000001</v>
      </c>
      <c r="Y18" s="23">
        <f t="shared" si="6"/>
        <v>2.7807632084999998</v>
      </c>
      <c r="Z18" s="23"/>
    </row>
    <row r="19" spans="2:33" x14ac:dyDescent="0.2">
      <c r="B19" s="13">
        <v>2008</v>
      </c>
      <c r="C19" s="23">
        <v>0</v>
      </c>
      <c r="D19" s="23">
        <f t="shared" si="0"/>
        <v>0.85081773599999999</v>
      </c>
      <c r="E19" s="23">
        <f t="shared" si="1"/>
        <v>1.2631676833816139</v>
      </c>
      <c r="F19" s="23">
        <v>0</v>
      </c>
      <c r="G19" s="23">
        <f t="shared" si="2"/>
        <v>0.83573588641997609</v>
      </c>
      <c r="H19" s="23">
        <v>0</v>
      </c>
      <c r="I19" s="23">
        <v>0</v>
      </c>
      <c r="J19" s="23">
        <f t="shared" si="3"/>
        <v>2.5268919816799045</v>
      </c>
      <c r="K19" s="23">
        <f t="shared" si="4"/>
        <v>5.476613287481495</v>
      </c>
      <c r="M19" s="23">
        <f t="shared" si="5"/>
        <v>0</v>
      </c>
      <c r="N19" s="23">
        <v>2.5012184E-2</v>
      </c>
      <c r="O19" s="23">
        <v>0.42613226658383002</v>
      </c>
      <c r="P19" s="23">
        <v>0.23375473499999999</v>
      </c>
      <c r="Q19" s="23">
        <v>-2.1758758E-2</v>
      </c>
      <c r="R19" s="23">
        <v>0.257759655589896</v>
      </c>
      <c r="S19" s="23">
        <v>0.18670193800000001</v>
      </c>
      <c r="T19" s="23">
        <v>1.3305421E-2</v>
      </c>
      <c r="U19" s="23">
        <v>0.85081773599999999</v>
      </c>
      <c r="V19" s="23">
        <v>0.204012891</v>
      </c>
      <c r="W19" s="23">
        <v>0.14226024120788799</v>
      </c>
      <c r="X19" s="23">
        <v>3.1586149770998802</v>
      </c>
      <c r="Y19" s="23">
        <f t="shared" si="6"/>
        <v>5.4766132874814941</v>
      </c>
      <c r="Z19" s="23"/>
    </row>
    <row r="20" spans="2:33" x14ac:dyDescent="0.2">
      <c r="B20" s="13">
        <v>2007</v>
      </c>
      <c r="C20" s="23">
        <v>0</v>
      </c>
      <c r="D20" s="23">
        <f t="shared" si="0"/>
        <v>0.91236568500000004</v>
      </c>
      <c r="E20" s="23">
        <f t="shared" si="1"/>
        <v>0.99598240354541334</v>
      </c>
      <c r="F20" s="23">
        <v>0</v>
      </c>
      <c r="G20" s="23">
        <f t="shared" si="2"/>
        <v>0.87557388241229905</v>
      </c>
      <c r="H20" s="23">
        <v>0</v>
      </c>
      <c r="I20" s="23">
        <v>0</v>
      </c>
      <c r="J20" s="23">
        <f t="shared" si="3"/>
        <v>0.66544419364919605</v>
      </c>
      <c r="K20" s="23">
        <f t="shared" si="4"/>
        <v>3.4493661646069085</v>
      </c>
      <c r="M20" s="23">
        <f t="shared" si="5"/>
        <v>0</v>
      </c>
      <c r="N20" s="23">
        <v>1.7470497000000001E-2</v>
      </c>
      <c r="O20" s="23">
        <v>0.174318588</v>
      </c>
      <c r="P20" s="23">
        <v>0.21182701100000001</v>
      </c>
      <c r="Q20" s="23">
        <v>0.12540316000000001</v>
      </c>
      <c r="R20" s="23">
        <v>0.30260548500000001</v>
      </c>
      <c r="S20" s="23">
        <v>9.42177995454134E-2</v>
      </c>
      <c r="T20" s="23">
        <v>8.1803329999999997E-3</v>
      </c>
      <c r="U20" s="23">
        <v>0.91236568500000004</v>
      </c>
      <c r="V20" s="23">
        <v>0.70921283400000001</v>
      </c>
      <c r="W20" s="23">
        <v>6.1959529999999999E-2</v>
      </c>
      <c r="X20" s="23">
        <v>0.83180524206149498</v>
      </c>
      <c r="Y20" s="23">
        <f t="shared" si="6"/>
        <v>3.4493661646069085</v>
      </c>
      <c r="Z20" s="23"/>
    </row>
    <row r="21" spans="2:33" x14ac:dyDescent="0.2">
      <c r="B21" s="13">
        <v>2006</v>
      </c>
      <c r="C21" s="23">
        <v>0</v>
      </c>
      <c r="D21" s="23">
        <f t="shared" si="0"/>
        <v>1.4799473568616399</v>
      </c>
      <c r="E21" s="23">
        <f t="shared" si="1"/>
        <v>0.83790583067096391</v>
      </c>
      <c r="F21" s="23">
        <v>0</v>
      </c>
      <c r="G21" s="23">
        <f t="shared" si="2"/>
        <v>0.8579932186</v>
      </c>
      <c r="H21" s="23">
        <v>0</v>
      </c>
      <c r="I21" s="23">
        <v>0</v>
      </c>
      <c r="J21" s="23">
        <f t="shared" si="3"/>
        <v>0.48461809039999998</v>
      </c>
      <c r="K21" s="23">
        <f t="shared" si="4"/>
        <v>3.6604644965326041</v>
      </c>
      <c r="M21" s="23">
        <f t="shared" si="5"/>
        <v>0</v>
      </c>
      <c r="N21" s="23">
        <v>3.63767E-3</v>
      </c>
      <c r="O21" s="23">
        <v>8.1663633999999999E-2</v>
      </c>
      <c r="P21" s="23">
        <v>0.157209656</v>
      </c>
      <c r="Q21" s="23">
        <v>6.1692810000000004E-3</v>
      </c>
      <c r="R21" s="23">
        <v>0.36390557899999998</v>
      </c>
      <c r="S21" s="23">
        <v>0.197249385</v>
      </c>
      <c r="T21" s="23">
        <v>8.4406289999999998E-3</v>
      </c>
      <c r="U21" s="23">
        <v>1.4799473568616399</v>
      </c>
      <c r="V21" s="23">
        <v>0.73683869599999996</v>
      </c>
      <c r="W21" s="23">
        <v>1.9629996670964E-2</v>
      </c>
      <c r="X21" s="23">
        <v>0.60577261299999996</v>
      </c>
      <c r="Y21" s="23">
        <f t="shared" si="6"/>
        <v>3.6604644965326041</v>
      </c>
      <c r="Z21" s="23"/>
    </row>
    <row r="22" spans="2:33" x14ac:dyDescent="0.2">
      <c r="B22" s="13">
        <v>2005</v>
      </c>
      <c r="C22" s="23">
        <v>0</v>
      </c>
      <c r="D22" s="23">
        <f t="shared" si="0"/>
        <v>1.4530094491323899</v>
      </c>
      <c r="E22" s="23">
        <f t="shared" si="1"/>
        <v>3.649755904370827</v>
      </c>
      <c r="F22" s="23">
        <v>0</v>
      </c>
      <c r="G22" s="23">
        <f t="shared" si="2"/>
        <v>0.75841015540000001</v>
      </c>
      <c r="H22" s="23">
        <v>0</v>
      </c>
      <c r="I22" s="23">
        <v>0</v>
      </c>
      <c r="J22" s="23">
        <f t="shared" si="3"/>
        <v>0.45452256960000004</v>
      </c>
      <c r="K22" s="23">
        <f t="shared" si="4"/>
        <v>6.3156980785032166</v>
      </c>
      <c r="M22" s="23">
        <f t="shared" si="5"/>
        <v>0</v>
      </c>
      <c r="N22" s="23">
        <v>-1.3735598E-2</v>
      </c>
      <c r="O22" s="23">
        <v>5.2548232E-2</v>
      </c>
      <c r="P22" s="23">
        <v>0.12503594300000001</v>
      </c>
      <c r="Q22" s="23">
        <v>3.0841902600000002</v>
      </c>
      <c r="R22" s="23">
        <v>0.18640209774878799</v>
      </c>
      <c r="S22" s="23">
        <v>0.147057823</v>
      </c>
      <c r="T22" s="23">
        <v>2.3090039999999999E-3</v>
      </c>
      <c r="U22" s="23">
        <v>1.4530094491323899</v>
      </c>
      <c r="V22" s="23">
        <v>0.64477951300000003</v>
      </c>
      <c r="W22" s="23">
        <v>6.5948142622039393E-2</v>
      </c>
      <c r="X22" s="23">
        <v>0.56815321200000002</v>
      </c>
      <c r="Y22" s="23">
        <f t="shared" si="6"/>
        <v>6.3156980785032175</v>
      </c>
      <c r="Z22" s="23"/>
    </row>
    <row r="23" spans="2:33" x14ac:dyDescent="0.2">
      <c r="B23" s="41" t="s">
        <v>71</v>
      </c>
    </row>
    <row r="24" spans="2:33" x14ac:dyDescent="0.2">
      <c r="B24" s="13" t="s">
        <v>67</v>
      </c>
      <c r="N24" s="13" t="s">
        <v>68</v>
      </c>
    </row>
    <row r="25" spans="2:33" x14ac:dyDescent="0.2">
      <c r="N25" s="13">
        <v>54</v>
      </c>
      <c r="O25" s="13">
        <v>55</v>
      </c>
      <c r="P25" s="13">
        <v>56</v>
      </c>
      <c r="Q25" s="13">
        <v>57</v>
      </c>
      <c r="R25" s="13">
        <v>58</v>
      </c>
      <c r="S25" s="13">
        <v>59</v>
      </c>
      <c r="T25" s="13">
        <v>60</v>
      </c>
      <c r="U25" s="13">
        <v>61</v>
      </c>
      <c r="V25" s="13">
        <v>62</v>
      </c>
      <c r="W25" s="13">
        <v>63</v>
      </c>
      <c r="X25" s="13">
        <v>64</v>
      </c>
      <c r="Y25" s="13">
        <v>65</v>
      </c>
      <c r="Z25" s="13">
        <v>66</v>
      </c>
      <c r="AA25" s="13">
        <v>85</v>
      </c>
      <c r="AB25" s="13">
        <v>86</v>
      </c>
      <c r="AC25" s="13">
        <v>87</v>
      </c>
      <c r="AD25" s="13">
        <v>91</v>
      </c>
      <c r="AE25" s="13">
        <v>94</v>
      </c>
      <c r="AF25" s="13">
        <v>95</v>
      </c>
    </row>
    <row r="26" spans="2:33" x14ac:dyDescent="0.2">
      <c r="M26" s="13" t="s">
        <v>72</v>
      </c>
      <c r="N26" s="14">
        <v>0.9</v>
      </c>
      <c r="O26" s="14">
        <v>0.9</v>
      </c>
      <c r="P26" s="14">
        <v>0.9</v>
      </c>
      <c r="Q26" s="14">
        <v>0.9</v>
      </c>
      <c r="R26" s="14">
        <v>0.5</v>
      </c>
      <c r="S26" s="14">
        <v>0.5</v>
      </c>
      <c r="T26" s="14">
        <v>0.5</v>
      </c>
      <c r="U26" s="14">
        <v>0.5</v>
      </c>
      <c r="V26" s="14">
        <v>0.5</v>
      </c>
      <c r="W26" s="14">
        <v>0.5</v>
      </c>
      <c r="X26" s="14"/>
      <c r="Y26" s="14">
        <v>0.5</v>
      </c>
      <c r="Z26" s="14"/>
      <c r="AA26" s="14"/>
      <c r="AB26" s="14"/>
      <c r="AC26" s="14"/>
      <c r="AD26" s="14"/>
      <c r="AE26" s="14"/>
      <c r="AF26" s="14"/>
    </row>
    <row r="27" spans="2:33" x14ac:dyDescent="0.2">
      <c r="C27" s="13" t="s">
        <v>39</v>
      </c>
      <c r="D27" s="13" t="s">
        <v>40</v>
      </c>
      <c r="E27" s="13" t="s">
        <v>41</v>
      </c>
      <c r="F27" s="13" t="s">
        <v>42</v>
      </c>
      <c r="G27" s="13" t="s">
        <v>43</v>
      </c>
      <c r="H27" s="13" t="s">
        <v>44</v>
      </c>
      <c r="I27" s="13" t="s">
        <v>69</v>
      </c>
      <c r="J27" s="13" t="s">
        <v>45</v>
      </c>
      <c r="K27" s="13" t="s">
        <v>70</v>
      </c>
      <c r="M27" s="13" t="s">
        <v>73</v>
      </c>
      <c r="N27" s="14">
        <v>0.01</v>
      </c>
      <c r="O27" s="14">
        <v>0.01</v>
      </c>
      <c r="P27" s="14">
        <v>0.01</v>
      </c>
      <c r="Q27" s="14">
        <v>0.01</v>
      </c>
      <c r="R27" s="14">
        <v>0.01</v>
      </c>
      <c r="S27" s="14">
        <v>0.01</v>
      </c>
      <c r="T27" s="14">
        <v>0.01</v>
      </c>
      <c r="U27" s="14">
        <v>0.01</v>
      </c>
      <c r="V27" s="14">
        <v>0.01</v>
      </c>
      <c r="W27" s="14"/>
      <c r="X27" s="14">
        <v>0.01</v>
      </c>
      <c r="Y27" s="14">
        <v>0.01</v>
      </c>
      <c r="Z27" s="14">
        <v>0.01</v>
      </c>
      <c r="AA27" s="14">
        <v>0.01</v>
      </c>
      <c r="AB27" s="14"/>
      <c r="AC27" s="14"/>
      <c r="AD27" s="14">
        <v>0.01</v>
      </c>
      <c r="AE27" s="14">
        <v>0.01</v>
      </c>
      <c r="AF27" s="14">
        <v>0.01</v>
      </c>
    </row>
    <row r="28" spans="2:33" x14ac:dyDescent="0.2">
      <c r="M28" s="13" t="s">
        <v>74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>
        <v>0.1</v>
      </c>
      <c r="Y28" s="14"/>
      <c r="Z28" s="14">
        <v>0.05</v>
      </c>
      <c r="AA28" s="14">
        <v>0.09</v>
      </c>
      <c r="AB28" s="14">
        <v>0.1</v>
      </c>
      <c r="AC28" s="14">
        <v>0.1</v>
      </c>
      <c r="AD28" s="14">
        <v>0.05</v>
      </c>
      <c r="AE28" s="14">
        <v>0.05</v>
      </c>
      <c r="AF28" s="14">
        <v>0.1</v>
      </c>
    </row>
    <row r="29" spans="2:33" x14ac:dyDescent="0.2">
      <c r="B29" s="13" t="s">
        <v>2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2:33" x14ac:dyDescent="0.2">
      <c r="B30" s="13">
        <v>2020</v>
      </c>
      <c r="C30" s="23">
        <f t="shared" ref="C30:C45" si="7">SUMPRODUCT(AB30:AC30,AB$28:AC$28)</f>
        <v>0.68114025062400918</v>
      </c>
      <c r="D30" s="23">
        <f t="shared" ref="D30:D45" si="8">SUMPRODUCT(N30:AF30,N$27:AF$27)</f>
        <v>0.67442413733529372</v>
      </c>
      <c r="E30" s="23">
        <v>0</v>
      </c>
      <c r="F30" s="23">
        <f t="shared" ref="F30:F45" si="9">AA30*AA$28</f>
        <v>4.1165812777843174</v>
      </c>
      <c r="G30" s="23">
        <f t="shared" ref="G30:G45" si="10">X30*X$28+Z30*Z$28+SUMPRODUCT(AD30:AF30,AD$28:AF$28)</f>
        <v>0.82125041261092946</v>
      </c>
      <c r="H30" s="23">
        <v>0</v>
      </c>
      <c r="I30" s="23">
        <f t="shared" ref="I30:I45" si="11">SUMPRODUCT(N30:AF30,N$26:AF$26)</f>
        <v>6.5451822607732941</v>
      </c>
      <c r="J30" s="23">
        <v>0</v>
      </c>
      <c r="K30" s="23">
        <f t="shared" ref="K30:K45" si="12">SUM(C30:H30,J30)</f>
        <v>6.2933960783545499</v>
      </c>
      <c r="L30" s="23"/>
      <c r="M30" s="23"/>
      <c r="N30" s="23">
        <v>0.72483434414672809</v>
      </c>
      <c r="O30" s="23">
        <v>0.58366162921373699</v>
      </c>
      <c r="P30" s="23">
        <v>0.69362364637526908</v>
      </c>
      <c r="Q30" s="23">
        <v>0.727872454325588</v>
      </c>
      <c r="R30" s="23">
        <v>6.4241134024894994E-2</v>
      </c>
      <c r="S30" s="23">
        <v>0.346165073674084</v>
      </c>
      <c r="T30" s="23">
        <v>0.30146852973685095</v>
      </c>
      <c r="U30" s="23">
        <v>2.60958008186793</v>
      </c>
      <c r="V30" s="23">
        <v>1.73131150790487</v>
      </c>
      <c r="W30" s="23">
        <v>2.9995985804059102</v>
      </c>
      <c r="X30" s="23">
        <v>0.75803633082565103</v>
      </c>
      <c r="Y30" s="23">
        <v>0.124013880621668</v>
      </c>
      <c r="Z30" s="23">
        <v>0.14142117543683799</v>
      </c>
      <c r="AA30" s="23">
        <v>45.739791975381301</v>
      </c>
      <c r="AB30" s="23">
        <v>-0.46772266869608903</v>
      </c>
      <c r="AC30" s="23">
        <v>7.2791251749361798</v>
      </c>
      <c r="AD30" s="23">
        <v>7.7543128551286394E-2</v>
      </c>
      <c r="AE30" s="23">
        <v>10.9477263963062</v>
      </c>
      <c r="AF30" s="23">
        <v>1.8711224451364801</v>
      </c>
      <c r="AG30" s="23"/>
    </row>
    <row r="31" spans="2:33" x14ac:dyDescent="0.2">
      <c r="B31" s="13">
        <v>2019</v>
      </c>
      <c r="C31" s="23">
        <f t="shared" si="7"/>
        <v>0.8678530324836421</v>
      </c>
      <c r="D31" s="23">
        <f t="shared" si="8"/>
        <v>0.28634488630199678</v>
      </c>
      <c r="E31" s="23">
        <v>0</v>
      </c>
      <c r="F31" s="23">
        <f t="shared" si="9"/>
        <v>0.66013841953169361</v>
      </c>
      <c r="G31" s="23">
        <f t="shared" si="10"/>
        <v>0.94353874199805388</v>
      </c>
      <c r="H31" s="23">
        <v>0</v>
      </c>
      <c r="I31" s="23">
        <f t="shared" si="11"/>
        <v>4.630515567092087</v>
      </c>
      <c r="J31" s="23">
        <v>0</v>
      </c>
      <c r="K31" s="23">
        <f t="shared" si="12"/>
        <v>2.7578750803153862</v>
      </c>
      <c r="L31" s="23"/>
      <c r="M31" s="23"/>
      <c r="N31" s="23">
        <v>0.56933616499219208</v>
      </c>
      <c r="O31" s="23">
        <v>0.44079202905460502</v>
      </c>
      <c r="P31" s="23">
        <v>0.50018593139519207</v>
      </c>
      <c r="Q31" s="23">
        <v>0.57790911151130797</v>
      </c>
      <c r="R31" s="23">
        <v>4.76687346794476E-2</v>
      </c>
      <c r="S31" s="23">
        <v>0.32921917220819497</v>
      </c>
      <c r="T31" s="23">
        <v>0.23451228289387599</v>
      </c>
      <c r="U31" s="23">
        <v>1.9880791367867898</v>
      </c>
      <c r="V31" s="23">
        <v>1.3945202411017499</v>
      </c>
      <c r="W31" s="23">
        <v>1.41185820484355</v>
      </c>
      <c r="X31" s="23">
        <v>1.2240473686262801</v>
      </c>
      <c r="Y31" s="23">
        <v>9.6371535154629095E-2</v>
      </c>
      <c r="Z31" s="23">
        <v>0.16112531424975601</v>
      </c>
      <c r="AA31" s="23">
        <v>7.3348713281299291</v>
      </c>
      <c r="AB31" s="23">
        <v>-0.80251526237355097</v>
      </c>
      <c r="AC31" s="23">
        <v>9.4810455872099713</v>
      </c>
      <c r="AD31" s="23">
        <v>3.0877194091200301E-2</v>
      </c>
      <c r="AE31" s="23">
        <v>11.179268576281499</v>
      </c>
      <c r="AF31" s="23">
        <v>2.5257045090430297</v>
      </c>
      <c r="AG31" s="23"/>
    </row>
    <row r="32" spans="2:33" x14ac:dyDescent="0.2">
      <c r="B32" s="13">
        <v>2018</v>
      </c>
      <c r="C32" s="23">
        <f t="shared" si="7"/>
        <v>0.91471967665520471</v>
      </c>
      <c r="D32" s="23">
        <f t="shared" si="8"/>
        <v>0.3176829404989962</v>
      </c>
      <c r="E32" s="23">
        <v>0</v>
      </c>
      <c r="F32" s="23">
        <f t="shared" si="9"/>
        <v>0.71732386829963157</v>
      </c>
      <c r="G32" s="23">
        <f t="shared" si="10"/>
        <v>0.95141641266649946</v>
      </c>
      <c r="H32" s="23">
        <v>0</v>
      </c>
      <c r="I32" s="23">
        <f t="shared" si="11"/>
        <v>5.7400581185605244</v>
      </c>
      <c r="J32" s="23">
        <v>0</v>
      </c>
      <c r="K32" s="23">
        <f t="shared" si="12"/>
        <v>2.901142898120332</v>
      </c>
      <c r="L32" s="23"/>
      <c r="M32" s="23"/>
      <c r="N32" s="23">
        <v>0.61952672866138991</v>
      </c>
      <c r="O32" s="23">
        <v>0.51270916539798095</v>
      </c>
      <c r="P32" s="23">
        <v>0.46460194509860997</v>
      </c>
      <c r="Q32" s="23">
        <v>0.67281169547656405</v>
      </c>
      <c r="R32" s="23">
        <v>5.8097740390142601E-2</v>
      </c>
      <c r="S32" s="23">
        <v>0.35865818609115102</v>
      </c>
      <c r="T32" s="23">
        <v>0.26305553947575999</v>
      </c>
      <c r="U32" s="23">
        <v>2.9746592240818601</v>
      </c>
      <c r="V32" s="23">
        <v>1.9285198337824099</v>
      </c>
      <c r="W32" s="23">
        <v>1.6881021496854101</v>
      </c>
      <c r="X32" s="23">
        <v>0.99865580077478</v>
      </c>
      <c r="Y32" s="23">
        <v>0.12365440127213601</v>
      </c>
      <c r="Z32" s="23">
        <v>0.153007221501299</v>
      </c>
      <c r="AA32" s="23">
        <v>7.97026520332924</v>
      </c>
      <c r="AB32" s="23">
        <v>0.50212959476627606</v>
      </c>
      <c r="AC32" s="23">
        <v>8.6450671717857706</v>
      </c>
      <c r="AD32" s="23">
        <v>3.3608411079470095E-2</v>
      </c>
      <c r="AE32" s="23">
        <v>12.428524887774</v>
      </c>
      <c r="AF32" s="23">
        <v>2.2079380657128302</v>
      </c>
      <c r="AG32" s="23"/>
    </row>
    <row r="33" spans="2:33" x14ac:dyDescent="0.2">
      <c r="B33" s="13">
        <v>2017</v>
      </c>
      <c r="C33" s="23">
        <f t="shared" si="7"/>
        <v>1.0898390099629824</v>
      </c>
      <c r="D33" s="23">
        <f t="shared" si="8"/>
        <v>0.29000637242216243</v>
      </c>
      <c r="E33" s="23">
        <v>0</v>
      </c>
      <c r="F33" s="23">
        <f t="shared" si="9"/>
        <v>0.60630511773125062</v>
      </c>
      <c r="G33" s="23">
        <f t="shared" si="10"/>
        <v>0.9027662833635971</v>
      </c>
      <c r="H33" s="23">
        <v>0</v>
      </c>
      <c r="I33" s="23">
        <f t="shared" si="11"/>
        <v>5.7040119562590164</v>
      </c>
      <c r="J33" s="23">
        <v>0</v>
      </c>
      <c r="K33" s="23">
        <f t="shared" si="12"/>
        <v>2.8889167834799925</v>
      </c>
      <c r="L33" s="23"/>
      <c r="M33" s="23"/>
      <c r="N33" s="23">
        <v>0.59102410780798098</v>
      </c>
      <c r="O33" s="23">
        <v>0.56720350570505595</v>
      </c>
      <c r="P33" s="23">
        <v>0.391099718258136</v>
      </c>
      <c r="Q33" s="23">
        <v>0.60747648855069003</v>
      </c>
      <c r="R33" s="23">
        <v>5.3672264698467101E-2</v>
      </c>
      <c r="S33" s="23">
        <v>0.37573666169394704</v>
      </c>
      <c r="T33" s="23">
        <v>0.27817229416700001</v>
      </c>
      <c r="U33" s="23">
        <v>2.89537064368213</v>
      </c>
      <c r="V33" s="23">
        <v>1.8808215119712701</v>
      </c>
      <c r="W33" s="23">
        <v>1.91930751282235</v>
      </c>
      <c r="X33" s="23">
        <v>1.21040699585815</v>
      </c>
      <c r="Y33" s="23">
        <v>0.12269614690351599</v>
      </c>
      <c r="Z33" s="23">
        <v>0.15724728837266799</v>
      </c>
      <c r="AA33" s="23">
        <v>6.7367235303472297</v>
      </c>
      <c r="AB33" s="23">
        <v>-0.82555675451567601</v>
      </c>
      <c r="AC33" s="23">
        <v>11.723946854145501</v>
      </c>
      <c r="AD33" s="23">
        <v>3.4720386721132097E-2</v>
      </c>
      <c r="AE33" s="23">
        <v>10.753987394495899</v>
      </c>
      <c r="AF33" s="23">
        <v>2.3442783029829704</v>
      </c>
      <c r="AG33" s="23"/>
    </row>
    <row r="34" spans="2:33" x14ac:dyDescent="0.2">
      <c r="B34" s="13">
        <v>2016</v>
      </c>
      <c r="C34" s="23">
        <f t="shared" si="7"/>
        <v>0.7481103269807019</v>
      </c>
      <c r="D34" s="23">
        <f t="shared" si="8"/>
        <v>0.27736328688556372</v>
      </c>
      <c r="E34" s="23">
        <v>0</v>
      </c>
      <c r="F34" s="23">
        <f t="shared" si="9"/>
        <v>0.64368915537582272</v>
      </c>
      <c r="G34" s="23">
        <f t="shared" si="10"/>
        <v>0.81436807348942764</v>
      </c>
      <c r="H34" s="23">
        <v>0</v>
      </c>
      <c r="I34" s="23">
        <f t="shared" si="11"/>
        <v>5.181808186681546</v>
      </c>
      <c r="J34" s="23">
        <v>0</v>
      </c>
      <c r="K34" s="23">
        <f t="shared" si="12"/>
        <v>2.4835308427315157</v>
      </c>
      <c r="L34" s="23"/>
      <c r="M34" s="23"/>
      <c r="N34" s="23">
        <v>0.55469018618384502</v>
      </c>
      <c r="O34" s="23">
        <v>0.60851200449416398</v>
      </c>
      <c r="P34" s="23">
        <v>0.21701509822880199</v>
      </c>
      <c r="Q34" s="23">
        <v>0.54078082151872398</v>
      </c>
      <c r="R34" s="23">
        <v>7.1537595156917794E-2</v>
      </c>
      <c r="S34" s="23">
        <v>0.31722699556559597</v>
      </c>
      <c r="T34" s="23">
        <v>0.28542473174913296</v>
      </c>
      <c r="U34" s="23">
        <v>2.8269813789342497</v>
      </c>
      <c r="V34" s="23">
        <v>1.8765013522031901</v>
      </c>
      <c r="W34" s="23">
        <v>1.4196641908397998</v>
      </c>
      <c r="X34" s="23">
        <v>1.0640846860412601</v>
      </c>
      <c r="Y34" s="23">
        <v>0.108483530148242</v>
      </c>
      <c r="Z34" s="23">
        <v>0.13604303468766701</v>
      </c>
      <c r="AA34" s="23">
        <v>7.1521017263980307</v>
      </c>
      <c r="AB34" s="23">
        <v>5.9627847657248399E-2</v>
      </c>
      <c r="AC34" s="23">
        <v>7.4214754221497694</v>
      </c>
      <c r="AD34" s="23">
        <v>3.6345543690534304E-2</v>
      </c>
      <c r="AE34" s="23">
        <v>9.8943964877842099</v>
      </c>
      <c r="AF34" s="23">
        <v>2.0462035157718099</v>
      </c>
      <c r="AG34" s="23"/>
    </row>
    <row r="35" spans="2:33" x14ac:dyDescent="0.2">
      <c r="B35" s="13">
        <v>2015</v>
      </c>
      <c r="C35" s="23">
        <f t="shared" si="7"/>
        <v>0.77411878770928499</v>
      </c>
      <c r="D35" s="23">
        <f t="shared" si="8"/>
        <v>0.64652993633941069</v>
      </c>
      <c r="E35" s="23">
        <v>0</v>
      </c>
      <c r="F35" s="23">
        <f t="shared" si="9"/>
        <v>3.9083055517672465</v>
      </c>
      <c r="G35" s="23">
        <f t="shared" si="10"/>
        <v>0.87734089774538293</v>
      </c>
      <c r="H35" s="23">
        <v>0</v>
      </c>
      <c r="I35" s="23">
        <f t="shared" si="11"/>
        <v>5.611349413613973</v>
      </c>
      <c r="J35" s="23">
        <v>0</v>
      </c>
      <c r="K35" s="23">
        <f t="shared" si="12"/>
        <v>6.2062951735613252</v>
      </c>
      <c r="L35" s="23"/>
      <c r="M35" s="23"/>
      <c r="N35" s="23">
        <v>0.57366217699641797</v>
      </c>
      <c r="O35" s="23">
        <v>0.59380735138303897</v>
      </c>
      <c r="P35" s="23">
        <v>0.32407911708606602</v>
      </c>
      <c r="Q35" s="23">
        <v>0.47534041284112299</v>
      </c>
      <c r="R35" s="23">
        <v>6.1955085798404905E-2</v>
      </c>
      <c r="S35" s="23">
        <v>0.31302289479072798</v>
      </c>
      <c r="T35" s="23">
        <v>0.25250132299887301</v>
      </c>
      <c r="U35" s="23">
        <v>3.57562484213683</v>
      </c>
      <c r="V35" s="23">
        <v>2.0648716161804197</v>
      </c>
      <c r="W35" s="23">
        <v>1.2937841064964599</v>
      </c>
      <c r="X35" s="23">
        <v>1.2196575608554499</v>
      </c>
      <c r="Y35" s="23">
        <v>0.120538653874269</v>
      </c>
      <c r="Z35" s="23">
        <v>0.152374707993505</v>
      </c>
      <c r="AA35" s="23">
        <v>43.425617241858298</v>
      </c>
      <c r="AB35" s="23">
        <v>-1.3014920569223001</v>
      </c>
      <c r="AC35" s="23">
        <v>9.0426799340151494</v>
      </c>
      <c r="AD35" s="23">
        <v>0.29977213073509301</v>
      </c>
      <c r="AE35" s="23">
        <v>7.7449810423569607</v>
      </c>
      <c r="AF35" s="23">
        <v>3.4551874760556003</v>
      </c>
      <c r="AG35" s="23"/>
    </row>
    <row r="36" spans="2:33" x14ac:dyDescent="0.2">
      <c r="B36" s="13">
        <v>2014</v>
      </c>
      <c r="C36" s="23">
        <f t="shared" si="7"/>
        <v>0.64091088774149707</v>
      </c>
      <c r="D36" s="23">
        <f t="shared" si="8"/>
        <v>0.22591217323008711</v>
      </c>
      <c r="E36" s="23">
        <v>0</v>
      </c>
      <c r="F36" s="23">
        <f t="shared" si="9"/>
        <v>0.51481734894888653</v>
      </c>
      <c r="G36" s="23">
        <f t="shared" si="10"/>
        <v>0.66393250235079038</v>
      </c>
      <c r="H36" s="23">
        <v>0</v>
      </c>
      <c r="I36" s="23">
        <f t="shared" si="11"/>
        <v>4.493379302917262</v>
      </c>
      <c r="J36" s="23">
        <v>0</v>
      </c>
      <c r="K36" s="23">
        <f t="shared" si="12"/>
        <v>2.0455729122712611</v>
      </c>
      <c r="L36" s="23"/>
      <c r="M36" s="23"/>
      <c r="N36" s="23">
        <v>0.45775956248728</v>
      </c>
      <c r="O36" s="23">
        <v>0.397355658836754</v>
      </c>
      <c r="P36" s="23">
        <v>0.247452997321121</v>
      </c>
      <c r="Q36" s="23">
        <v>0.42680122164769296</v>
      </c>
      <c r="R36" s="23">
        <v>0.18710211017855702</v>
      </c>
      <c r="S36" s="23">
        <v>0.27889228386251996</v>
      </c>
      <c r="T36" s="23">
        <v>0.220413837073209</v>
      </c>
      <c r="U36" s="23">
        <v>2.6458641148522499</v>
      </c>
      <c r="V36" s="23">
        <v>1.7482765848222102</v>
      </c>
      <c r="W36" s="23">
        <v>1.0543476984812401</v>
      </c>
      <c r="X36" s="23">
        <v>1.15714052423733</v>
      </c>
      <c r="Y36" s="23">
        <v>9.8996984037411501E-2</v>
      </c>
      <c r="Z36" s="23">
        <v>0.11775114955323801</v>
      </c>
      <c r="AA36" s="23">
        <v>5.7201927660987399</v>
      </c>
      <c r="AB36" s="23">
        <v>-1.0867063791747702</v>
      </c>
      <c r="AC36" s="23">
        <v>7.49581525658974</v>
      </c>
      <c r="AD36" s="23">
        <v>3.4855306792688098E-2</v>
      </c>
      <c r="AE36" s="23">
        <v>6.8929619002201994</v>
      </c>
      <c r="AF36" s="23">
        <v>1.9594003209875099</v>
      </c>
      <c r="AG36" s="23"/>
    </row>
    <row r="37" spans="2:33" x14ac:dyDescent="0.2">
      <c r="B37" s="13">
        <v>2013</v>
      </c>
      <c r="C37" s="23">
        <f t="shared" si="7"/>
        <v>0.78928544953923552</v>
      </c>
      <c r="D37" s="23">
        <f t="shared" si="8"/>
        <v>0.25271475476360422</v>
      </c>
      <c r="E37" s="23">
        <v>0</v>
      </c>
      <c r="F37" s="23">
        <f t="shared" si="9"/>
        <v>0.49088910859566659</v>
      </c>
      <c r="G37" s="23">
        <f t="shared" si="10"/>
        <v>0.81746183867585187</v>
      </c>
      <c r="H37" s="23">
        <v>0</v>
      </c>
      <c r="I37" s="23">
        <f t="shared" si="11"/>
        <v>5.2370950130243497</v>
      </c>
      <c r="J37" s="23">
        <v>0</v>
      </c>
      <c r="K37" s="23">
        <f t="shared" si="12"/>
        <v>2.3503511515743583</v>
      </c>
      <c r="L37" s="23"/>
      <c r="M37" s="23"/>
      <c r="N37" s="23">
        <v>0.63860175162752497</v>
      </c>
      <c r="O37" s="23">
        <v>0.27508384704655703</v>
      </c>
      <c r="P37" s="23">
        <v>1.0231647937999999</v>
      </c>
      <c r="Q37" s="23">
        <v>0.35324741412212596</v>
      </c>
      <c r="R37" s="23">
        <v>0.13376616169628699</v>
      </c>
      <c r="S37" s="23">
        <v>0.19625413188058299</v>
      </c>
      <c r="T37" s="23">
        <v>0.24171638100000001</v>
      </c>
      <c r="U37" s="23">
        <v>2.7243401628969304</v>
      </c>
      <c r="V37" s="23">
        <v>1.9015119892339498</v>
      </c>
      <c r="W37" s="23">
        <v>1.0482498542118199</v>
      </c>
      <c r="X37" s="23">
        <v>1.0600533115869599</v>
      </c>
      <c r="Y37" s="23">
        <v>0.106175293255956</v>
      </c>
      <c r="Z37" s="23">
        <v>0.103765593925393</v>
      </c>
      <c r="AA37" s="23">
        <v>5.4543234288407403</v>
      </c>
      <c r="AB37" s="23">
        <v>-0.53453775095989498</v>
      </c>
      <c r="AC37" s="23">
        <v>8.4273922463522499</v>
      </c>
      <c r="AD37" s="23">
        <v>0.25668933132629201</v>
      </c>
      <c r="AE37" s="23">
        <v>7.7368885431508101</v>
      </c>
      <c r="AF37" s="23">
        <v>3.0658933409703102</v>
      </c>
      <c r="AG37" s="23"/>
    </row>
    <row r="38" spans="2:33" x14ac:dyDescent="0.2">
      <c r="B38" s="13">
        <v>2012</v>
      </c>
      <c r="C38" s="23">
        <f t="shared" si="7"/>
        <v>0.73593474118762481</v>
      </c>
      <c r="D38" s="23">
        <f t="shared" si="8"/>
        <v>0.39846843409040578</v>
      </c>
      <c r="E38" s="23">
        <v>0</v>
      </c>
      <c r="F38" s="23">
        <f t="shared" si="9"/>
        <v>1.9781407402391249</v>
      </c>
      <c r="G38" s="23">
        <f t="shared" si="10"/>
        <v>0.76014709715940987</v>
      </c>
      <c r="H38" s="23">
        <v>0</v>
      </c>
      <c r="I38" s="23">
        <f t="shared" si="11"/>
        <v>4.7064653040378692</v>
      </c>
      <c r="J38" s="23">
        <v>0</v>
      </c>
      <c r="K38" s="23">
        <f t="shared" si="12"/>
        <v>3.8726910126765652</v>
      </c>
      <c r="L38" s="23"/>
      <c r="M38" s="23"/>
      <c r="N38" s="23">
        <v>0.38941150420951404</v>
      </c>
      <c r="O38" s="23">
        <v>0.28897489582979502</v>
      </c>
      <c r="P38" s="23">
        <v>0.162810335</v>
      </c>
      <c r="Q38" s="23">
        <v>0.33102805618257802</v>
      </c>
      <c r="R38" s="23">
        <v>0.128889642066394</v>
      </c>
      <c r="S38" s="23">
        <v>0.18645835801086599</v>
      </c>
      <c r="T38" s="23">
        <v>0.236137972</v>
      </c>
      <c r="U38" s="23">
        <v>2.6714652184478997</v>
      </c>
      <c r="V38" s="23">
        <v>1.82009232114857</v>
      </c>
      <c r="W38" s="23">
        <v>2.1306634722392701</v>
      </c>
      <c r="X38" s="23">
        <v>1.03843104180892</v>
      </c>
      <c r="Y38" s="23">
        <v>0.12921899996334199</v>
      </c>
      <c r="Z38" s="23">
        <v>0.10441094975883</v>
      </c>
      <c r="AA38" s="23">
        <v>21.9793415582125</v>
      </c>
      <c r="AB38" s="23">
        <v>-0.34636200493731201</v>
      </c>
      <c r="AC38" s="23">
        <v>7.7057094168135594</v>
      </c>
      <c r="AD38" s="23">
        <v>0.27706041540397797</v>
      </c>
      <c r="AE38" s="23">
        <v>7.4616157875872293</v>
      </c>
      <c r="AF38" s="23">
        <v>2.6414963534101599</v>
      </c>
      <c r="AG38" s="23"/>
    </row>
    <row r="39" spans="2:33" x14ac:dyDescent="0.2">
      <c r="B39" s="13">
        <v>2011</v>
      </c>
      <c r="C39" s="23">
        <f t="shared" si="7"/>
        <v>0.35330465012402501</v>
      </c>
      <c r="D39" s="23">
        <f t="shared" si="8"/>
        <v>0.31474892593943837</v>
      </c>
      <c r="E39" s="23">
        <v>0</v>
      </c>
      <c r="F39" s="23">
        <f t="shared" si="9"/>
        <v>1.24060367240226</v>
      </c>
      <c r="G39" s="23">
        <f t="shared" si="10"/>
        <v>0.85868485425899066</v>
      </c>
      <c r="H39" s="23">
        <v>0</v>
      </c>
      <c r="I39" s="23">
        <f t="shared" si="11"/>
        <v>3.6355560381144603</v>
      </c>
      <c r="J39" s="23">
        <v>0</v>
      </c>
      <c r="K39" s="23">
        <f t="shared" si="12"/>
        <v>2.7673421027247143</v>
      </c>
      <c r="L39" s="23"/>
      <c r="M39" s="23"/>
      <c r="N39" s="23">
        <v>0.31576740128714903</v>
      </c>
      <c r="O39" s="23">
        <v>-0.378967256979518</v>
      </c>
      <c r="P39" s="23">
        <v>0.15744440900000001</v>
      </c>
      <c r="Q39" s="23">
        <v>0.32192801235998497</v>
      </c>
      <c r="R39" s="23">
        <v>7.6008934197688005E-2</v>
      </c>
      <c r="S39" s="23">
        <v>0.227802702213561</v>
      </c>
      <c r="T39" s="23">
        <v>0.239008631</v>
      </c>
      <c r="U39" s="23">
        <v>2.6076000198826699</v>
      </c>
      <c r="V39" s="23">
        <v>1.9103195411141001</v>
      </c>
      <c r="W39" s="23">
        <v>1.3327128346171502</v>
      </c>
      <c r="X39" s="23">
        <v>1.0769540263403399</v>
      </c>
      <c r="Y39" s="23">
        <v>0.128548795002042</v>
      </c>
      <c r="Z39" s="23">
        <v>0.11033190727094799</v>
      </c>
      <c r="AA39" s="23">
        <v>13.784485248914001</v>
      </c>
      <c r="AB39" s="23">
        <v>-0.17483670758245001</v>
      </c>
      <c r="AC39" s="23">
        <v>3.7078832088226998</v>
      </c>
      <c r="AD39" s="23">
        <v>0.327934508800443</v>
      </c>
      <c r="AE39" s="23">
        <v>6.5579288106531202</v>
      </c>
      <c r="AF39" s="23">
        <v>4.0117969028873102</v>
      </c>
      <c r="AG39" s="23"/>
    </row>
    <row r="40" spans="2:33" x14ac:dyDescent="0.2">
      <c r="B40" s="13">
        <v>2010</v>
      </c>
      <c r="C40" s="23">
        <f t="shared" si="7"/>
        <v>0.45440257358700858</v>
      </c>
      <c r="D40" s="23">
        <f t="shared" si="8"/>
        <v>0.55406506812631617</v>
      </c>
      <c r="E40" s="23">
        <v>0</v>
      </c>
      <c r="F40" s="23">
        <f t="shared" si="9"/>
        <v>3.3117357227476858</v>
      </c>
      <c r="G40" s="23">
        <f t="shared" si="10"/>
        <v>0.93951055138781103</v>
      </c>
      <c r="H40" s="23">
        <v>0</v>
      </c>
      <c r="I40" s="23">
        <f t="shared" si="11"/>
        <v>4.0618420858386983</v>
      </c>
      <c r="J40" s="23">
        <v>0</v>
      </c>
      <c r="K40" s="23">
        <f t="shared" si="12"/>
        <v>5.2597139158488213</v>
      </c>
      <c r="L40" s="23"/>
      <c r="M40" s="23"/>
      <c r="N40" s="23">
        <v>0.31099075292915795</v>
      </c>
      <c r="O40" s="23">
        <v>0.31098055970997901</v>
      </c>
      <c r="P40" s="23">
        <v>0.14052092899999999</v>
      </c>
      <c r="Q40" s="23">
        <v>0.33715525749022196</v>
      </c>
      <c r="R40" s="23">
        <v>5.6629979010074799E-2</v>
      </c>
      <c r="S40" s="23">
        <v>0.16995263602123498</v>
      </c>
      <c r="T40" s="23">
        <v>0.21133054100000001</v>
      </c>
      <c r="U40" s="23">
        <v>2.5433585919988198</v>
      </c>
      <c r="V40" s="23">
        <v>1.9688059458299898</v>
      </c>
      <c r="W40" s="23">
        <v>1.09033435706042</v>
      </c>
      <c r="X40" s="23">
        <v>1.2171662371132399</v>
      </c>
      <c r="Y40" s="23">
        <v>0.103906622324011</v>
      </c>
      <c r="Z40" s="23">
        <v>0.104564176185465</v>
      </c>
      <c r="AA40" s="23">
        <v>36.7970635860854</v>
      </c>
      <c r="AB40" s="23">
        <v>-0.21675087126520501</v>
      </c>
      <c r="AC40" s="23">
        <v>4.7607766071352904</v>
      </c>
      <c r="AD40" s="23">
        <v>0.34618180495114398</v>
      </c>
      <c r="AE40" s="23">
        <v>5.6706658135726302</v>
      </c>
      <c r="AF40" s="23">
        <v>5.1172333794102496</v>
      </c>
      <c r="AG40" s="23"/>
    </row>
    <row r="41" spans="2:33" x14ac:dyDescent="0.2">
      <c r="B41" s="13">
        <v>2009</v>
      </c>
      <c r="C41" s="23">
        <f t="shared" si="7"/>
        <v>0.42681317864064094</v>
      </c>
      <c r="D41" s="23">
        <f t="shared" si="8"/>
        <v>0.33460881250191049</v>
      </c>
      <c r="E41" s="23">
        <v>0</v>
      </c>
      <c r="F41" s="23">
        <f t="shared" si="9"/>
        <v>1.6783504719533457</v>
      </c>
      <c r="G41" s="23">
        <f t="shared" si="10"/>
        <v>0.65642995827307449</v>
      </c>
      <c r="H41" s="23">
        <v>0</v>
      </c>
      <c r="I41" s="23">
        <f t="shared" si="11"/>
        <v>3.7529746369424775</v>
      </c>
      <c r="J41" s="23">
        <v>0</v>
      </c>
      <c r="K41" s="23">
        <f t="shared" si="12"/>
        <v>3.0962024213689716</v>
      </c>
      <c r="L41" s="23"/>
      <c r="M41" s="23"/>
      <c r="N41" s="23">
        <v>0.25938023528360699</v>
      </c>
      <c r="O41" s="23">
        <v>0.27720671587451501</v>
      </c>
      <c r="P41" s="23">
        <v>0.158461677</v>
      </c>
      <c r="Q41" s="23">
        <v>0.27311472413286297</v>
      </c>
      <c r="R41" s="23">
        <v>2.2144865816306699E-2</v>
      </c>
      <c r="S41" s="23">
        <v>0.56211422200000005</v>
      </c>
      <c r="T41" s="23">
        <v>0.17617804954798499</v>
      </c>
      <c r="U41" s="23">
        <v>2.2349036091029499</v>
      </c>
      <c r="V41" s="23">
        <v>1.7999272235043799</v>
      </c>
      <c r="W41" s="23">
        <v>0.88882656202773092</v>
      </c>
      <c r="X41" s="23">
        <v>1.1209237855871301</v>
      </c>
      <c r="Y41" s="23">
        <v>7.9160707761829791E-2</v>
      </c>
      <c r="Z41" s="23">
        <v>7.6092742117106399E-2</v>
      </c>
      <c r="AA41" s="23">
        <v>18.648338577259398</v>
      </c>
      <c r="AB41" s="23">
        <v>-2.6911135951281001E-2</v>
      </c>
      <c r="AC41" s="23">
        <v>4.2950429223576903</v>
      </c>
      <c r="AD41" s="23">
        <v>3.6966431562932001E-2</v>
      </c>
      <c r="AE41" s="23">
        <v>4.6982429466729094</v>
      </c>
      <c r="AF41" s="23">
        <v>3.0377247369671401</v>
      </c>
      <c r="AG41" s="23"/>
    </row>
    <row r="42" spans="2:33" x14ac:dyDescent="0.2">
      <c r="B42" s="13">
        <v>2008</v>
      </c>
      <c r="C42" s="23">
        <f t="shared" si="7"/>
        <v>0.64945095710665501</v>
      </c>
      <c r="D42" s="23">
        <f t="shared" si="8"/>
        <v>0.38886503510839976</v>
      </c>
      <c r="E42" s="23">
        <v>0</v>
      </c>
      <c r="F42" s="23">
        <f t="shared" si="9"/>
        <v>2.0759178450049292</v>
      </c>
      <c r="G42" s="23">
        <f t="shared" si="10"/>
        <v>0.78245690952678504</v>
      </c>
      <c r="H42" s="23">
        <v>0</v>
      </c>
      <c r="I42" s="23">
        <f t="shared" si="11"/>
        <v>3.0569024862255549</v>
      </c>
      <c r="J42" s="23">
        <v>0</v>
      </c>
      <c r="K42" s="23">
        <f t="shared" si="12"/>
        <v>3.8966907467467689</v>
      </c>
      <c r="L42" s="23"/>
      <c r="M42" s="23"/>
      <c r="N42" s="23">
        <v>0.27262014580254401</v>
      </c>
      <c r="O42" s="23">
        <v>0.34226338666540801</v>
      </c>
      <c r="P42" s="23">
        <v>6.3035620152870106E-2</v>
      </c>
      <c r="Q42" s="23">
        <v>0.263545822056996</v>
      </c>
      <c r="R42" s="23">
        <v>6.5601657413245001E-2</v>
      </c>
      <c r="S42" s="23">
        <v>6.4394669563586693E-2</v>
      </c>
      <c r="T42" s="23">
        <v>7.02720955051616E-2</v>
      </c>
      <c r="U42" s="23">
        <v>1.9734507071180301</v>
      </c>
      <c r="V42" s="23">
        <v>1.4068751244206901</v>
      </c>
      <c r="W42" s="23">
        <v>0.76299128197515498</v>
      </c>
      <c r="X42" s="23">
        <v>1.13746072529694</v>
      </c>
      <c r="Y42" s="23">
        <v>7.5582482035168791E-2</v>
      </c>
      <c r="Z42" s="23">
        <v>0.105887274661118</v>
      </c>
      <c r="AA42" s="23">
        <v>23.065753833388101</v>
      </c>
      <c r="AB42" s="23">
        <v>1.16017889891574</v>
      </c>
      <c r="AC42" s="23">
        <v>5.3343306721508101</v>
      </c>
      <c r="AD42" s="23">
        <v>4.9422104328440707E-2</v>
      </c>
      <c r="AE42" s="23">
        <v>6.6417683639111003</v>
      </c>
      <c r="AF42" s="23">
        <v>3.2885694985205798</v>
      </c>
      <c r="AG42" s="23"/>
    </row>
    <row r="43" spans="2:33" x14ac:dyDescent="0.2">
      <c r="B43" s="13">
        <v>2007</v>
      </c>
      <c r="C43" s="23">
        <f t="shared" si="7"/>
        <v>0.93563738740516655</v>
      </c>
      <c r="D43" s="23">
        <f t="shared" si="8"/>
        <v>0.39210617750150095</v>
      </c>
      <c r="E43" s="23">
        <v>0</v>
      </c>
      <c r="F43" s="23">
        <f t="shared" si="9"/>
        <v>1.8880354776938488</v>
      </c>
      <c r="G43" s="23">
        <f t="shared" si="10"/>
        <v>0.79754088342310259</v>
      </c>
      <c r="H43" s="23">
        <v>0</v>
      </c>
      <c r="I43" s="23">
        <f t="shared" si="11"/>
        <v>4.2283444188030845</v>
      </c>
      <c r="J43" s="23">
        <v>0</v>
      </c>
      <c r="K43" s="23">
        <f t="shared" si="12"/>
        <v>4.0133199260236188</v>
      </c>
      <c r="L43" s="23"/>
      <c r="M43" s="23"/>
      <c r="N43" s="23">
        <v>0.29141755554867799</v>
      </c>
      <c r="O43" s="23">
        <v>0.44034506657172195</v>
      </c>
      <c r="P43" s="23">
        <v>0.18678417439626399</v>
      </c>
      <c r="Q43" s="23">
        <v>0.33555418980391</v>
      </c>
      <c r="R43" s="23">
        <v>5.2743461196119799E-2</v>
      </c>
      <c r="S43" s="23">
        <v>9.1386289405527094E-2</v>
      </c>
      <c r="T43" s="23">
        <v>8.9239322999999995E-2</v>
      </c>
      <c r="U43" s="23">
        <v>2.5536895038908503</v>
      </c>
      <c r="V43" s="23">
        <v>2.1526910125066498</v>
      </c>
      <c r="W43" s="23">
        <v>1.1579543454816301</v>
      </c>
      <c r="X43" s="23">
        <v>1.1893985717242099</v>
      </c>
      <c r="Y43" s="23">
        <v>0.10160312674835899</v>
      </c>
      <c r="Z43" s="23">
        <v>0.10921364143876899</v>
      </c>
      <c r="AA43" s="23">
        <v>20.978171974376099</v>
      </c>
      <c r="AB43" s="23">
        <v>-0.28572339432629501</v>
      </c>
      <c r="AC43" s="23">
        <v>9.6420972683779596</v>
      </c>
      <c r="AD43" s="23">
        <v>6.6328133178081103E-2</v>
      </c>
      <c r="AE43" s="23">
        <v>7.7476247023329403</v>
      </c>
      <c r="AF43" s="23">
        <v>2.82442702403192</v>
      </c>
      <c r="AG43" s="23"/>
    </row>
    <row r="44" spans="2:33" x14ac:dyDescent="0.2">
      <c r="B44" s="13">
        <v>2006</v>
      </c>
      <c r="C44" s="23">
        <f t="shared" si="7"/>
        <v>0.8686508791289721</v>
      </c>
      <c r="D44" s="23">
        <f t="shared" si="8"/>
        <v>0.11430250611867671</v>
      </c>
      <c r="E44" s="23">
        <v>0</v>
      </c>
      <c r="F44" s="23">
        <f t="shared" si="9"/>
        <v>-0.69936763693946136</v>
      </c>
      <c r="G44" s="23">
        <f t="shared" si="10"/>
        <v>0.85635191963422408</v>
      </c>
      <c r="H44" s="23">
        <v>0</v>
      </c>
      <c r="I44" s="23">
        <f t="shared" si="11"/>
        <v>3.9985024157643276</v>
      </c>
      <c r="J44" s="23">
        <v>0</v>
      </c>
      <c r="K44" s="23">
        <f t="shared" si="12"/>
        <v>1.1399376679424116</v>
      </c>
      <c r="L44" s="23"/>
      <c r="M44" s="23"/>
      <c r="N44" s="23">
        <v>0.25045287761582402</v>
      </c>
      <c r="O44" s="23">
        <v>0.45318489371038095</v>
      </c>
      <c r="P44" s="23">
        <v>0.19729894543947302</v>
      </c>
      <c r="Q44" s="23">
        <v>0.34343921227121399</v>
      </c>
      <c r="R44" s="23">
        <v>7.3233079792410297E-2</v>
      </c>
      <c r="S44" s="23">
        <v>8.7759642999999998E-2</v>
      </c>
      <c r="T44" s="23">
        <v>7.0603378999999994E-2</v>
      </c>
      <c r="U44" s="23">
        <v>2.30892320943124</v>
      </c>
      <c r="V44" s="23">
        <v>2.1136794270385999</v>
      </c>
      <c r="W44" s="23">
        <v>1.0032972659999999</v>
      </c>
      <c r="X44" s="23">
        <v>1.1210259890000001</v>
      </c>
      <c r="Y44" s="23">
        <v>9.9632155E-2</v>
      </c>
      <c r="Z44" s="23">
        <v>0.100588195520857</v>
      </c>
      <c r="AA44" s="23">
        <v>-7.7707515215495704</v>
      </c>
      <c r="AB44" s="23">
        <v>-0.35792009322338997</v>
      </c>
      <c r="AC44" s="23">
        <v>9.0444288845131098</v>
      </c>
      <c r="AD44" s="23">
        <v>7.6587333640191699E-2</v>
      </c>
      <c r="AE44" s="23">
        <v>9.10137670039067</v>
      </c>
      <c r="AF44" s="23">
        <v>2.80321709256638</v>
      </c>
      <c r="AG44" s="23"/>
    </row>
    <row r="45" spans="2:33" x14ac:dyDescent="0.2">
      <c r="B45" s="13">
        <v>2005</v>
      </c>
      <c r="C45" s="23">
        <f t="shared" si="7"/>
        <v>0.79813630675915215</v>
      </c>
      <c r="D45" s="23">
        <f t="shared" si="8"/>
        <v>0.228045664253411</v>
      </c>
      <c r="E45" s="23">
        <v>0</v>
      </c>
      <c r="F45" s="23">
        <f t="shared" si="9"/>
        <v>0.53393390748005309</v>
      </c>
      <c r="G45" s="23">
        <f t="shared" si="10"/>
        <v>0.76415133211574038</v>
      </c>
      <c r="H45" s="23">
        <v>0</v>
      </c>
      <c r="I45" s="23">
        <f t="shared" si="11"/>
        <v>3.7275819122146516</v>
      </c>
      <c r="J45" s="23">
        <v>0</v>
      </c>
      <c r="K45" s="23">
        <f t="shared" si="12"/>
        <v>2.3242672106083564</v>
      </c>
      <c r="L45" s="23"/>
      <c r="M45" s="23"/>
      <c r="N45" s="23">
        <v>0.259626763384538</v>
      </c>
      <c r="O45" s="23">
        <v>0.26184702270843302</v>
      </c>
      <c r="P45" s="23">
        <v>0.123519252982771</v>
      </c>
      <c r="Q45" s="23">
        <v>0.28201268720153805</v>
      </c>
      <c r="R45" s="23">
        <v>6.2821940845143198E-2</v>
      </c>
      <c r="S45" s="23">
        <v>7.9260322999999994E-2</v>
      </c>
      <c r="T45" s="23">
        <v>5.9995281254016403E-2</v>
      </c>
      <c r="U45" s="23">
        <v>2.1567995252016301</v>
      </c>
      <c r="V45" s="23">
        <v>1.9782050628469201</v>
      </c>
      <c r="W45" s="23">
        <v>1.35189113198249</v>
      </c>
      <c r="X45" s="23">
        <v>1.0511214339999999</v>
      </c>
      <c r="Y45" s="23">
        <v>9.7580252000000006E-2</v>
      </c>
      <c r="Z45" s="23">
        <v>9.4662058927089399E-2</v>
      </c>
      <c r="AA45" s="23">
        <v>5.9325989720005907</v>
      </c>
      <c r="AB45" s="23">
        <v>-0.24849275397936901</v>
      </c>
      <c r="AC45" s="23">
        <v>8.2298558215708901</v>
      </c>
      <c r="AD45" s="23">
        <v>0.17037295122221699</v>
      </c>
      <c r="AE45" s="23">
        <v>7.4725370313669206</v>
      </c>
      <c r="AF45" s="23">
        <v>2.7216058663992899</v>
      </c>
      <c r="AG45" s="23"/>
    </row>
    <row r="46" spans="2:33" x14ac:dyDescent="0.2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8" spans="2:33" x14ac:dyDescent="0.2">
      <c r="B48" s="41" t="s">
        <v>75</v>
      </c>
    </row>
    <row r="49" spans="2:6" x14ac:dyDescent="0.2">
      <c r="C49" s="13" t="s">
        <v>77</v>
      </c>
    </row>
    <row r="50" spans="2:6" x14ac:dyDescent="0.2">
      <c r="B50" s="13">
        <v>2021</v>
      </c>
      <c r="C50" s="23">
        <v>0.47034810900000001</v>
      </c>
      <c r="E50" s="23"/>
      <c r="F50" s="23"/>
    </row>
    <row r="51" spans="2:6" x14ac:dyDescent="0.2">
      <c r="B51" s="13">
        <v>2020</v>
      </c>
      <c r="C51" s="23">
        <v>-0.33240262599999998</v>
      </c>
      <c r="E51" s="23"/>
      <c r="F51" s="23"/>
    </row>
    <row r="52" spans="2:6" x14ac:dyDescent="0.2">
      <c r="B52" s="13">
        <v>2019</v>
      </c>
      <c r="C52" s="23">
        <v>-0.79776945899999996</v>
      </c>
      <c r="E52" s="23"/>
      <c r="F52" s="23"/>
    </row>
    <row r="53" spans="2:6" x14ac:dyDescent="0.2">
      <c r="B53" s="13">
        <v>2018</v>
      </c>
      <c r="C53" s="23">
        <v>-0.85493683799999998</v>
      </c>
      <c r="E53" s="23"/>
      <c r="F53" s="23"/>
    </row>
    <row r="54" spans="2:6" x14ac:dyDescent="0.2">
      <c r="B54" s="13">
        <v>2017</v>
      </c>
      <c r="C54" s="23">
        <v>-1.5424013999999999</v>
      </c>
      <c r="E54" s="23"/>
      <c r="F54" s="23"/>
    </row>
    <row r="55" spans="2:6" x14ac:dyDescent="0.2">
      <c r="B55" s="13">
        <v>2016</v>
      </c>
      <c r="C55" s="23">
        <v>-9.7165116999999995E-2</v>
      </c>
      <c r="E55" s="23"/>
      <c r="F55" s="23"/>
    </row>
    <row r="56" spans="2:6" x14ac:dyDescent="0.2">
      <c r="B56" s="13">
        <v>2015</v>
      </c>
      <c r="C56" s="23">
        <v>-1.8600304910000001</v>
      </c>
      <c r="E56" s="23"/>
      <c r="F56" s="23"/>
    </row>
    <row r="57" spans="2:6" x14ac:dyDescent="0.2">
      <c r="B57" s="13">
        <v>2014</v>
      </c>
      <c r="C57" s="23">
        <v>-2.3535680729999999</v>
      </c>
      <c r="E57" s="23"/>
      <c r="F57" s="23"/>
    </row>
    <row r="58" spans="2:6" x14ac:dyDescent="0.2">
      <c r="B58" s="13">
        <v>2013</v>
      </c>
      <c r="C58" s="23">
        <v>-2.05862517</v>
      </c>
      <c r="E58" s="23"/>
      <c r="F58" s="23"/>
    </row>
    <row r="59" spans="2:6" x14ac:dyDescent="0.2">
      <c r="B59" s="13">
        <v>2012</v>
      </c>
      <c r="C59" s="23">
        <v>-2.2113870000000002</v>
      </c>
      <c r="E59" s="23"/>
      <c r="F59" s="23"/>
    </row>
    <row r="60" spans="2:6" x14ac:dyDescent="0.2">
      <c r="B60" s="13">
        <v>2011</v>
      </c>
      <c r="C60" s="23">
        <v>-2.247761702</v>
      </c>
      <c r="E60" s="23"/>
      <c r="F60" s="23"/>
    </row>
    <row r="61" spans="2:6" x14ac:dyDescent="0.2">
      <c r="B61" s="13">
        <v>2010</v>
      </c>
      <c r="C61" s="23">
        <v>-2.0908027009999999</v>
      </c>
      <c r="E61" s="23"/>
      <c r="F61" s="23"/>
    </row>
    <row r="62" spans="2:6" x14ac:dyDescent="0.2">
      <c r="B62" s="13">
        <v>2009</v>
      </c>
      <c r="C62" s="23">
        <v>-2.0747924219999998</v>
      </c>
      <c r="E62" s="23"/>
      <c r="F62" s="23"/>
    </row>
    <row r="63" spans="2:6" x14ac:dyDescent="0.2">
      <c r="B63" s="13">
        <v>2008</v>
      </c>
      <c r="C63" s="23">
        <v>-1.664765778</v>
      </c>
      <c r="E63" s="23"/>
      <c r="F63" s="23"/>
    </row>
    <row r="64" spans="2:6" x14ac:dyDescent="0.2">
      <c r="B64" s="13">
        <v>2007</v>
      </c>
      <c r="C64" s="23">
        <v>-1.3722519019999999</v>
      </c>
      <c r="E64" s="23"/>
      <c r="F64" s="23"/>
    </row>
    <row r="65" spans="2:6" x14ac:dyDescent="0.2">
      <c r="B65" s="13">
        <v>2006</v>
      </c>
      <c r="C65" s="23">
        <v>-0.82007355400000004</v>
      </c>
      <c r="E65" s="23"/>
      <c r="F65" s="23"/>
    </row>
    <row r="66" spans="2:6" x14ac:dyDescent="0.2">
      <c r="B66" s="13">
        <v>2005</v>
      </c>
      <c r="C66" s="23">
        <v>-0.80185001499999997</v>
      </c>
      <c r="E66" s="23"/>
      <c r="F66" s="23"/>
    </row>
    <row r="67" spans="2:6" x14ac:dyDescent="0.2">
      <c r="B67" s="13">
        <v>2004</v>
      </c>
      <c r="C67" s="23">
        <v>-2.690601161</v>
      </c>
      <c r="E67" s="23"/>
      <c r="F67" s="23"/>
    </row>
    <row r="68" spans="2:6" x14ac:dyDescent="0.2">
      <c r="B68" s="13">
        <v>2003</v>
      </c>
      <c r="C68" s="23">
        <v>-0.61292863200000003</v>
      </c>
      <c r="E68" s="23"/>
      <c r="F68" s="23"/>
    </row>
    <row r="69" spans="2:6" x14ac:dyDescent="0.2">
      <c r="B69" s="13">
        <v>2002</v>
      </c>
      <c r="C69" s="23">
        <v>-0.36037460100000002</v>
      </c>
      <c r="E69" s="23"/>
      <c r="F69" s="23"/>
    </row>
    <row r="70" spans="2:6" x14ac:dyDescent="0.2">
      <c r="B70" s="13">
        <v>2001</v>
      </c>
      <c r="C70" s="23">
        <v>-0.40111260500000001</v>
      </c>
      <c r="E70" s="23"/>
      <c r="F70" s="23"/>
    </row>
    <row r="71" spans="2:6" x14ac:dyDescent="0.2">
      <c r="B71" s="13">
        <v>2000</v>
      </c>
      <c r="C71" s="23">
        <v>-0.26768318899999999</v>
      </c>
      <c r="E71" s="23"/>
      <c r="F71" s="23"/>
    </row>
    <row r="72" spans="2:6" x14ac:dyDescent="0.2">
      <c r="B72" s="13">
        <v>1999</v>
      </c>
      <c r="C72" s="23">
        <v>-0.53731718900000003</v>
      </c>
      <c r="E72" s="23"/>
      <c r="F72" s="23"/>
    </row>
    <row r="73" spans="2:6" x14ac:dyDescent="0.2">
      <c r="B73" s="13">
        <v>1998</v>
      </c>
      <c r="C73" s="23">
        <v>-0.18009599000000001</v>
      </c>
      <c r="E73" s="23"/>
      <c r="F73" s="23"/>
    </row>
    <row r="74" spans="2:6" x14ac:dyDescent="0.2">
      <c r="B74" s="13">
        <v>1997</v>
      </c>
      <c r="C74" s="23">
        <v>-0.160674863</v>
      </c>
      <c r="E74" s="23"/>
      <c r="F74" s="23"/>
    </row>
    <row r="75" spans="2:6" x14ac:dyDescent="0.2">
      <c r="B75" s="13">
        <v>1996</v>
      </c>
      <c r="C75" s="23">
        <v>-0.16210961600000001</v>
      </c>
      <c r="E75" s="23"/>
      <c r="F75" s="23"/>
    </row>
    <row r="76" spans="2:6" x14ac:dyDescent="0.2">
      <c r="B76" s="13">
        <v>1995</v>
      </c>
      <c r="C76" s="23">
        <v>-0.36065650199999999</v>
      </c>
      <c r="E76" s="23"/>
      <c r="F76" s="23"/>
    </row>
    <row r="77" spans="2:6" x14ac:dyDescent="0.2">
      <c r="B77" s="13">
        <v>1994</v>
      </c>
      <c r="C77" s="23">
        <v>-0.225853418</v>
      </c>
      <c r="E77" s="23"/>
      <c r="F77" s="23"/>
    </row>
    <row r="78" spans="2:6" x14ac:dyDescent="0.2">
      <c r="B78" s="13">
        <v>1993</v>
      </c>
      <c r="C78" s="23">
        <v>-2.1663794E-2</v>
      </c>
      <c r="E78" s="23"/>
      <c r="F78" s="23"/>
    </row>
    <row r="79" spans="2:6" x14ac:dyDescent="0.2">
      <c r="B79" s="13">
        <v>1992</v>
      </c>
      <c r="C79" s="23">
        <v>-0.111749627</v>
      </c>
      <c r="E79" s="23"/>
      <c r="F79" s="23"/>
    </row>
    <row r="80" spans="2:6" x14ac:dyDescent="0.2">
      <c r="B80" s="13">
        <v>1991</v>
      </c>
      <c r="C80" s="23">
        <v>-9.9631223000000005E-2</v>
      </c>
      <c r="E80" s="23"/>
      <c r="F80" s="23"/>
    </row>
    <row r="81" spans="2:6" x14ac:dyDescent="0.2">
      <c r="B81" s="13">
        <v>1990</v>
      </c>
      <c r="C81" s="23">
        <v>-4.8967033E-2</v>
      </c>
      <c r="E81" s="23"/>
      <c r="F81" s="23"/>
    </row>
    <row r="82" spans="2:6" x14ac:dyDescent="0.2">
      <c r="C82" s="23"/>
    </row>
    <row r="83" spans="2:6" x14ac:dyDescent="0.2">
      <c r="C83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95D-8B03-F346-9462-C8A3E4B827B0}">
  <dimension ref="A2:R207"/>
  <sheetViews>
    <sheetView zoomScaleNormal="100" workbookViewId="0">
      <selection activeCell="E9" sqref="E9"/>
    </sheetView>
  </sheetViews>
  <sheetFormatPr baseColWidth="10" defaultColWidth="10.83203125" defaultRowHeight="16" x14ac:dyDescent="0.2"/>
  <cols>
    <col min="1" max="1" width="10.83203125" style="42"/>
    <col min="2" max="2" width="39" style="42" customWidth="1"/>
    <col min="3" max="3" width="18.1640625" style="42" customWidth="1"/>
    <col min="4" max="4" width="23.6640625" style="42" customWidth="1"/>
    <col min="5" max="9" width="13.5" style="42" customWidth="1"/>
    <col min="10" max="10" width="16.83203125" style="42" customWidth="1"/>
    <col min="11" max="11" width="21.33203125" style="42" customWidth="1"/>
    <col min="12" max="12" width="24.1640625" style="42" bestFit="1" customWidth="1"/>
    <col min="13" max="16384" width="10.83203125" style="42"/>
  </cols>
  <sheetData>
    <row r="2" spans="1:12" ht="21" x14ac:dyDescent="0.2">
      <c r="A2" s="36" t="s">
        <v>84</v>
      </c>
    </row>
    <row r="3" spans="1:12" x14ac:dyDescent="0.2">
      <c r="B3" s="41"/>
      <c r="C3" s="43"/>
      <c r="D3" s="43"/>
      <c r="E3" s="43"/>
      <c r="F3" s="43"/>
      <c r="G3" s="43"/>
      <c r="H3" s="43"/>
      <c r="I3" s="43"/>
      <c r="J3" s="43"/>
      <c r="K3" s="43"/>
    </row>
    <row r="4" spans="1:12" x14ac:dyDescent="0.2">
      <c r="B4" s="177" t="s">
        <v>85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x14ac:dyDescent="0.2">
      <c r="B5" s="41" t="s">
        <v>24</v>
      </c>
      <c r="C5" s="41" t="s">
        <v>86</v>
      </c>
      <c r="D5" s="41" t="s">
        <v>87</v>
      </c>
      <c r="E5" s="41" t="s">
        <v>88</v>
      </c>
      <c r="F5" s="41" t="s">
        <v>89</v>
      </c>
      <c r="G5" s="41" t="s">
        <v>90</v>
      </c>
      <c r="H5" s="41" t="s">
        <v>91</v>
      </c>
      <c r="I5" s="41" t="s">
        <v>92</v>
      </c>
      <c r="J5" s="41" t="s">
        <v>93</v>
      </c>
      <c r="K5" s="41" t="s">
        <v>94</v>
      </c>
      <c r="L5" s="41" t="s">
        <v>38</v>
      </c>
    </row>
    <row r="6" spans="1:12" x14ac:dyDescent="0.2">
      <c r="B6" s="41" t="s">
        <v>39</v>
      </c>
      <c r="C6" s="43">
        <f t="shared" ref="C6:K6" si="0">C75</f>
        <v>2.1106114831257554E-4</v>
      </c>
      <c r="D6" s="43">
        <f t="shared" si="0"/>
        <v>6.5323585188601808E-3</v>
      </c>
      <c r="E6" s="43">
        <f t="shared" si="0"/>
        <v>1.4842355904619449E-2</v>
      </c>
      <c r="F6" s="43">
        <f t="shared" si="0"/>
        <v>0</v>
      </c>
      <c r="G6" s="43">
        <f t="shared" si="0"/>
        <v>2.2909401559238294E-3</v>
      </c>
      <c r="H6" s="43">
        <f t="shared" si="0"/>
        <v>0</v>
      </c>
      <c r="I6" s="43">
        <f t="shared" si="0"/>
        <v>1.7506529016342826E-2</v>
      </c>
      <c r="J6" s="43">
        <f t="shared" si="0"/>
        <v>2.8454077825554126E-2</v>
      </c>
      <c r="K6" s="43">
        <f t="shared" si="0"/>
        <v>5.1087696675881904E-3</v>
      </c>
      <c r="L6" s="43">
        <f>SUM(C6:K6)</f>
        <v>7.4946092237201167E-2</v>
      </c>
    </row>
    <row r="7" spans="1:12" x14ac:dyDescent="0.2">
      <c r="B7" s="41" t="s">
        <v>40</v>
      </c>
      <c r="C7" s="43">
        <f t="shared" ref="C7:J9" si="1">C76</f>
        <v>0.14591408907486172</v>
      </c>
      <c r="D7" s="43">
        <f t="shared" si="1"/>
        <v>9.0018049122055507E-2</v>
      </c>
      <c r="E7" s="43">
        <f t="shared" si="1"/>
        <v>6.0679145097755141E-2</v>
      </c>
      <c r="F7" s="43">
        <f t="shared" si="1"/>
        <v>1.3090543161622442E-2</v>
      </c>
      <c r="G7" s="43">
        <f t="shared" si="1"/>
        <v>6.7229056174026459E-3</v>
      </c>
      <c r="H7" s="43">
        <f t="shared" si="1"/>
        <v>6.5912172441153716E-2</v>
      </c>
      <c r="I7" s="43">
        <f t="shared" si="1"/>
        <v>4.331244956635929E-3</v>
      </c>
      <c r="J7" s="43">
        <f t="shared" si="1"/>
        <v>2.4250634510415447E-3</v>
      </c>
      <c r="K7" s="43">
        <f>K76</f>
        <v>3.1311814091669553E-3</v>
      </c>
      <c r="L7" s="43">
        <f t="shared" ref="L7:L12" si="2">SUM(C7:K7)</f>
        <v>0.39222439433169559</v>
      </c>
    </row>
    <row r="8" spans="1:12" x14ac:dyDescent="0.2">
      <c r="B8" s="41" t="s">
        <v>41</v>
      </c>
      <c r="C8" s="43">
        <f t="shared" si="1"/>
        <v>1.4687542923669639E-2</v>
      </c>
      <c r="D8" s="43">
        <f t="shared" si="1"/>
        <v>3.3214931566749581E-2</v>
      </c>
      <c r="E8" s="43">
        <f t="shared" si="1"/>
        <v>6.0924122743912096E-3</v>
      </c>
      <c r="F8" s="43">
        <f t="shared" si="1"/>
        <v>5.5495122762914658E-3</v>
      </c>
      <c r="G8" s="43">
        <f t="shared" si="1"/>
        <v>6.6881839595298628E-2</v>
      </c>
      <c r="H8" s="43">
        <f t="shared" si="1"/>
        <v>0</v>
      </c>
      <c r="I8" s="43">
        <f t="shared" si="1"/>
        <v>2.7336120864037541E-2</v>
      </c>
      <c r="J8" s="43">
        <f t="shared" si="1"/>
        <v>1.1963646358471618E-2</v>
      </c>
      <c r="K8" s="43">
        <f>K77</f>
        <v>1.1535931507457204E-2</v>
      </c>
      <c r="L8" s="43">
        <f t="shared" si="2"/>
        <v>0.17726193736636686</v>
      </c>
    </row>
    <row r="9" spans="1:12" x14ac:dyDescent="0.2">
      <c r="B9" s="41" t="s">
        <v>50</v>
      </c>
      <c r="C9" s="43">
        <f t="shared" si="1"/>
        <v>4.6447908871801715E-3</v>
      </c>
      <c r="D9" s="43">
        <f t="shared" si="1"/>
        <v>6.5419320779987146E-4</v>
      </c>
      <c r="E9" s="43">
        <f t="shared" si="1"/>
        <v>4.6978575466213555E-3</v>
      </c>
      <c r="F9" s="43">
        <f t="shared" si="1"/>
        <v>4.0139676173176148E-3</v>
      </c>
      <c r="G9" s="43">
        <f t="shared" si="1"/>
        <v>4.8403541917939339E-3</v>
      </c>
      <c r="H9" s="43">
        <f t="shared" si="1"/>
        <v>0</v>
      </c>
      <c r="I9" s="43">
        <f t="shared" si="1"/>
        <v>2.4074337941428305E-3</v>
      </c>
      <c r="J9" s="43">
        <f t="shared" si="1"/>
        <v>2.0370532988748979E-2</v>
      </c>
      <c r="K9" s="43">
        <f>K78</f>
        <v>3.2959804307020578E-3</v>
      </c>
      <c r="L9" s="43">
        <f t="shared" si="2"/>
        <v>4.4925110664306822E-2</v>
      </c>
    </row>
    <row r="10" spans="1:12" x14ac:dyDescent="0.2">
      <c r="B10" s="41" t="s">
        <v>53</v>
      </c>
      <c r="C10" s="43">
        <f>C79+C80</f>
        <v>7.1301081897759244E-2</v>
      </c>
      <c r="D10" s="43">
        <f t="shared" ref="D10:K10" si="3">D79+D80</f>
        <v>2.9047242155107466E-2</v>
      </c>
      <c r="E10" s="43">
        <f t="shared" si="3"/>
        <v>5.0164150511646861E-2</v>
      </c>
      <c r="F10" s="43">
        <f t="shared" si="3"/>
        <v>2.1688196395136212E-2</v>
      </c>
      <c r="G10" s="43">
        <f t="shared" si="3"/>
        <v>9.8995496019423836E-3</v>
      </c>
      <c r="H10" s="43">
        <f t="shared" si="3"/>
        <v>0</v>
      </c>
      <c r="I10" s="43">
        <f t="shared" si="3"/>
        <v>2.6176429100626897E-2</v>
      </c>
      <c r="J10" s="43">
        <f t="shared" si="3"/>
        <v>9.279909472652309E-3</v>
      </c>
      <c r="K10" s="43">
        <f t="shared" si="3"/>
        <v>1.3991436928330235E-2</v>
      </c>
      <c r="L10" s="43">
        <f t="shared" si="2"/>
        <v>0.23154799606320164</v>
      </c>
    </row>
    <row r="11" spans="1:12" x14ac:dyDescent="0.2">
      <c r="B11" s="41" t="s">
        <v>44</v>
      </c>
      <c r="C11" s="43">
        <f t="shared" ref="C11:K12" si="4">C81</f>
        <v>1.1006458609944801E-3</v>
      </c>
      <c r="D11" s="43">
        <f>D81</f>
        <v>8.3067612150526784E-5</v>
      </c>
      <c r="E11" s="43">
        <f t="shared" si="4"/>
        <v>3.4355874375327695E-3</v>
      </c>
      <c r="F11" s="43">
        <f t="shared" si="4"/>
        <v>1.2964480896350073E-4</v>
      </c>
      <c r="G11" s="43">
        <f t="shared" si="4"/>
        <v>9.075136627445052E-4</v>
      </c>
      <c r="H11" s="43">
        <f t="shared" si="4"/>
        <v>6.4822404481750364E-5</v>
      </c>
      <c r="I11" s="43">
        <f t="shared" si="4"/>
        <v>0</v>
      </c>
      <c r="J11" s="43">
        <f t="shared" si="4"/>
        <v>7.13046449299254E-4</v>
      </c>
      <c r="K11" s="43">
        <f t="shared" si="4"/>
        <v>1.2316256851532571E-3</v>
      </c>
      <c r="L11" s="43">
        <f t="shared" si="2"/>
        <v>7.6659539213200434E-3</v>
      </c>
    </row>
    <row r="12" spans="1:12" x14ac:dyDescent="0.2">
      <c r="B12" s="41" t="s">
        <v>55</v>
      </c>
      <c r="C12" s="43">
        <f t="shared" si="4"/>
        <v>6.8031079723217831E-3</v>
      </c>
      <c r="D12" s="43">
        <f t="shared" si="4"/>
        <v>3.2560738358949704E-3</v>
      </c>
      <c r="E12" s="43">
        <f t="shared" si="4"/>
        <v>9.8441194067031609E-3</v>
      </c>
      <c r="F12" s="43">
        <f t="shared" si="4"/>
        <v>3.5919173309329871E-4</v>
      </c>
      <c r="G12" s="43">
        <f t="shared" si="4"/>
        <v>4.8894642289837274E-3</v>
      </c>
      <c r="H12" s="43">
        <f t="shared" si="4"/>
        <v>0</v>
      </c>
      <c r="I12" s="43">
        <f t="shared" si="4"/>
        <v>1.5228773214913645E-2</v>
      </c>
      <c r="J12" s="43">
        <f t="shared" si="4"/>
        <v>1.1090623516096665E-2</v>
      </c>
      <c r="K12" s="43">
        <f t="shared" si="4"/>
        <v>1.9957161507900958E-2</v>
      </c>
      <c r="L12" s="43">
        <f t="shared" si="2"/>
        <v>7.1428515415908209E-2</v>
      </c>
    </row>
    <row r="13" spans="1:12" x14ac:dyDescent="0.2">
      <c r="B13" s="41" t="s">
        <v>38</v>
      </c>
      <c r="C13" s="43">
        <f>SUM(C6:C12)</f>
        <v>0.24466231976509961</v>
      </c>
      <c r="D13" s="43">
        <f t="shared" ref="D13:K13" si="5">SUM(D6:D12)</f>
        <v>0.16280591601861805</v>
      </c>
      <c r="E13" s="43">
        <f t="shared" si="5"/>
        <v>0.14975562817926996</v>
      </c>
      <c r="F13" s="43">
        <f t="shared" si="5"/>
        <v>4.4831055992424526E-2</v>
      </c>
      <c r="G13" s="43">
        <f t="shared" si="5"/>
        <v>9.643256705408966E-2</v>
      </c>
      <c r="H13" s="43">
        <f t="shared" si="5"/>
        <v>6.5976994845635462E-2</v>
      </c>
      <c r="I13" s="43">
        <f>SUM(I6:I12)</f>
        <v>9.2986530946699675E-2</v>
      </c>
      <c r="J13" s="43">
        <f t="shared" si="5"/>
        <v>8.4296900061864494E-2</v>
      </c>
      <c r="K13" s="43">
        <f t="shared" si="5"/>
        <v>5.8252087136298855E-2</v>
      </c>
      <c r="L13" s="43">
        <f>SUM(L6:L12)</f>
        <v>1.0000000000000004</v>
      </c>
    </row>
    <row r="14" spans="1:12" x14ac:dyDescent="0.2"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</row>
    <row r="15" spans="1:12" x14ac:dyDescent="0.2">
      <c r="B15" s="41"/>
      <c r="C15" s="43"/>
      <c r="D15" s="43"/>
      <c r="E15" s="43"/>
      <c r="F15" s="43"/>
      <c r="G15" s="43"/>
      <c r="H15" s="43"/>
      <c r="I15" s="43"/>
      <c r="J15" s="43"/>
      <c r="K15" s="43"/>
    </row>
    <row r="16" spans="1:12" ht="21" x14ac:dyDescent="0.2">
      <c r="A16" s="36" t="s">
        <v>95</v>
      </c>
    </row>
    <row r="18" spans="2:9" x14ac:dyDescent="0.2">
      <c r="B18" s="179" t="s">
        <v>96</v>
      </c>
      <c r="C18" s="179"/>
      <c r="D18" s="179"/>
      <c r="E18" s="179"/>
      <c r="F18" s="44"/>
      <c r="G18" s="44"/>
      <c r="H18" s="44"/>
      <c r="I18" s="44"/>
    </row>
    <row r="19" spans="2:9" x14ac:dyDescent="0.2">
      <c r="B19" s="180">
        <f>B24*(1+B21)^4</f>
        <v>4.5908394652837607</v>
      </c>
      <c r="C19" s="180"/>
      <c r="D19" s="180"/>
      <c r="E19" s="180"/>
      <c r="F19" s="44"/>
      <c r="G19" s="44"/>
      <c r="H19" s="44"/>
      <c r="I19" s="44"/>
    </row>
    <row r="20" spans="2:9" x14ac:dyDescent="0.2">
      <c r="B20" s="179" t="s">
        <v>97</v>
      </c>
      <c r="C20" s="179"/>
      <c r="D20" s="179"/>
      <c r="E20" s="179"/>
      <c r="F20" s="44"/>
      <c r="G20" s="44"/>
      <c r="H20" s="44"/>
      <c r="I20" s="44"/>
    </row>
    <row r="21" spans="2:9" x14ac:dyDescent="0.2">
      <c r="B21" s="181">
        <v>4.5999999999999999E-2</v>
      </c>
      <c r="C21" s="181"/>
      <c r="D21" s="181"/>
      <c r="E21" s="181"/>
      <c r="F21" s="44"/>
      <c r="G21" s="44"/>
      <c r="H21" s="44"/>
      <c r="I21" s="44"/>
    </row>
    <row r="22" spans="2:9" x14ac:dyDescent="0.2">
      <c r="B22" s="182"/>
      <c r="C22" s="182"/>
      <c r="D22" s="182"/>
      <c r="E22" s="182"/>
      <c r="F22" s="44"/>
      <c r="G22" s="44"/>
      <c r="H22" s="44"/>
      <c r="I22" s="44"/>
    </row>
    <row r="23" spans="2:9" x14ac:dyDescent="0.2">
      <c r="B23" s="179" t="s">
        <v>98</v>
      </c>
      <c r="C23" s="179"/>
      <c r="D23" s="179"/>
      <c r="E23" s="179"/>
      <c r="F23" s="44"/>
      <c r="G23" s="44"/>
      <c r="H23" s="44"/>
      <c r="I23" s="44"/>
    </row>
    <row r="24" spans="2:9" x14ac:dyDescent="0.2">
      <c r="B24" s="183">
        <v>3.835</v>
      </c>
      <c r="C24" s="183"/>
      <c r="D24" s="183"/>
      <c r="E24" s="183"/>
      <c r="F24" s="44"/>
      <c r="G24" s="44"/>
      <c r="H24" s="44"/>
      <c r="I24" s="44"/>
    </row>
    <row r="25" spans="2:9" x14ac:dyDescent="0.2">
      <c r="B25" s="182"/>
      <c r="C25" s="182"/>
      <c r="D25" s="182"/>
      <c r="E25" s="182"/>
      <c r="F25" s="44"/>
      <c r="G25" s="44"/>
      <c r="H25" s="44"/>
      <c r="I25" s="44"/>
    </row>
    <row r="26" spans="2:9" x14ac:dyDescent="0.2">
      <c r="B26" s="184" t="s">
        <v>99</v>
      </c>
      <c r="C26" s="184"/>
      <c r="D26" s="184"/>
      <c r="E26" s="184"/>
    </row>
    <row r="27" spans="2:9" x14ac:dyDescent="0.2">
      <c r="B27" s="45" t="s">
        <v>24</v>
      </c>
      <c r="C27" s="45" t="s">
        <v>100</v>
      </c>
      <c r="D27" s="176" t="s">
        <v>101</v>
      </c>
      <c r="E27" s="176"/>
    </row>
    <row r="28" spans="2:9" x14ac:dyDescent="0.2">
      <c r="B28" s="45" t="s">
        <v>39</v>
      </c>
      <c r="C28" s="46">
        <f>C52</f>
        <v>675</v>
      </c>
      <c r="D28" s="186">
        <f>C28/SUM(C$28:C$35)</f>
        <v>0.18826951428457583</v>
      </c>
      <c r="E28" s="186"/>
    </row>
    <row r="29" spans="2:9" x14ac:dyDescent="0.2">
      <c r="B29" s="45" t="s">
        <v>40</v>
      </c>
      <c r="C29" s="46">
        <f>C55</f>
        <v>167</v>
      </c>
      <c r="D29" s="186">
        <f t="shared" ref="D29:D35" si="6">C29/SUM(C$28:C$35)</f>
        <v>4.6579272422998759E-2</v>
      </c>
      <c r="E29" s="186"/>
    </row>
    <row r="30" spans="2:9" x14ac:dyDescent="0.2">
      <c r="B30" s="45" t="s">
        <v>41</v>
      </c>
      <c r="C30" s="46">
        <f>C51</f>
        <v>1054</v>
      </c>
      <c r="D30" s="186">
        <f t="shared" si="6"/>
        <v>0.29397936008287839</v>
      </c>
      <c r="E30" s="186"/>
    </row>
    <row r="31" spans="2:9" x14ac:dyDescent="0.2">
      <c r="B31" s="45" t="s">
        <v>42</v>
      </c>
      <c r="C31" s="46">
        <f>E53</f>
        <v>92.82352941176471</v>
      </c>
      <c r="D31" s="186">
        <f t="shared" si="6"/>
        <v>2.5890134513382193E-2</v>
      </c>
      <c r="E31" s="186"/>
    </row>
    <row r="32" spans="2:9" x14ac:dyDescent="0.2">
      <c r="B32" s="45" t="s">
        <v>102</v>
      </c>
      <c r="C32" s="46">
        <f>C56+C60</f>
        <v>871</v>
      </c>
      <c r="D32" s="186">
        <f>C32/SUM(C$28:C$35)</f>
        <v>0.24293740287683785</v>
      </c>
      <c r="E32" s="186"/>
    </row>
    <row r="33" spans="2:5" x14ac:dyDescent="0.2">
      <c r="B33" s="45" t="s">
        <v>103</v>
      </c>
      <c r="C33" s="46">
        <f>E58</f>
        <v>138.28571428571428</v>
      </c>
      <c r="D33" s="186">
        <f t="shared" si="6"/>
        <v>3.8570347053432673E-2</v>
      </c>
      <c r="E33" s="186"/>
    </row>
    <row r="34" spans="2:5" x14ac:dyDescent="0.2">
      <c r="B34" s="45" t="s">
        <v>44</v>
      </c>
      <c r="C34" s="46">
        <v>0</v>
      </c>
      <c r="D34" s="186">
        <f t="shared" si="6"/>
        <v>0</v>
      </c>
      <c r="E34" s="186"/>
    </row>
    <row r="35" spans="2:5" x14ac:dyDescent="0.2">
      <c r="B35" s="45" t="s">
        <v>45</v>
      </c>
      <c r="C35" s="46">
        <f>E54+C59</f>
        <v>587.17647058823536</v>
      </c>
      <c r="D35" s="186">
        <f t="shared" si="6"/>
        <v>0.1637739687658942</v>
      </c>
      <c r="E35" s="186"/>
    </row>
    <row r="36" spans="2:5" x14ac:dyDescent="0.2">
      <c r="B36" s="187"/>
      <c r="C36" s="187"/>
      <c r="D36" s="187"/>
      <c r="E36" s="187"/>
    </row>
    <row r="37" spans="2:5" x14ac:dyDescent="0.2">
      <c r="B37" s="188" t="s">
        <v>104</v>
      </c>
      <c r="C37" s="188"/>
      <c r="D37" s="188"/>
      <c r="E37" s="188"/>
    </row>
    <row r="38" spans="2:5" x14ac:dyDescent="0.2">
      <c r="B38" s="45" t="s">
        <v>105</v>
      </c>
      <c r="C38" s="185">
        <v>1043</v>
      </c>
      <c r="D38" s="185"/>
      <c r="E38" s="185"/>
    </row>
    <row r="39" spans="2:5" x14ac:dyDescent="0.2">
      <c r="B39" s="45" t="s">
        <v>39</v>
      </c>
      <c r="C39" s="185">
        <v>601</v>
      </c>
      <c r="D39" s="185"/>
      <c r="E39" s="185"/>
    </row>
    <row r="40" spans="2:5" x14ac:dyDescent="0.2">
      <c r="B40" s="45" t="s">
        <v>106</v>
      </c>
      <c r="C40" s="185">
        <v>18</v>
      </c>
      <c r="D40" s="185"/>
      <c r="E40" s="185"/>
    </row>
    <row r="41" spans="2:5" x14ac:dyDescent="0.2">
      <c r="B41" s="45" t="s">
        <v>107</v>
      </c>
      <c r="C41" s="185">
        <v>157</v>
      </c>
      <c r="D41" s="185"/>
      <c r="E41" s="185"/>
    </row>
    <row r="42" spans="2:5" x14ac:dyDescent="0.2">
      <c r="B42" s="45" t="s">
        <v>108</v>
      </c>
      <c r="C42" s="185">
        <v>84</v>
      </c>
      <c r="D42" s="185"/>
      <c r="E42" s="185"/>
    </row>
    <row r="43" spans="2:5" x14ac:dyDescent="0.2">
      <c r="B43" s="45" t="s">
        <v>40</v>
      </c>
      <c r="C43" s="185">
        <v>160</v>
      </c>
      <c r="D43" s="185"/>
      <c r="E43" s="185"/>
    </row>
    <row r="44" spans="2:5" x14ac:dyDescent="0.2">
      <c r="B44" s="45" t="s">
        <v>109</v>
      </c>
      <c r="C44" s="185">
        <v>107</v>
      </c>
      <c r="D44" s="185"/>
      <c r="E44" s="185"/>
    </row>
    <row r="45" spans="2:5" x14ac:dyDescent="0.2">
      <c r="B45" s="45" t="s">
        <v>110</v>
      </c>
      <c r="C45" s="185">
        <v>221</v>
      </c>
      <c r="D45" s="185"/>
      <c r="E45" s="185"/>
    </row>
    <row r="46" spans="2:5" x14ac:dyDescent="0.2">
      <c r="B46" s="45" t="s">
        <v>111</v>
      </c>
      <c r="C46" s="185">
        <v>22</v>
      </c>
      <c r="D46" s="185"/>
      <c r="E46" s="185"/>
    </row>
    <row r="47" spans="2:5" x14ac:dyDescent="0.2">
      <c r="B47" s="45" t="s">
        <v>112</v>
      </c>
      <c r="C47" s="185">
        <v>20</v>
      </c>
      <c r="D47" s="185"/>
      <c r="E47" s="185"/>
    </row>
    <row r="48" spans="2:5" x14ac:dyDescent="0.2">
      <c r="B48" s="45" t="s">
        <v>45</v>
      </c>
      <c r="C48" s="185">
        <v>136</v>
      </c>
      <c r="D48" s="185"/>
      <c r="E48" s="185"/>
    </row>
    <row r="49" spans="2:5" x14ac:dyDescent="0.2">
      <c r="B49" s="45" t="s">
        <v>113</v>
      </c>
      <c r="C49" s="185">
        <v>496</v>
      </c>
      <c r="D49" s="185"/>
      <c r="E49" s="185"/>
    </row>
    <row r="50" spans="2:5" x14ac:dyDescent="0.2">
      <c r="B50" s="188" t="s">
        <v>114</v>
      </c>
      <c r="C50" s="188"/>
      <c r="D50" s="188"/>
      <c r="E50" s="188"/>
    </row>
    <row r="51" spans="2:5" x14ac:dyDescent="0.2">
      <c r="B51" s="45" t="s">
        <v>115</v>
      </c>
      <c r="C51" s="42">
        <v>1054</v>
      </c>
    </row>
    <row r="52" spans="2:5" x14ac:dyDescent="0.2">
      <c r="B52" s="45" t="s">
        <v>39</v>
      </c>
      <c r="C52" s="42">
        <v>675</v>
      </c>
    </row>
    <row r="53" spans="2:5" x14ac:dyDescent="0.2">
      <c r="B53" s="45" t="s">
        <v>116</v>
      </c>
      <c r="C53" s="42">
        <v>526</v>
      </c>
      <c r="D53" s="45" t="s">
        <v>117</v>
      </c>
      <c r="E53" s="48">
        <f>C53*C40/(C40+C42)</f>
        <v>92.82352941176471</v>
      </c>
    </row>
    <row r="54" spans="2:5" x14ac:dyDescent="0.2">
      <c r="B54" s="45"/>
      <c r="D54" s="45" t="s">
        <v>118</v>
      </c>
      <c r="E54" s="48">
        <f>C53*C42/(C42+C40)</f>
        <v>433.1764705882353</v>
      </c>
    </row>
    <row r="55" spans="2:5" x14ac:dyDescent="0.2">
      <c r="B55" s="45" t="s">
        <v>40</v>
      </c>
      <c r="C55" s="42">
        <v>167</v>
      </c>
      <c r="D55" s="45"/>
      <c r="E55" s="48"/>
    </row>
    <row r="56" spans="2:5" x14ac:dyDescent="0.2">
      <c r="B56" s="45" t="s">
        <v>119</v>
      </c>
      <c r="C56" s="42">
        <v>375</v>
      </c>
      <c r="D56" s="45"/>
      <c r="E56" s="48"/>
    </row>
    <row r="57" spans="2:5" x14ac:dyDescent="0.2">
      <c r="B57" s="45" t="s">
        <v>120</v>
      </c>
      <c r="C57" s="42">
        <v>264</v>
      </c>
      <c r="D57" s="45" t="s">
        <v>121</v>
      </c>
      <c r="E57" s="48">
        <f>C57*C47/(C47+C46)</f>
        <v>125.71428571428571</v>
      </c>
    </row>
    <row r="58" spans="2:5" x14ac:dyDescent="0.2">
      <c r="B58" s="45"/>
      <c r="D58" s="45" t="s">
        <v>122</v>
      </c>
      <c r="E58" s="48">
        <f>C57*C46/(C46+C47)</f>
        <v>138.28571428571428</v>
      </c>
    </row>
    <row r="59" spans="2:5" x14ac:dyDescent="0.2">
      <c r="B59" s="45" t="s">
        <v>45</v>
      </c>
      <c r="C59" s="42">
        <v>154</v>
      </c>
      <c r="E59" s="48"/>
    </row>
    <row r="60" spans="2:5" x14ac:dyDescent="0.2">
      <c r="B60" s="45" t="s">
        <v>123</v>
      </c>
      <c r="C60" s="42">
        <v>496</v>
      </c>
    </row>
    <row r="61" spans="2:5" x14ac:dyDescent="0.2">
      <c r="B61" s="182"/>
      <c r="C61" s="182"/>
      <c r="D61" s="182"/>
      <c r="E61" s="182"/>
    </row>
    <row r="63" spans="2:5" x14ac:dyDescent="0.2">
      <c r="B63" s="179" t="s">
        <v>124</v>
      </c>
      <c r="C63" s="179"/>
      <c r="D63" s="179"/>
      <c r="E63" s="179"/>
    </row>
    <row r="64" spans="2:5" x14ac:dyDescent="0.2">
      <c r="B64" s="183">
        <f>5592+1424</f>
        <v>7016</v>
      </c>
      <c r="C64" s="183"/>
      <c r="D64" s="183"/>
      <c r="E64" s="183"/>
    </row>
    <row r="65" spans="2:12" x14ac:dyDescent="0.2">
      <c r="B65" s="182"/>
      <c r="C65" s="182"/>
      <c r="D65" s="182"/>
      <c r="E65" s="182"/>
    </row>
    <row r="66" spans="2:12" x14ac:dyDescent="0.2">
      <c r="B66" s="178"/>
      <c r="C66" s="178"/>
      <c r="D66" s="178"/>
      <c r="E66" s="178"/>
    </row>
    <row r="68" spans="2:12" x14ac:dyDescent="0.2">
      <c r="B68" s="179" t="s">
        <v>125</v>
      </c>
      <c r="C68" s="179"/>
      <c r="D68" s="179"/>
      <c r="E68" s="179"/>
    </row>
    <row r="69" spans="2:12" x14ac:dyDescent="0.2">
      <c r="B69" s="189" t="s">
        <v>126</v>
      </c>
      <c r="C69" s="189"/>
      <c r="D69" s="183">
        <v>126</v>
      </c>
      <c r="E69" s="183"/>
    </row>
    <row r="70" spans="2:12" x14ac:dyDescent="0.2">
      <c r="B70" s="189" t="s">
        <v>55</v>
      </c>
      <c r="C70" s="189"/>
      <c r="D70" s="183">
        <v>690</v>
      </c>
      <c r="E70" s="183"/>
    </row>
    <row r="71" spans="2:12" x14ac:dyDescent="0.2">
      <c r="B71" s="182"/>
      <c r="C71" s="182"/>
      <c r="D71" s="182"/>
      <c r="E71" s="182"/>
    </row>
    <row r="72" spans="2:12" x14ac:dyDescent="0.2">
      <c r="B72" s="50"/>
    </row>
    <row r="73" spans="2:12" x14ac:dyDescent="0.2">
      <c r="B73" s="179" t="s">
        <v>127</v>
      </c>
      <c r="C73" s="179"/>
      <c r="D73" s="179"/>
      <c r="E73" s="179"/>
      <c r="F73" s="179"/>
      <c r="G73" s="179"/>
      <c r="H73" s="179"/>
      <c r="I73" s="179"/>
      <c r="J73" s="179"/>
      <c r="K73" s="179"/>
      <c r="L73" s="179"/>
    </row>
    <row r="74" spans="2:12" x14ac:dyDescent="0.2">
      <c r="B74" s="41" t="s">
        <v>24</v>
      </c>
      <c r="C74" s="41" t="s">
        <v>86</v>
      </c>
      <c r="D74" s="41" t="s">
        <v>87</v>
      </c>
      <c r="E74" s="41" t="s">
        <v>88</v>
      </c>
      <c r="F74" s="41" t="s">
        <v>89</v>
      </c>
      <c r="G74" s="41" t="s">
        <v>90</v>
      </c>
      <c r="H74" s="41" t="s">
        <v>91</v>
      </c>
      <c r="I74" s="41" t="s">
        <v>92</v>
      </c>
      <c r="J74" s="41" t="s">
        <v>93</v>
      </c>
      <c r="K74" s="41" t="s">
        <v>94</v>
      </c>
      <c r="L74" s="41" t="s">
        <v>38</v>
      </c>
    </row>
    <row r="75" spans="2:12" x14ac:dyDescent="0.2">
      <c r="B75" s="41" t="s">
        <v>39</v>
      </c>
      <c r="C75" s="43">
        <f>C86/SUM($C$86:$K$93)</f>
        <v>2.1106114831257554E-4</v>
      </c>
      <c r="D75" s="43">
        <f t="shared" ref="D75:K75" si="7">D86/SUM($C$86:$K$93)</f>
        <v>6.5323585188601808E-3</v>
      </c>
      <c r="E75" s="43">
        <f t="shared" si="7"/>
        <v>1.4842355904619449E-2</v>
      </c>
      <c r="F75" s="43">
        <f t="shared" si="7"/>
        <v>0</v>
      </c>
      <c r="G75" s="43">
        <f t="shared" si="7"/>
        <v>2.2909401559238294E-3</v>
      </c>
      <c r="H75" s="43">
        <f t="shared" si="7"/>
        <v>0</v>
      </c>
      <c r="I75" s="43">
        <f t="shared" si="7"/>
        <v>1.7506529016342826E-2</v>
      </c>
      <c r="J75" s="43">
        <f t="shared" si="7"/>
        <v>2.8454077825554126E-2</v>
      </c>
      <c r="K75" s="43">
        <f t="shared" si="7"/>
        <v>5.1087696675881904E-3</v>
      </c>
      <c r="L75" s="43">
        <f>SUM(C75:K75)</f>
        <v>7.4946092237201167E-2</v>
      </c>
    </row>
    <row r="76" spans="2:12" x14ac:dyDescent="0.2">
      <c r="B76" s="41" t="s">
        <v>40</v>
      </c>
      <c r="C76" s="43">
        <f t="shared" ref="C76:K82" si="8">C87/SUM($C$86:$K$93)</f>
        <v>0.14591408907486172</v>
      </c>
      <c r="D76" s="43">
        <f t="shared" si="8"/>
        <v>9.0018049122055507E-2</v>
      </c>
      <c r="E76" s="43">
        <f t="shared" si="8"/>
        <v>6.0679145097755141E-2</v>
      </c>
      <c r="F76" s="43">
        <f t="shared" si="8"/>
        <v>1.3090543161622442E-2</v>
      </c>
      <c r="G76" s="43">
        <f t="shared" si="8"/>
        <v>6.7229056174026459E-3</v>
      </c>
      <c r="H76" s="43">
        <f t="shared" si="8"/>
        <v>6.5912172441153716E-2</v>
      </c>
      <c r="I76" s="43">
        <f t="shared" si="8"/>
        <v>4.331244956635929E-3</v>
      </c>
      <c r="J76" s="43">
        <f t="shared" si="8"/>
        <v>2.4250634510415447E-3</v>
      </c>
      <c r="K76" s="43">
        <f t="shared" si="8"/>
        <v>3.1311814091669553E-3</v>
      </c>
      <c r="L76" s="43">
        <f t="shared" ref="L76:L82" si="9">SUM(C76:K76)</f>
        <v>0.39222439433169559</v>
      </c>
    </row>
    <row r="77" spans="2:12" x14ac:dyDescent="0.2">
      <c r="B77" s="41" t="s">
        <v>41</v>
      </c>
      <c r="C77" s="43">
        <f t="shared" si="8"/>
        <v>1.4687542923669639E-2</v>
      </c>
      <c r="D77" s="43">
        <f t="shared" si="8"/>
        <v>3.3214931566749581E-2</v>
      </c>
      <c r="E77" s="43">
        <f t="shared" si="8"/>
        <v>6.0924122743912096E-3</v>
      </c>
      <c r="F77" s="43">
        <f t="shared" si="8"/>
        <v>5.5495122762914658E-3</v>
      </c>
      <c r="G77" s="43">
        <f t="shared" si="8"/>
        <v>6.6881839595298628E-2</v>
      </c>
      <c r="H77" s="43">
        <f t="shared" si="8"/>
        <v>0</v>
      </c>
      <c r="I77" s="43">
        <f t="shared" si="8"/>
        <v>2.7336120864037541E-2</v>
      </c>
      <c r="J77" s="43">
        <f t="shared" si="8"/>
        <v>1.1963646358471618E-2</v>
      </c>
      <c r="K77" s="43">
        <f t="shared" si="8"/>
        <v>1.1535931507457204E-2</v>
      </c>
      <c r="L77" s="43">
        <f t="shared" si="9"/>
        <v>0.17726193736636686</v>
      </c>
    </row>
    <row r="78" spans="2:12" x14ac:dyDescent="0.2">
      <c r="B78" s="41" t="s">
        <v>50</v>
      </c>
      <c r="C78" s="43">
        <f t="shared" si="8"/>
        <v>4.6447908871801715E-3</v>
      </c>
      <c r="D78" s="43">
        <f t="shared" si="8"/>
        <v>6.5419320779987146E-4</v>
      </c>
      <c r="E78" s="43">
        <f t="shared" si="8"/>
        <v>4.6978575466213555E-3</v>
      </c>
      <c r="F78" s="43">
        <f t="shared" si="8"/>
        <v>4.0139676173176148E-3</v>
      </c>
      <c r="G78" s="43">
        <f t="shared" si="8"/>
        <v>4.8403541917939339E-3</v>
      </c>
      <c r="H78" s="43">
        <f t="shared" si="8"/>
        <v>0</v>
      </c>
      <c r="I78" s="43">
        <f t="shared" si="8"/>
        <v>2.4074337941428305E-3</v>
      </c>
      <c r="J78" s="43">
        <f t="shared" si="8"/>
        <v>2.0370532988748979E-2</v>
      </c>
      <c r="K78" s="43">
        <f t="shared" si="8"/>
        <v>3.2959804307020578E-3</v>
      </c>
      <c r="L78" s="43">
        <f t="shared" si="9"/>
        <v>4.4925110664306822E-2</v>
      </c>
    </row>
    <row r="79" spans="2:12" x14ac:dyDescent="0.2">
      <c r="B79" s="41" t="s">
        <v>102</v>
      </c>
      <c r="C79" s="43">
        <f t="shared" si="8"/>
        <v>1.1955312990034241E-3</v>
      </c>
      <c r="D79" s="43">
        <f t="shared" si="8"/>
        <v>2.425301648428792E-4</v>
      </c>
      <c r="E79" s="43">
        <f t="shared" si="8"/>
        <v>6.1443509979580554E-3</v>
      </c>
      <c r="F79" s="43">
        <f t="shared" si="8"/>
        <v>8.8500852014932201E-4</v>
      </c>
      <c r="G79" s="43">
        <f t="shared" si="8"/>
        <v>1.6594023092550941E-3</v>
      </c>
      <c r="H79" s="43">
        <f t="shared" si="8"/>
        <v>0</v>
      </c>
      <c r="I79" s="43">
        <f t="shared" si="8"/>
        <v>2.2589906330717932E-2</v>
      </c>
      <c r="J79" s="43">
        <f t="shared" si="8"/>
        <v>4.7531243640414255E-3</v>
      </c>
      <c r="K79" s="43">
        <f t="shared" si="8"/>
        <v>8.5530692176718388E-3</v>
      </c>
      <c r="L79" s="43">
        <f t="shared" si="9"/>
        <v>4.6022923203639973E-2</v>
      </c>
    </row>
    <row r="80" spans="2:12" x14ac:dyDescent="0.2">
      <c r="B80" s="41" t="s">
        <v>53</v>
      </c>
      <c r="C80" s="43">
        <f t="shared" si="8"/>
        <v>7.0105550598755825E-2</v>
      </c>
      <c r="D80" s="43">
        <f t="shared" si="8"/>
        <v>2.8804711990264586E-2</v>
      </c>
      <c r="E80" s="43">
        <f t="shared" si="8"/>
        <v>4.4019799513688805E-2</v>
      </c>
      <c r="F80" s="43">
        <f t="shared" si="8"/>
        <v>2.0803187874986889E-2</v>
      </c>
      <c r="G80" s="43">
        <f t="shared" si="8"/>
        <v>8.2401472926872891E-3</v>
      </c>
      <c r="H80" s="43">
        <f t="shared" si="8"/>
        <v>0</v>
      </c>
      <c r="I80" s="43">
        <f t="shared" si="8"/>
        <v>3.5865227699089638E-3</v>
      </c>
      <c r="J80" s="43">
        <f t="shared" si="8"/>
        <v>4.5267851086108835E-3</v>
      </c>
      <c r="K80" s="43">
        <f t="shared" si="8"/>
        <v>5.4383677106583962E-3</v>
      </c>
      <c r="L80" s="43">
        <f t="shared" si="9"/>
        <v>0.18552507285956163</v>
      </c>
    </row>
    <row r="81" spans="2:12" x14ac:dyDescent="0.2">
      <c r="B81" s="41" t="s">
        <v>128</v>
      </c>
      <c r="C81" s="43">
        <f t="shared" si="8"/>
        <v>1.1006458609944801E-3</v>
      </c>
      <c r="D81" s="43">
        <f t="shared" si="8"/>
        <v>8.3067612150526784E-5</v>
      </c>
      <c r="E81" s="43">
        <f t="shared" si="8"/>
        <v>3.4355874375327695E-3</v>
      </c>
      <c r="F81" s="43">
        <f t="shared" si="8"/>
        <v>1.2964480896350073E-4</v>
      </c>
      <c r="G81" s="43">
        <f t="shared" si="8"/>
        <v>9.075136627445052E-4</v>
      </c>
      <c r="H81" s="43">
        <f t="shared" si="8"/>
        <v>6.4822404481750364E-5</v>
      </c>
      <c r="I81" s="43">
        <f t="shared" si="8"/>
        <v>0</v>
      </c>
      <c r="J81" s="43">
        <f t="shared" si="8"/>
        <v>7.13046449299254E-4</v>
      </c>
      <c r="K81" s="43">
        <f t="shared" si="8"/>
        <v>1.2316256851532571E-3</v>
      </c>
      <c r="L81" s="43">
        <f t="shared" si="9"/>
        <v>7.6659539213200434E-3</v>
      </c>
    </row>
    <row r="82" spans="2:12" x14ac:dyDescent="0.2">
      <c r="B82" s="41" t="s">
        <v>55</v>
      </c>
      <c r="C82" s="43">
        <f t="shared" si="8"/>
        <v>6.8031079723217831E-3</v>
      </c>
      <c r="D82" s="43">
        <f t="shared" si="8"/>
        <v>3.2560738358949704E-3</v>
      </c>
      <c r="E82" s="43">
        <f t="shared" si="8"/>
        <v>9.8441194067031609E-3</v>
      </c>
      <c r="F82" s="43">
        <f t="shared" si="8"/>
        <v>3.5919173309329871E-4</v>
      </c>
      <c r="G82" s="43">
        <f t="shared" si="8"/>
        <v>4.8894642289837274E-3</v>
      </c>
      <c r="H82" s="43">
        <f t="shared" si="8"/>
        <v>0</v>
      </c>
      <c r="I82" s="43">
        <f t="shared" si="8"/>
        <v>1.5228773214913645E-2</v>
      </c>
      <c r="J82" s="43">
        <f t="shared" si="8"/>
        <v>1.1090623516096665E-2</v>
      </c>
      <c r="K82" s="43">
        <f t="shared" si="8"/>
        <v>1.9957161507900958E-2</v>
      </c>
      <c r="L82" s="43">
        <f t="shared" si="9"/>
        <v>7.1428515415908209E-2</v>
      </c>
    </row>
    <row r="83" spans="2:12" x14ac:dyDescent="0.2">
      <c r="B83" s="41" t="s">
        <v>38</v>
      </c>
      <c r="C83" s="43">
        <f>SUM(C75:C82)</f>
        <v>0.24466231976509961</v>
      </c>
      <c r="D83" s="43">
        <f t="shared" ref="D83:K83" si="10">SUM(D75:D82)</f>
        <v>0.16280591601861805</v>
      </c>
      <c r="E83" s="43">
        <f t="shared" si="10"/>
        <v>0.14975562817926996</v>
      </c>
      <c r="F83" s="43">
        <f t="shared" si="10"/>
        <v>4.4831055992424526E-2</v>
      </c>
      <c r="G83" s="43">
        <f t="shared" si="10"/>
        <v>9.6432567054089674E-2</v>
      </c>
      <c r="H83" s="43">
        <f t="shared" si="10"/>
        <v>6.5976994845635462E-2</v>
      </c>
      <c r="I83" s="43">
        <f t="shared" si="10"/>
        <v>9.2986530946699661E-2</v>
      </c>
      <c r="J83" s="43">
        <f t="shared" si="10"/>
        <v>8.4296900061864494E-2</v>
      </c>
      <c r="K83" s="43">
        <f t="shared" si="10"/>
        <v>5.8252087136298855E-2</v>
      </c>
      <c r="L83" s="43">
        <f>SUM(L75:L82)</f>
        <v>1.0000000000000004</v>
      </c>
    </row>
    <row r="84" spans="2:12" x14ac:dyDescent="0.2">
      <c r="B84" s="179" t="s">
        <v>129</v>
      </c>
      <c r="C84" s="179"/>
      <c r="D84" s="179"/>
      <c r="E84" s="179"/>
      <c r="F84" s="179"/>
      <c r="G84" s="179"/>
      <c r="H84" s="179"/>
      <c r="I84" s="179"/>
      <c r="J84" s="179"/>
      <c r="K84" s="179"/>
    </row>
    <row r="85" spans="2:12" x14ac:dyDescent="0.2">
      <c r="B85" s="41" t="s">
        <v>24</v>
      </c>
      <c r="C85" s="41" t="s">
        <v>86</v>
      </c>
      <c r="D85" s="41" t="s">
        <v>87</v>
      </c>
      <c r="E85" s="41" t="s">
        <v>88</v>
      </c>
      <c r="F85" s="41" t="s">
        <v>89</v>
      </c>
      <c r="G85" s="41" t="s">
        <v>90</v>
      </c>
      <c r="H85" s="41" t="s">
        <v>91</v>
      </c>
      <c r="I85" s="41" t="s">
        <v>92</v>
      </c>
      <c r="J85" s="41" t="s">
        <v>93</v>
      </c>
      <c r="K85" s="41" t="s">
        <v>94</v>
      </c>
    </row>
    <row r="86" spans="2:12" x14ac:dyDescent="0.2">
      <c r="B86" s="41" t="s">
        <v>39</v>
      </c>
      <c r="C86" s="48">
        <f t="shared" ref="C86:K86" si="11">C96</f>
        <v>22.466336060810171</v>
      </c>
      <c r="D86" s="48">
        <f t="shared" si="11"/>
        <v>695.33480191751983</v>
      </c>
      <c r="E86" s="48">
        <f t="shared" si="11"/>
        <v>1579.8898013835108</v>
      </c>
      <c r="F86" s="48">
        <f t="shared" si="11"/>
        <v>0</v>
      </c>
      <c r="G86" s="48">
        <f t="shared" si="11"/>
        <v>243.85838819546947</v>
      </c>
      <c r="H86" s="48">
        <f t="shared" si="11"/>
        <v>0</v>
      </c>
      <c r="I86" s="48">
        <f t="shared" si="11"/>
        <v>1863.4768515378546</v>
      </c>
      <c r="J86" s="48">
        <f t="shared" si="11"/>
        <v>3028.7851641109314</v>
      </c>
      <c r="K86" s="48">
        <f t="shared" si="11"/>
        <v>543.80134442995995</v>
      </c>
    </row>
    <row r="87" spans="2:12" x14ac:dyDescent="0.2">
      <c r="B87" s="41" t="s">
        <v>40</v>
      </c>
      <c r="C87" s="48">
        <f t="shared" ref="C87:J91" si="12">C97</f>
        <v>15531.778289711468</v>
      </c>
      <c r="D87" s="48">
        <f t="shared" si="12"/>
        <v>9581.942291527459</v>
      </c>
      <c r="E87" s="48">
        <f t="shared" si="12"/>
        <v>6458.9720872261732</v>
      </c>
      <c r="F87" s="48">
        <f t="shared" si="12"/>
        <v>1393.4186572888425</v>
      </c>
      <c r="G87" s="48">
        <f t="shared" si="12"/>
        <v>715.61752654729139</v>
      </c>
      <c r="H87" s="48">
        <f t="shared" si="12"/>
        <v>7016</v>
      </c>
      <c r="I87" s="48">
        <f t="shared" si="12"/>
        <v>461.0379766026989</v>
      </c>
      <c r="J87" s="48">
        <f t="shared" si="12"/>
        <v>258.13509921399981</v>
      </c>
      <c r="K87" s="48">
        <f>K97</f>
        <v>333.29759819900772</v>
      </c>
    </row>
    <row r="88" spans="2:12" x14ac:dyDescent="0.2">
      <c r="B88" s="41" t="s">
        <v>41</v>
      </c>
      <c r="C88" s="48">
        <f t="shared" si="12"/>
        <v>1563.4107834098036</v>
      </c>
      <c r="D88" s="48">
        <f t="shared" si="12"/>
        <v>3535.5527096359815</v>
      </c>
      <c r="E88" s="48">
        <f t="shared" si="12"/>
        <v>648.50486539934377</v>
      </c>
      <c r="F88" s="48">
        <f t="shared" si="12"/>
        <v>590.71604968296822</v>
      </c>
      <c r="G88" s="48">
        <f t="shared" si="12"/>
        <v>7119.2159084053046</v>
      </c>
      <c r="H88" s="48">
        <f t="shared" si="12"/>
        <v>0</v>
      </c>
      <c r="I88" s="48">
        <f t="shared" si="12"/>
        <v>2909.7845948457762</v>
      </c>
      <c r="J88" s="48">
        <f t="shared" si="12"/>
        <v>1273.4664894557322</v>
      </c>
      <c r="K88" s="48">
        <f>K98</f>
        <v>1227.9385196805547</v>
      </c>
    </row>
    <row r="89" spans="2:12" x14ac:dyDescent="0.2">
      <c r="B89" s="41" t="s">
        <v>50</v>
      </c>
      <c r="C89" s="48">
        <f t="shared" si="12"/>
        <v>494.41327235193876</v>
      </c>
      <c r="D89" s="48">
        <f t="shared" si="12"/>
        <v>69.635385634143404</v>
      </c>
      <c r="E89" s="48">
        <f t="shared" si="12"/>
        <v>500.06193585141222</v>
      </c>
      <c r="F89" s="48">
        <f t="shared" si="12"/>
        <v>427.26549224641883</v>
      </c>
      <c r="G89" s="48">
        <f t="shared" si="12"/>
        <v>515.22994542389893</v>
      </c>
      <c r="H89" s="48">
        <f t="shared" si="12"/>
        <v>0</v>
      </c>
      <c r="I89" s="48">
        <f t="shared" si="12"/>
        <v>256.25851605461742</v>
      </c>
      <c r="J89" s="48">
        <f t="shared" si="12"/>
        <v>2168.3348333975987</v>
      </c>
      <c r="K89" s="48">
        <f>K99</f>
        <v>350.83957705158701</v>
      </c>
    </row>
    <row r="90" spans="2:12" x14ac:dyDescent="0.2">
      <c r="B90" s="41" t="s">
        <v>102</v>
      </c>
      <c r="C90" s="48">
        <f t="shared" si="12"/>
        <v>127.25794467321923</v>
      </c>
      <c r="D90" s="48">
        <f t="shared" si="12"/>
        <v>25.816045405828778</v>
      </c>
      <c r="E90" s="48">
        <f t="shared" si="12"/>
        <v>654.03346612738574</v>
      </c>
      <c r="F90" s="48">
        <f t="shared" si="12"/>
        <v>94.204447333475855</v>
      </c>
      <c r="G90" s="48">
        <f t="shared" si="12"/>
        <v>176.63454519160368</v>
      </c>
      <c r="H90" s="48">
        <f t="shared" si="12"/>
        <v>0</v>
      </c>
      <c r="I90" s="48">
        <f t="shared" si="12"/>
        <v>2404.5753150955134</v>
      </c>
      <c r="J90" s="48">
        <f t="shared" si="12"/>
        <v>505.94479445943944</v>
      </c>
      <c r="K90" s="48">
        <f>K100</f>
        <v>910.42870244886819</v>
      </c>
    </row>
    <row r="91" spans="2:12" x14ac:dyDescent="0.2">
      <c r="B91" s="41" t="s">
        <v>53</v>
      </c>
      <c r="C91" s="48">
        <f t="shared" si="12"/>
        <v>7462.3627895136242</v>
      </c>
      <c r="D91" s="48">
        <f t="shared" si="12"/>
        <v>3066.1083050194625</v>
      </c>
      <c r="E91" s="48">
        <f t="shared" si="12"/>
        <v>4685.6734037066544</v>
      </c>
      <c r="F91" s="48">
        <f t="shared" si="12"/>
        <v>2214.3886436335652</v>
      </c>
      <c r="G91" s="48">
        <f t="shared" si="12"/>
        <v>877.11982877076719</v>
      </c>
      <c r="H91" s="48">
        <f t="shared" si="12"/>
        <v>0</v>
      </c>
      <c r="I91" s="48">
        <f t="shared" si="12"/>
        <v>381.76626291823135</v>
      </c>
      <c r="J91" s="48">
        <f t="shared" si="12"/>
        <v>481.85218519946631</v>
      </c>
      <c r="K91" s="48">
        <f>K101</f>
        <v>578.88530213511865</v>
      </c>
    </row>
    <row r="92" spans="2:12" x14ac:dyDescent="0.2">
      <c r="B92" s="41" t="s">
        <v>128</v>
      </c>
      <c r="C92" s="73">
        <f>$D$69*Europe!C$11/(Europe!$C$11+Europe!$D$11)</f>
        <v>117.15789473684211</v>
      </c>
      <c r="D92" s="73">
        <f>$D$69*Europe!D$11/(Europe!$C$11+Europe!$D$11)</f>
        <v>8.8421052631578938</v>
      </c>
      <c r="E92" s="73">
        <f>$D$70*Europe!E11/SUM(Europe!$E$11:$K$11)</f>
        <v>365.7</v>
      </c>
      <c r="F92" s="73">
        <f>$D$70*Europe!F11/SUM(Europe!$E$11:$K$11)</f>
        <v>13.799999999999997</v>
      </c>
      <c r="G92" s="73">
        <f>$D$70*Europe!G11/SUM(Europe!$E$11:$K$11)</f>
        <v>96.6</v>
      </c>
      <c r="H92" s="73">
        <f>$D$70*Europe!H11/SUM(Europe!$E$11:$K$11)</f>
        <v>6.8999999999999986</v>
      </c>
      <c r="I92" s="73">
        <f>$D$70*Europe!I11/SUM(Europe!$E$11:$K$11)</f>
        <v>0</v>
      </c>
      <c r="J92" s="73">
        <f>$D$70*Europe!J11/SUM(Europe!$E$11:$K$11)</f>
        <v>75.899999999999991</v>
      </c>
      <c r="K92" s="73">
        <f>$D$70*Europe!K11/SUM(Europe!$E$11:$K$11)</f>
        <v>131.1</v>
      </c>
      <c r="L92" s="48"/>
    </row>
    <row r="93" spans="2:12" x14ac:dyDescent="0.2">
      <c r="B93" s="41" t="s">
        <v>55</v>
      </c>
      <c r="C93" s="48">
        <f>C102</f>
        <v>724.15464042584006</v>
      </c>
      <c r="D93" s="48">
        <f t="shared" ref="D93:K93" si="13">D102</f>
        <v>346.59173240018373</v>
      </c>
      <c r="E93" s="48">
        <f t="shared" si="13"/>
        <v>1047.8541246549216</v>
      </c>
      <c r="F93" s="48">
        <f t="shared" si="13"/>
        <v>38.234048523169456</v>
      </c>
      <c r="G93" s="48">
        <f t="shared" si="13"/>
        <v>520.45744754016141</v>
      </c>
      <c r="H93" s="48">
        <f t="shared" si="13"/>
        <v>0</v>
      </c>
      <c r="I93" s="48">
        <f t="shared" si="13"/>
        <v>1621.0218677168509</v>
      </c>
      <c r="J93" s="48">
        <f t="shared" si="13"/>
        <v>1180.5378537386925</v>
      </c>
      <c r="K93" s="48">
        <f t="shared" si="13"/>
        <v>2124.3336390473592</v>
      </c>
    </row>
    <row r="94" spans="2:12" x14ac:dyDescent="0.2">
      <c r="B94" s="179" t="s">
        <v>127</v>
      </c>
      <c r="C94" s="179"/>
      <c r="D94" s="179"/>
      <c r="E94" s="179"/>
      <c r="F94" s="179"/>
      <c r="G94" s="179"/>
      <c r="H94" s="179"/>
      <c r="I94" s="179"/>
      <c r="J94" s="179"/>
      <c r="K94" s="179"/>
    </row>
    <row r="95" spans="2:12" x14ac:dyDescent="0.2">
      <c r="B95" s="41" t="s">
        <v>24</v>
      </c>
      <c r="C95" s="41" t="s">
        <v>86</v>
      </c>
      <c r="D95" s="41" t="s">
        <v>87</v>
      </c>
      <c r="E95" s="41" t="s">
        <v>88</v>
      </c>
      <c r="F95" s="41" t="s">
        <v>89</v>
      </c>
      <c r="G95" s="41" t="s">
        <v>90</v>
      </c>
      <c r="H95" s="41" t="s">
        <v>91</v>
      </c>
      <c r="I95" s="41" t="s">
        <v>92</v>
      </c>
      <c r="J95" s="41" t="s">
        <v>93</v>
      </c>
      <c r="K95" s="41" t="s">
        <v>94</v>
      </c>
    </row>
    <row r="96" spans="2:12" x14ac:dyDescent="0.2">
      <c r="B96" s="41" t="s">
        <v>39</v>
      </c>
      <c r="C96" s="48">
        <f t="shared" ref="C96:K102" si="14">C$116*C105/C$112</f>
        <v>22.466336060810171</v>
      </c>
      <c r="D96" s="48">
        <f t="shared" si="14"/>
        <v>695.33480191751983</v>
      </c>
      <c r="E96" s="48">
        <f t="shared" si="14"/>
        <v>1579.8898013835108</v>
      </c>
      <c r="F96" s="48">
        <f t="shared" si="14"/>
        <v>0</v>
      </c>
      <c r="G96" s="48">
        <f t="shared" si="14"/>
        <v>243.85838819546947</v>
      </c>
      <c r="H96" s="48">
        <f t="shared" si="14"/>
        <v>0</v>
      </c>
      <c r="I96" s="48">
        <f t="shared" si="14"/>
        <v>1863.4768515378546</v>
      </c>
      <c r="J96" s="48">
        <f t="shared" si="14"/>
        <v>3028.7851641109314</v>
      </c>
      <c r="K96" s="48">
        <f t="shared" si="14"/>
        <v>543.80134442995995</v>
      </c>
    </row>
    <row r="97" spans="2:18" x14ac:dyDescent="0.2">
      <c r="B97" s="41" t="s">
        <v>40</v>
      </c>
      <c r="C97" s="48">
        <f t="shared" si="14"/>
        <v>15531.778289711468</v>
      </c>
      <c r="D97" s="48">
        <f t="shared" si="14"/>
        <v>9581.942291527459</v>
      </c>
      <c r="E97" s="48">
        <f t="shared" si="14"/>
        <v>6458.9720872261732</v>
      </c>
      <c r="F97" s="48">
        <f t="shared" si="14"/>
        <v>1393.4186572888425</v>
      </c>
      <c r="G97" s="48">
        <f t="shared" si="14"/>
        <v>715.61752654729139</v>
      </c>
      <c r="H97" s="48">
        <f t="shared" si="14"/>
        <v>7016</v>
      </c>
      <c r="I97" s="48">
        <f t="shared" si="14"/>
        <v>461.0379766026989</v>
      </c>
      <c r="J97" s="48">
        <f t="shared" si="14"/>
        <v>258.13509921399981</v>
      </c>
      <c r="K97" s="48">
        <f t="shared" si="14"/>
        <v>333.29759819900772</v>
      </c>
    </row>
    <row r="98" spans="2:18" x14ac:dyDescent="0.2">
      <c r="B98" s="41" t="s">
        <v>41</v>
      </c>
      <c r="C98" s="48">
        <f t="shared" si="14"/>
        <v>1563.4107834098036</v>
      </c>
      <c r="D98" s="48">
        <f t="shared" si="14"/>
        <v>3535.5527096359815</v>
      </c>
      <c r="E98" s="48">
        <f t="shared" si="14"/>
        <v>648.50486539934377</v>
      </c>
      <c r="F98" s="48">
        <f t="shared" si="14"/>
        <v>590.71604968296822</v>
      </c>
      <c r="G98" s="48">
        <f t="shared" si="14"/>
        <v>7119.2159084053046</v>
      </c>
      <c r="H98" s="48">
        <f t="shared" si="14"/>
        <v>0</v>
      </c>
      <c r="I98" s="48">
        <f t="shared" si="14"/>
        <v>2909.7845948457762</v>
      </c>
      <c r="J98" s="48">
        <f t="shared" si="14"/>
        <v>1273.4664894557322</v>
      </c>
      <c r="K98" s="48">
        <f t="shared" si="14"/>
        <v>1227.9385196805547</v>
      </c>
    </row>
    <row r="99" spans="2:18" x14ac:dyDescent="0.2">
      <c r="B99" s="41" t="s">
        <v>50</v>
      </c>
      <c r="C99" s="48">
        <f t="shared" si="14"/>
        <v>494.41327235193876</v>
      </c>
      <c r="D99" s="48">
        <f t="shared" si="14"/>
        <v>69.635385634143404</v>
      </c>
      <c r="E99" s="48">
        <f t="shared" si="14"/>
        <v>500.06193585141222</v>
      </c>
      <c r="F99" s="48">
        <f t="shared" si="14"/>
        <v>427.26549224641883</v>
      </c>
      <c r="G99" s="48">
        <f t="shared" si="14"/>
        <v>515.22994542389893</v>
      </c>
      <c r="H99" s="48">
        <f t="shared" si="14"/>
        <v>0</v>
      </c>
      <c r="I99" s="48">
        <f t="shared" si="14"/>
        <v>256.25851605461742</v>
      </c>
      <c r="J99" s="48">
        <f t="shared" si="14"/>
        <v>2168.3348333975987</v>
      </c>
      <c r="K99" s="48">
        <f t="shared" si="14"/>
        <v>350.83957705158701</v>
      </c>
    </row>
    <row r="100" spans="2:18" x14ac:dyDescent="0.2">
      <c r="B100" s="41" t="s">
        <v>102</v>
      </c>
      <c r="C100" s="48">
        <f t="shared" si="14"/>
        <v>127.25794467321923</v>
      </c>
      <c r="D100" s="48">
        <f t="shared" si="14"/>
        <v>25.816045405828778</v>
      </c>
      <c r="E100" s="48">
        <f t="shared" si="14"/>
        <v>654.03346612738574</v>
      </c>
      <c r="F100" s="48">
        <f t="shared" si="14"/>
        <v>94.204447333475855</v>
      </c>
      <c r="G100" s="48">
        <f t="shared" si="14"/>
        <v>176.63454519160368</v>
      </c>
      <c r="H100" s="48">
        <f t="shared" si="14"/>
        <v>0</v>
      </c>
      <c r="I100" s="48">
        <f t="shared" si="14"/>
        <v>2404.5753150955134</v>
      </c>
      <c r="J100" s="48">
        <f t="shared" si="14"/>
        <v>505.94479445943944</v>
      </c>
      <c r="K100" s="48">
        <f t="shared" si="14"/>
        <v>910.42870244886819</v>
      </c>
    </row>
    <row r="101" spans="2:18" x14ac:dyDescent="0.2">
      <c r="B101" s="41" t="s">
        <v>53</v>
      </c>
      <c r="C101" s="48">
        <f t="shared" si="14"/>
        <v>7462.3627895136242</v>
      </c>
      <c r="D101" s="48">
        <f t="shared" si="14"/>
        <v>3066.1083050194625</v>
      </c>
      <c r="E101" s="48">
        <f t="shared" si="14"/>
        <v>4685.6734037066544</v>
      </c>
      <c r="F101" s="48">
        <f t="shared" si="14"/>
        <v>2214.3886436335652</v>
      </c>
      <c r="G101" s="48">
        <f t="shared" si="14"/>
        <v>877.11982877076719</v>
      </c>
      <c r="H101" s="48">
        <f t="shared" si="14"/>
        <v>0</v>
      </c>
      <c r="I101" s="48">
        <f t="shared" si="14"/>
        <v>381.76626291823135</v>
      </c>
      <c r="J101" s="48">
        <f t="shared" si="14"/>
        <v>481.85218519946631</v>
      </c>
      <c r="K101" s="48">
        <f t="shared" si="14"/>
        <v>578.88530213511865</v>
      </c>
    </row>
    <row r="102" spans="2:18" x14ac:dyDescent="0.2">
      <c r="B102" s="41" t="s">
        <v>55</v>
      </c>
      <c r="C102" s="48">
        <f t="shared" si="14"/>
        <v>724.15464042584006</v>
      </c>
      <c r="D102" s="48">
        <f t="shared" si="14"/>
        <v>346.59173240018373</v>
      </c>
      <c r="E102" s="48">
        <f t="shared" si="14"/>
        <v>1047.8541246549216</v>
      </c>
      <c r="F102" s="48">
        <f t="shared" si="14"/>
        <v>38.234048523169456</v>
      </c>
      <c r="G102" s="48">
        <f t="shared" si="14"/>
        <v>520.45744754016141</v>
      </c>
      <c r="H102" s="48">
        <f t="shared" si="14"/>
        <v>0</v>
      </c>
      <c r="I102" s="48">
        <f t="shared" si="14"/>
        <v>1621.0218677168509</v>
      </c>
      <c r="J102" s="48">
        <f t="shared" si="14"/>
        <v>1180.5378537386925</v>
      </c>
      <c r="K102" s="48">
        <f t="shared" si="14"/>
        <v>2124.3336390473592</v>
      </c>
      <c r="L102" s="48"/>
      <c r="M102" s="48"/>
      <c r="N102" s="48"/>
      <c r="O102" s="48"/>
      <c r="P102" s="48"/>
      <c r="Q102" s="48"/>
      <c r="R102" s="48"/>
    </row>
    <row r="103" spans="2:18" x14ac:dyDescent="0.2">
      <c r="B103" s="179" t="s">
        <v>130</v>
      </c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</row>
    <row r="104" spans="2:18" x14ac:dyDescent="0.2">
      <c r="B104" s="41" t="s">
        <v>24</v>
      </c>
      <c r="C104" s="41" t="s">
        <v>86</v>
      </c>
      <c r="D104" s="41" t="s">
        <v>87</v>
      </c>
      <c r="E104" s="41" t="s">
        <v>88</v>
      </c>
      <c r="F104" s="41" t="s">
        <v>89</v>
      </c>
      <c r="G104" s="41" t="s">
        <v>90</v>
      </c>
      <c r="H104" s="41" t="s">
        <v>91</v>
      </c>
      <c r="I104" s="41" t="s">
        <v>92</v>
      </c>
      <c r="J104" s="41" t="s">
        <v>93</v>
      </c>
      <c r="K104" s="41" t="s">
        <v>94</v>
      </c>
      <c r="L104" s="41" t="s">
        <v>38</v>
      </c>
    </row>
    <row r="105" spans="2:18" x14ac:dyDescent="0.2">
      <c r="B105" s="41" t="s">
        <v>39</v>
      </c>
      <c r="C105" s="43">
        <f t="shared" ref="C105:G111" si="15">C$112*C133/C$140</f>
        <v>2.1269163256728662E-4</v>
      </c>
      <c r="D105" s="43">
        <f t="shared" si="15"/>
        <v>6.5828221299808571E-3</v>
      </c>
      <c r="E105" s="43">
        <f t="shared" si="15"/>
        <v>1.4957015697758924E-2</v>
      </c>
      <c r="F105" s="43">
        <f t="shared" si="15"/>
        <v>0</v>
      </c>
      <c r="G105" s="43">
        <f t="shared" si="15"/>
        <v>2.3086380689816468E-3</v>
      </c>
      <c r="H105" s="43">
        <v>0</v>
      </c>
      <c r="I105" s="43">
        <f t="shared" ref="I105:I110" si="16">I$112*D28</f>
        <v>1.7641770012348006E-2</v>
      </c>
      <c r="J105" s="43">
        <f>J$112*Europe!J30/(Europe!J36-Europe!J32)</f>
        <v>2.8673890549249639E-2</v>
      </c>
      <c r="K105" s="43">
        <f>K$112*Europe!K30/(Europe!K36-Europe!K32)</f>
        <v>5.1482358060534836E-3</v>
      </c>
      <c r="L105" s="43">
        <f>SUM(C105:K105)</f>
        <v>7.5525063896939845E-2</v>
      </c>
      <c r="M105" s="189"/>
      <c r="N105" s="189"/>
    </row>
    <row r="106" spans="2:18" x14ac:dyDescent="0.2">
      <c r="B106" s="41" t="s">
        <v>40</v>
      </c>
      <c r="C106" s="43">
        <f t="shared" si="15"/>
        <v>0.14704130091218542</v>
      </c>
      <c r="D106" s="43">
        <f t="shared" si="15"/>
        <v>9.0713454282629877E-2</v>
      </c>
      <c r="E106" s="43">
        <f t="shared" si="15"/>
        <v>6.1147902097620867E-2</v>
      </c>
      <c r="F106" s="43">
        <f t="shared" si="15"/>
        <v>1.3191669895184183E-2</v>
      </c>
      <c r="G106" s="43">
        <f t="shared" si="15"/>
        <v>6.7748412381586267E-3</v>
      </c>
      <c r="H106" s="43">
        <f>H112</f>
        <v>6.6421355491745021E-2</v>
      </c>
      <c r="I106" s="43">
        <f t="shared" si="16"/>
        <v>4.3647045808327661E-3</v>
      </c>
      <c r="J106" s="43">
        <f>J$112*Europe!J28/(Europe!J36-Europe!J32)</f>
        <v>2.4437974899928668E-3</v>
      </c>
      <c r="K106" s="43">
        <f>K$112*Europe!K28/(Europe!K36-Europe!K32)</f>
        <v>3.1553703327424575E-3</v>
      </c>
      <c r="L106" s="43">
        <f t="shared" ref="L106:L111" si="17">SUM(C106:K106)</f>
        <v>0.39525439632109211</v>
      </c>
      <c r="M106" s="189"/>
      <c r="N106" s="189"/>
    </row>
    <row r="107" spans="2:18" x14ac:dyDescent="0.2">
      <c r="B107" s="41" t="s">
        <v>41</v>
      </c>
      <c r="C107" s="43">
        <f t="shared" si="15"/>
        <v>1.4801006759476931E-2</v>
      </c>
      <c r="D107" s="43">
        <f t="shared" si="15"/>
        <v>3.3471522717578944E-2</v>
      </c>
      <c r="E107" s="43">
        <f t="shared" si="15"/>
        <v>6.1394772238905458E-3</v>
      </c>
      <c r="F107" s="43">
        <f t="shared" si="15"/>
        <v>5.5923832284309784E-3</v>
      </c>
      <c r="G107" s="43">
        <f t="shared" si="15"/>
        <v>6.7398513494109927E-2</v>
      </c>
      <c r="H107" s="43">
        <v>0</v>
      </c>
      <c r="I107" s="43">
        <f t="shared" si="16"/>
        <v>2.7547297174836737E-2</v>
      </c>
      <c r="J107" s="43">
        <f>J$112*Europe!J29/(Europe!J36-Europe!J32)</f>
        <v>1.2056067617298142E-2</v>
      </c>
      <c r="K107" s="43">
        <f>K$112*Europe!K29/(Europe!K36-Europe!K32)</f>
        <v>1.1625048594314317E-2</v>
      </c>
      <c r="L107" s="43">
        <f t="shared" si="17"/>
        <v>0.17863131680993649</v>
      </c>
      <c r="M107" s="189"/>
      <c r="N107" s="189"/>
    </row>
    <row r="108" spans="2:18" x14ac:dyDescent="0.2">
      <c r="B108" s="41" t="s">
        <v>50</v>
      </c>
      <c r="C108" s="43">
        <f t="shared" si="15"/>
        <v>4.68067270848419E-3</v>
      </c>
      <c r="D108" s="43">
        <f t="shared" si="15"/>
        <v>6.5924696465367643E-4</v>
      </c>
      <c r="E108" s="43">
        <f t="shared" si="15"/>
        <v>4.7341493171432223E-3</v>
      </c>
      <c r="F108" s="43">
        <f t="shared" si="15"/>
        <v>4.0449762186224071E-3</v>
      </c>
      <c r="G108" s="43">
        <f t="shared" si="15"/>
        <v>4.8777467738017645E-3</v>
      </c>
      <c r="H108" s="43">
        <v>0</v>
      </c>
      <c r="I108" s="43">
        <f t="shared" si="16"/>
        <v>2.4260316409137391E-3</v>
      </c>
      <c r="J108" s="43">
        <f>J$112*Europe!J31/(Europe!J$36-Europe!J$32)</f>
        <v>2.052789891594008E-2</v>
      </c>
      <c r="K108" s="43">
        <f>K$112*Europe!K31/(Europe!K$36-Europe!K$32)</f>
        <v>3.3214424555183765E-3</v>
      </c>
      <c r="L108" s="43">
        <f t="shared" si="17"/>
        <v>4.5272164995077448E-2</v>
      </c>
      <c r="M108" s="189"/>
      <c r="N108" s="189"/>
    </row>
    <row r="109" spans="2:18" x14ac:dyDescent="0.2">
      <c r="B109" s="41" t="s">
        <v>102</v>
      </c>
      <c r="C109" s="43">
        <f t="shared" si="15"/>
        <v>1.2047669872133288E-3</v>
      </c>
      <c r="D109" s="43">
        <f t="shared" si="15"/>
        <v>2.4440375274965566E-4</v>
      </c>
      <c r="E109" s="43">
        <f t="shared" si="15"/>
        <v>6.1918171831734994E-3</v>
      </c>
      <c r="F109" s="43">
        <f t="shared" si="15"/>
        <v>8.9184536562716239E-4</v>
      </c>
      <c r="G109" s="43">
        <f t="shared" si="15"/>
        <v>1.6722214820829831E-3</v>
      </c>
      <c r="H109" s="43">
        <v>0</v>
      </c>
      <c r="I109" s="43">
        <f t="shared" si="16"/>
        <v>2.2764417304822392E-2</v>
      </c>
      <c r="J109" s="43">
        <f>J$112*Europe!J33/(Europe!J$36-Europe!J$32)</f>
        <v>4.7898430803860175E-3</v>
      </c>
      <c r="K109" s="43">
        <f>K$112*Europe!K33/(Europe!K$36-Europe!K$32)</f>
        <v>8.6191431720701855E-3</v>
      </c>
      <c r="L109" s="43">
        <f t="shared" si="17"/>
        <v>4.6378458328125226E-2</v>
      </c>
      <c r="M109" s="189"/>
      <c r="N109" s="189"/>
    </row>
    <row r="110" spans="2:18" x14ac:dyDescent="0.2">
      <c r="B110" s="41" t="s">
        <v>53</v>
      </c>
      <c r="C110" s="43">
        <f t="shared" si="15"/>
        <v>7.0647128228428516E-2</v>
      </c>
      <c r="D110" s="43">
        <f t="shared" si="15"/>
        <v>2.902723342415757E-2</v>
      </c>
      <c r="E110" s="43">
        <f t="shared" si="15"/>
        <v>4.435986015761325E-2</v>
      </c>
      <c r="F110" s="43">
        <f t="shared" si="15"/>
        <v>2.0963896136782796E-2</v>
      </c>
      <c r="G110" s="43">
        <f t="shared" si="15"/>
        <v>8.3038038705304518E-3</v>
      </c>
      <c r="H110" s="43">
        <v>0</v>
      </c>
      <c r="I110" s="43">
        <f t="shared" si="16"/>
        <v>3.61422928506939E-3</v>
      </c>
      <c r="J110" s="43">
        <f>J$112*Europe!J34/(Europe!J$36-Europe!J$32)</f>
        <v>4.5617553146533509E-3</v>
      </c>
      <c r="K110" s="43">
        <f>K$112*Europe!K34/(Europe!K$36-Europe!K$32)</f>
        <v>5.4803800516053216E-3</v>
      </c>
      <c r="L110" s="43">
        <f t="shared" si="17"/>
        <v>0.18695828646884063</v>
      </c>
      <c r="M110" s="189"/>
      <c r="N110" s="189"/>
    </row>
    <row r="111" spans="2:18" x14ac:dyDescent="0.2">
      <c r="B111" s="41" t="s">
        <v>55</v>
      </c>
      <c r="C111" s="43">
        <f t="shared" si="15"/>
        <v>6.8556631702852786E-3</v>
      </c>
      <c r="D111" s="43">
        <f t="shared" si="15"/>
        <v>3.2812275752925261E-3</v>
      </c>
      <c r="E111" s="43">
        <f t="shared" si="15"/>
        <v>9.9201669494292828E-3</v>
      </c>
      <c r="F111" s="43">
        <f t="shared" si="15"/>
        <v>3.61966552002005E-4</v>
      </c>
      <c r="G111" s="43">
        <f t="shared" si="15"/>
        <v>4.9272361946110744E-3</v>
      </c>
      <c r="H111" s="43">
        <v>0</v>
      </c>
      <c r="I111" s="43">
        <f>I112*(D34+D35)</f>
        <v>1.5346418149303511E-2</v>
      </c>
      <c r="J111" s="43">
        <f>J$112*Europe!J35/(Europe!J$36-Europe!J$32)</f>
        <v>1.1176300520900712E-2</v>
      </c>
      <c r="K111" s="43">
        <f>K$112*Europe!K35/(Europe!K$36-Europe!K$32)</f>
        <v>2.0111334068163768E-2</v>
      </c>
      <c r="L111" s="43">
        <f t="shared" si="17"/>
        <v>7.1980313179988153E-2</v>
      </c>
      <c r="M111" s="189"/>
      <c r="N111" s="189"/>
    </row>
    <row r="112" spans="2:18" x14ac:dyDescent="0.2">
      <c r="B112" s="41" t="s">
        <v>38</v>
      </c>
      <c r="C112" s="43">
        <f>C118</f>
        <v>0.24544323039864091</v>
      </c>
      <c r="D112" s="43">
        <f t="shared" ref="D112:K112" si="18">D118</f>
        <v>0.16397991084704311</v>
      </c>
      <c r="E112" s="43">
        <f t="shared" si="18"/>
        <v>0.14745038862662957</v>
      </c>
      <c r="F112" s="43">
        <f t="shared" si="18"/>
        <v>4.5046737396649529E-2</v>
      </c>
      <c r="G112" s="43">
        <f t="shared" si="18"/>
        <v>9.6263001122276495E-2</v>
      </c>
      <c r="H112" s="43">
        <f t="shared" si="18"/>
        <v>6.6421355491745021E-2</v>
      </c>
      <c r="I112" s="43">
        <f t="shared" si="18"/>
        <v>9.3704868148126549E-2</v>
      </c>
      <c r="J112" s="43">
        <f t="shared" si="18"/>
        <v>8.4229553488420802E-2</v>
      </c>
      <c r="K112" s="43">
        <f t="shared" si="18"/>
        <v>5.746095448046791E-2</v>
      </c>
      <c r="L112" s="43">
        <f>SUM(L105:L111)</f>
        <v>1</v>
      </c>
      <c r="M112" s="189"/>
      <c r="N112" s="189"/>
    </row>
    <row r="113" spans="2:14" x14ac:dyDescent="0.2">
      <c r="B113" s="17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49"/>
      <c r="N113" s="49"/>
    </row>
    <row r="114" spans="2:14" x14ac:dyDescent="0.2">
      <c r="B114" s="179" t="s">
        <v>131</v>
      </c>
      <c r="C114" s="179"/>
      <c r="D114" s="179"/>
      <c r="E114" s="179"/>
      <c r="F114" s="179"/>
      <c r="G114" s="179"/>
      <c r="H114" s="179"/>
      <c r="I114" s="179"/>
      <c r="J114" s="179"/>
      <c r="K114" s="179"/>
    </row>
    <row r="115" spans="2:14" x14ac:dyDescent="0.2">
      <c r="B115" s="49" t="s">
        <v>132</v>
      </c>
      <c r="C115" s="41" t="s">
        <v>86</v>
      </c>
      <c r="D115" s="41" t="s">
        <v>133</v>
      </c>
      <c r="E115" s="41" t="s">
        <v>134</v>
      </c>
      <c r="F115" s="41" t="s">
        <v>135</v>
      </c>
      <c r="G115" s="41" t="s">
        <v>136</v>
      </c>
      <c r="H115" s="41" t="s">
        <v>137</v>
      </c>
      <c r="I115" s="41" t="s">
        <v>138</v>
      </c>
      <c r="J115" s="41" t="s">
        <v>139</v>
      </c>
      <c r="K115" s="41" t="s">
        <v>94</v>
      </c>
    </row>
    <row r="116" spans="2:14" x14ac:dyDescent="0.2">
      <c r="B116" s="49" t="s">
        <v>140</v>
      </c>
      <c r="C116" s="51">
        <f t="shared" ref="C116:J116" si="19">C121-C168</f>
        <v>25925.8440561467</v>
      </c>
      <c r="D116" s="51">
        <f t="shared" si="19"/>
        <v>17320.981271540579</v>
      </c>
      <c r="E116" s="51">
        <f t="shared" si="19"/>
        <v>15574.989684349399</v>
      </c>
      <c r="F116" s="51">
        <f t="shared" si="19"/>
        <v>4758.2273387084397</v>
      </c>
      <c r="G116" s="51">
        <f t="shared" si="19"/>
        <v>10168.1335900745</v>
      </c>
      <c r="H116" s="51">
        <f t="shared" si="19"/>
        <v>7016</v>
      </c>
      <c r="I116" s="51">
        <f t="shared" si="19"/>
        <v>9897.9213847715437</v>
      </c>
      <c r="J116" s="51">
        <f t="shared" si="19"/>
        <v>8897.0564195758598</v>
      </c>
      <c r="K116" s="46">
        <f>K121-K168</f>
        <v>6069.5246829924554</v>
      </c>
    </row>
    <row r="117" spans="2:14" x14ac:dyDescent="0.2">
      <c r="B117" s="41" t="s">
        <v>141</v>
      </c>
      <c r="C117" s="52">
        <f>C116/2204.62</f>
        <v>11.759779035002268</v>
      </c>
      <c r="D117" s="52">
        <f t="shared" ref="D117:K117" si="20">D116/2204.62</f>
        <v>7.8566742892383177</v>
      </c>
      <c r="E117" s="52">
        <f t="shared" si="20"/>
        <v>7.0647048853541197</v>
      </c>
      <c r="F117" s="52">
        <f t="shared" si="20"/>
        <v>2.1582981823209622</v>
      </c>
      <c r="G117" s="52">
        <f t="shared" si="20"/>
        <v>4.6121932986521488</v>
      </c>
      <c r="H117" s="52">
        <f t="shared" si="20"/>
        <v>3.1824078526004485</v>
      </c>
      <c r="I117" s="52">
        <f t="shared" si="20"/>
        <v>4.4896269582837602</v>
      </c>
      <c r="J117" s="52">
        <f t="shared" si="20"/>
        <v>4.03564170676845</v>
      </c>
      <c r="K117" s="52">
        <f t="shared" si="20"/>
        <v>2.7530933598499767</v>
      </c>
    </row>
    <row r="118" spans="2:14" x14ac:dyDescent="0.2">
      <c r="B118" s="41" t="s">
        <v>142</v>
      </c>
      <c r="C118" s="47">
        <f>C116/SUM($C116:$K116)</f>
        <v>0.24544323039864091</v>
      </c>
      <c r="D118" s="47">
        <f t="shared" ref="D118:K118" si="21">D116/SUM($C116:$K116)</f>
        <v>0.16397991084704311</v>
      </c>
      <c r="E118" s="47">
        <f t="shared" si="21"/>
        <v>0.14745038862662957</v>
      </c>
      <c r="F118" s="47">
        <f t="shared" si="21"/>
        <v>4.5046737396649529E-2</v>
      </c>
      <c r="G118" s="47">
        <f t="shared" si="21"/>
        <v>9.6263001122276495E-2</v>
      </c>
      <c r="H118" s="47">
        <f t="shared" si="21"/>
        <v>6.6421355491745021E-2</v>
      </c>
      <c r="I118" s="47">
        <f t="shared" si="21"/>
        <v>9.3704868148126549E-2</v>
      </c>
      <c r="J118" s="47">
        <f t="shared" si="21"/>
        <v>8.4229553488420802E-2</v>
      </c>
      <c r="K118" s="47">
        <f t="shared" si="21"/>
        <v>5.746095448046791E-2</v>
      </c>
    </row>
    <row r="119" spans="2:14" x14ac:dyDescent="0.2">
      <c r="B119" s="179" t="s">
        <v>143</v>
      </c>
      <c r="C119" s="179"/>
      <c r="D119" s="179"/>
      <c r="E119" s="179"/>
      <c r="F119" s="179"/>
      <c r="G119" s="179"/>
      <c r="H119" s="179"/>
      <c r="I119" s="179"/>
      <c r="J119" s="179"/>
      <c r="K119" s="179"/>
    </row>
    <row r="120" spans="2:14" x14ac:dyDescent="0.2">
      <c r="B120" s="49" t="s">
        <v>132</v>
      </c>
      <c r="C120" s="41" t="s">
        <v>86</v>
      </c>
      <c r="D120" s="41" t="s">
        <v>133</v>
      </c>
      <c r="E120" s="41" t="s">
        <v>134</v>
      </c>
      <c r="F120" s="41" t="s">
        <v>135</v>
      </c>
      <c r="G120" s="41" t="s">
        <v>136</v>
      </c>
      <c r="H120" s="41" t="s">
        <v>137</v>
      </c>
      <c r="I120" s="41" t="s">
        <v>138</v>
      </c>
      <c r="J120" s="41" t="s">
        <v>139</v>
      </c>
      <c r="K120" s="41" t="s">
        <v>94</v>
      </c>
    </row>
    <row r="121" spans="2:14" x14ac:dyDescent="0.2">
      <c r="B121" s="49" t="s">
        <v>140</v>
      </c>
      <c r="C121" s="51">
        <f>7748+22849</f>
        <v>30597</v>
      </c>
      <c r="D121" s="51">
        <f>22843</f>
        <v>22843</v>
      </c>
      <c r="E121" s="51">
        <f>17641</f>
        <v>17641</v>
      </c>
      <c r="F121" s="51">
        <f>3665+958</f>
        <v>4623</v>
      </c>
      <c r="G121" s="51">
        <f>15341</f>
        <v>15341</v>
      </c>
      <c r="H121" s="51">
        <f>B64</f>
        <v>7016</v>
      </c>
      <c r="I121" s="51">
        <f>B19*2204.62</f>
        <v>10121.056501953884</v>
      </c>
      <c r="J121" s="51">
        <f>C128-B64</f>
        <v>10256.48</v>
      </c>
      <c r="K121" s="46">
        <f>K122*2204.62</f>
        <v>6616.9434980461156</v>
      </c>
    </row>
    <row r="122" spans="2:14" x14ac:dyDescent="0.2">
      <c r="B122" s="41" t="s">
        <v>141</v>
      </c>
      <c r="C122" s="52">
        <f>C121/2204.62</f>
        <v>13.878582250002269</v>
      </c>
      <c r="D122" s="52">
        <f t="shared" ref="D122:J122" si="22">D121/2204.62</f>
        <v>10.361422830238318</v>
      </c>
      <c r="E122" s="52">
        <f t="shared" si="22"/>
        <v>8.0018325153541205</v>
      </c>
      <c r="F122" s="52">
        <f t="shared" si="22"/>
        <v>2.0969600203209624</v>
      </c>
      <c r="G122" s="52">
        <f t="shared" si="22"/>
        <v>6.9585688236521488</v>
      </c>
      <c r="H122" s="52">
        <f t="shared" si="22"/>
        <v>3.1824078526004485</v>
      </c>
      <c r="I122" s="52">
        <f t="shared" si="22"/>
        <v>4.5908394652837607</v>
      </c>
      <c r="J122" s="52">
        <f t="shared" si="22"/>
        <v>4.6522666037684504</v>
      </c>
      <c r="K122" s="48">
        <f>C196-I122</f>
        <v>3.0013986528499768</v>
      </c>
    </row>
    <row r="123" spans="2:14" x14ac:dyDescent="0.2"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</row>
    <row r="124" spans="2:14" x14ac:dyDescent="0.2"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</row>
    <row r="125" spans="2:14" x14ac:dyDescent="0.2"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</row>
    <row r="126" spans="2:14" x14ac:dyDescent="0.2"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</row>
    <row r="127" spans="2:14" x14ac:dyDescent="0.2">
      <c r="B127" s="179" t="s">
        <v>144</v>
      </c>
      <c r="C127" s="179"/>
      <c r="D127" s="179"/>
      <c r="E127" s="179"/>
      <c r="F127" s="179"/>
      <c r="G127" s="179"/>
      <c r="H127" s="179"/>
    </row>
    <row r="128" spans="2:14" x14ac:dyDescent="0.2">
      <c r="B128" s="41" t="s">
        <v>140</v>
      </c>
      <c r="C128" s="183">
        <f>107953*16%</f>
        <v>17272.48</v>
      </c>
      <c r="D128" s="183"/>
      <c r="E128" s="183"/>
      <c r="F128" s="183"/>
      <c r="G128" s="183"/>
      <c r="H128" s="183"/>
    </row>
    <row r="129" spans="2:8" x14ac:dyDescent="0.2">
      <c r="B129" s="41" t="s">
        <v>141</v>
      </c>
      <c r="C129" s="180">
        <f>C128/2204.62</f>
        <v>7.8346744563688979</v>
      </c>
      <c r="D129" s="180"/>
      <c r="E129" s="180"/>
      <c r="F129" s="180"/>
      <c r="G129" s="180"/>
      <c r="H129" s="180"/>
    </row>
    <row r="130" spans="2:8" x14ac:dyDescent="0.2">
      <c r="B130" s="178"/>
      <c r="C130" s="178"/>
      <c r="D130" s="178"/>
      <c r="E130" s="178"/>
      <c r="F130" s="178"/>
      <c r="G130" s="178"/>
      <c r="H130" s="178"/>
    </row>
    <row r="131" spans="2:8" x14ac:dyDescent="0.2">
      <c r="B131" s="179" t="s">
        <v>145</v>
      </c>
      <c r="C131" s="179"/>
      <c r="D131" s="179"/>
      <c r="E131" s="179"/>
      <c r="F131" s="179"/>
      <c r="G131" s="179"/>
      <c r="H131" s="179"/>
    </row>
    <row r="132" spans="2:8" x14ac:dyDescent="0.2">
      <c r="B132" s="41" t="s">
        <v>24</v>
      </c>
      <c r="C132" s="41" t="s">
        <v>86</v>
      </c>
      <c r="D132" s="41" t="s">
        <v>133</v>
      </c>
      <c r="E132" s="41" t="s">
        <v>134</v>
      </c>
      <c r="F132" s="41" t="s">
        <v>135</v>
      </c>
      <c r="G132" s="41" t="s">
        <v>136</v>
      </c>
      <c r="H132" s="41" t="s">
        <v>38</v>
      </c>
    </row>
    <row r="133" spans="2:8" x14ac:dyDescent="0.2">
      <c r="B133" s="41" t="s">
        <v>39</v>
      </c>
      <c r="C133" s="43">
        <f>C143</f>
        <v>2.2595022904543772E-4</v>
      </c>
      <c r="D133" s="43">
        <f>D143</f>
        <v>9.5038380586851563E-3</v>
      </c>
      <c r="E133" s="43">
        <f>E143</f>
        <v>2.6535223474062154E-2</v>
      </c>
      <c r="F133" s="43">
        <f>F143</f>
        <v>0</v>
      </c>
      <c r="G133" s="43">
        <f>G143</f>
        <v>4.1150798563823199E-3</v>
      </c>
      <c r="H133" s="43">
        <f>SUM(C133:G133)</f>
        <v>4.0380091618175067E-2</v>
      </c>
    </row>
    <row r="134" spans="2:8" x14ac:dyDescent="0.2">
      <c r="B134" s="41" t="s">
        <v>40</v>
      </c>
      <c r="C134" s="43">
        <f t="shared" ref="C134:G138" si="23">C144</f>
        <v>0.15620744088151542</v>
      </c>
      <c r="D134" s="43">
        <f t="shared" si="23"/>
        <v>0.1309660146093847</v>
      </c>
      <c r="E134" s="43">
        <f t="shared" si="23"/>
        <v>0.10848241921505511</v>
      </c>
      <c r="F134" s="43">
        <f t="shared" si="23"/>
        <v>2.0304568527918784E-2</v>
      </c>
      <c r="G134" s="43">
        <f t="shared" si="23"/>
        <v>1.2075956419462672E-2</v>
      </c>
      <c r="H134" s="43">
        <f t="shared" ref="H134:H139" si="24">SUM(C134:G134)</f>
        <v>0.42803639965333667</v>
      </c>
    </row>
    <row r="135" spans="2:8" x14ac:dyDescent="0.2">
      <c r="B135" s="41" t="s">
        <v>41</v>
      </c>
      <c r="C135" s="43">
        <f t="shared" si="23"/>
        <v>1.5723659774668816E-2</v>
      </c>
      <c r="D135" s="43">
        <f t="shared" si="23"/>
        <v>4.8323944533861588E-2</v>
      </c>
      <c r="E135" s="43">
        <f t="shared" si="23"/>
        <v>1.089203912343692E-2</v>
      </c>
      <c r="F135" s="43">
        <f t="shared" si="23"/>
        <v>8.6077751640460578E-3</v>
      </c>
      <c r="G135" s="43">
        <f t="shared" si="23"/>
        <v>0.12013587965828898</v>
      </c>
      <c r="H135" s="43">
        <f t="shared" si="24"/>
        <v>0.20368329825430237</v>
      </c>
    </row>
    <row r="136" spans="2:8" x14ac:dyDescent="0.2">
      <c r="B136" s="41" t="s">
        <v>42</v>
      </c>
      <c r="C136" s="43">
        <f t="shared" si="23"/>
        <v>4.9724526433081598E-3</v>
      </c>
      <c r="D136" s="43">
        <f t="shared" si="23"/>
        <v>9.5177664974619304E-4</v>
      </c>
      <c r="E136" s="43">
        <f t="shared" si="23"/>
        <v>8.3988485823944543E-3</v>
      </c>
      <c r="F136" s="43">
        <f t="shared" si="23"/>
        <v>6.2260121332177801E-3</v>
      </c>
      <c r="G136" s="43">
        <f t="shared" si="23"/>
        <v>8.6944410053237595E-3</v>
      </c>
      <c r="H136" s="43">
        <f t="shared" si="24"/>
        <v>2.9243531013990347E-2</v>
      </c>
    </row>
    <row r="137" spans="2:8" x14ac:dyDescent="0.2">
      <c r="B137" s="41" t="s">
        <v>102</v>
      </c>
      <c r="C137" s="43">
        <f>C147</f>
        <v>1.2798687631546369E-3</v>
      </c>
      <c r="D137" s="43">
        <f t="shared" si="23"/>
        <v>3.5285378234493008E-4</v>
      </c>
      <c r="E137" s="43">
        <f t="shared" si="23"/>
        <v>1.0984895381948743E-2</v>
      </c>
      <c r="F137" s="43">
        <f t="shared" si="23"/>
        <v>1.3727250216664605E-3</v>
      </c>
      <c r="G137" s="43">
        <f t="shared" si="23"/>
        <v>2.9806858982295409E-3</v>
      </c>
      <c r="H137" s="43">
        <f t="shared" si="24"/>
        <v>1.6971028847344312E-2</v>
      </c>
    </row>
    <row r="138" spans="2:8" x14ac:dyDescent="0.2">
      <c r="B138" s="41" t="s">
        <v>53</v>
      </c>
      <c r="C138" s="43">
        <f>C148</f>
        <v>7.5051070942181511E-2</v>
      </c>
      <c r="D138" s="43">
        <f t="shared" si="23"/>
        <v>4.190757707069457E-2</v>
      </c>
      <c r="E138" s="43">
        <f t="shared" si="23"/>
        <v>7.8698774297387655E-2</v>
      </c>
      <c r="F138" s="43">
        <f t="shared" si="23"/>
        <v>3.226754983285874E-2</v>
      </c>
      <c r="G138" s="43">
        <f t="shared" si="23"/>
        <v>1.4801287606784699E-2</v>
      </c>
      <c r="H138" s="43">
        <f t="shared" si="24"/>
        <v>0.24272625974990716</v>
      </c>
    </row>
    <row r="139" spans="2:8" x14ac:dyDescent="0.2">
      <c r="B139" s="41" t="s">
        <v>45</v>
      </c>
      <c r="C139" s="43">
        <f>C149+C150+C151</f>
        <v>7.2830258759440398E-3</v>
      </c>
      <c r="D139" s="43">
        <f>D149+D150+D151</f>
        <v>4.737216788411539E-3</v>
      </c>
      <c r="E139" s="43">
        <f>E149+E150+E151</f>
        <v>1.7599356196607654E-2</v>
      </c>
      <c r="F139" s="43">
        <f>F149+F150+F151</f>
        <v>5.5713755107094222E-4</v>
      </c>
      <c r="G139" s="43">
        <f>G149+G150+G151</f>
        <v>8.7826544509099925E-3</v>
      </c>
      <c r="H139" s="43">
        <f t="shared" si="24"/>
        <v>3.8959390862944164E-2</v>
      </c>
    </row>
    <row r="140" spans="2:8" x14ac:dyDescent="0.2">
      <c r="B140" s="41" t="s">
        <v>38</v>
      </c>
      <c r="C140" s="43">
        <f>SUM(C133:C139)</f>
        <v>0.26074346910981799</v>
      </c>
      <c r="D140" s="43">
        <f>SUM(D133:D139)</f>
        <v>0.23674322149312868</v>
      </c>
      <c r="E140" s="43">
        <f>SUM(E133:E139)</f>
        <v>0.26159155627089264</v>
      </c>
      <c r="F140" s="43">
        <f>SUM(F133:F139)</f>
        <v>6.9335768230778763E-2</v>
      </c>
      <c r="G140" s="43">
        <f>SUM(G133:G139)</f>
        <v>0.17158598489538199</v>
      </c>
      <c r="H140" s="43">
        <f>SUM(C140:G140)</f>
        <v>1</v>
      </c>
    </row>
    <row r="141" spans="2:8" x14ac:dyDescent="0.2">
      <c r="B141" s="179" t="s">
        <v>146</v>
      </c>
      <c r="C141" s="179"/>
      <c r="D141" s="179"/>
      <c r="E141" s="179"/>
      <c r="F141" s="179"/>
      <c r="G141" s="179"/>
      <c r="H141" s="179"/>
    </row>
    <row r="142" spans="2:8" x14ac:dyDescent="0.2">
      <c r="B142" s="41" t="s">
        <v>24</v>
      </c>
      <c r="C142" s="41" t="s">
        <v>86</v>
      </c>
      <c r="D142" s="41" t="s">
        <v>133</v>
      </c>
      <c r="E142" s="41" t="s">
        <v>134</v>
      </c>
      <c r="F142" s="41" t="s">
        <v>135</v>
      </c>
      <c r="G142" s="41" t="s">
        <v>136</v>
      </c>
      <c r="H142" s="41" t="s">
        <v>38</v>
      </c>
    </row>
    <row r="143" spans="2:8" x14ac:dyDescent="0.2">
      <c r="B143" s="41" t="s">
        <v>147</v>
      </c>
      <c r="C143" s="43">
        <f>C155/SUM($C$155:$G$163)</f>
        <v>2.2595022904543772E-4</v>
      </c>
      <c r="D143" s="43">
        <f>D155/SUM($C$155:$G$163)</f>
        <v>9.5038380586851563E-3</v>
      </c>
      <c r="E143" s="43">
        <f>E155/SUM($C$155:$G$163)</f>
        <v>2.6535223474062154E-2</v>
      </c>
      <c r="F143" s="43">
        <f>F155/SUM($C$155:$G$163)</f>
        <v>0</v>
      </c>
      <c r="G143" s="43">
        <f>G155/SUM($C$155:$G$163)</f>
        <v>4.1150798563823199E-3</v>
      </c>
      <c r="H143" s="43">
        <f>SUM(C143:G143)</f>
        <v>4.0380091618175067E-2</v>
      </c>
    </row>
    <row r="144" spans="2:8" x14ac:dyDescent="0.2">
      <c r="B144" s="41" t="s">
        <v>148</v>
      </c>
      <c r="C144" s="43">
        <f t="shared" ref="C144:G151" si="25">C156/SUM($C$155:$G$163)</f>
        <v>0.15620744088151542</v>
      </c>
      <c r="D144" s="43">
        <f t="shared" si="25"/>
        <v>0.1309660146093847</v>
      </c>
      <c r="E144" s="43">
        <f t="shared" si="25"/>
        <v>0.10848241921505511</v>
      </c>
      <c r="F144" s="43">
        <f t="shared" si="25"/>
        <v>2.0304568527918784E-2</v>
      </c>
      <c r="G144" s="43">
        <f t="shared" si="25"/>
        <v>1.2075956419462672E-2</v>
      </c>
      <c r="H144" s="43">
        <f t="shared" ref="H144:H152" si="26">SUM(C144:G144)</f>
        <v>0.42803639965333667</v>
      </c>
    </row>
    <row r="145" spans="2:9" x14ac:dyDescent="0.2">
      <c r="B145" s="41" t="s">
        <v>149</v>
      </c>
      <c r="C145" s="43">
        <f t="shared" si="25"/>
        <v>1.5723659774668816E-2</v>
      </c>
      <c r="D145" s="43">
        <f t="shared" si="25"/>
        <v>4.8323944533861588E-2</v>
      </c>
      <c r="E145" s="43">
        <f t="shared" si="25"/>
        <v>1.089203912343692E-2</v>
      </c>
      <c r="F145" s="43">
        <f t="shared" si="25"/>
        <v>8.6077751640460578E-3</v>
      </c>
      <c r="G145" s="43">
        <f t="shared" si="25"/>
        <v>0.12013587965828898</v>
      </c>
      <c r="H145" s="43">
        <f t="shared" si="26"/>
        <v>0.20368329825430237</v>
      </c>
    </row>
    <row r="146" spans="2:9" x14ac:dyDescent="0.2">
      <c r="B146" s="41" t="s">
        <v>50</v>
      </c>
      <c r="C146" s="43">
        <f t="shared" si="25"/>
        <v>4.9724526433081598E-3</v>
      </c>
      <c r="D146" s="43">
        <f t="shared" si="25"/>
        <v>9.5177664974619304E-4</v>
      </c>
      <c r="E146" s="43">
        <f t="shared" si="25"/>
        <v>8.3988485823944543E-3</v>
      </c>
      <c r="F146" s="43">
        <f t="shared" si="25"/>
        <v>6.2260121332177801E-3</v>
      </c>
      <c r="G146" s="43">
        <f t="shared" si="25"/>
        <v>8.6944410053237595E-3</v>
      </c>
      <c r="H146" s="43">
        <f t="shared" si="26"/>
        <v>2.9243531013990347E-2</v>
      </c>
    </row>
    <row r="147" spans="2:9" x14ac:dyDescent="0.2">
      <c r="B147" s="41" t="s">
        <v>102</v>
      </c>
      <c r="C147" s="43">
        <f t="shared" si="25"/>
        <v>1.2798687631546369E-3</v>
      </c>
      <c r="D147" s="43">
        <f t="shared" si="25"/>
        <v>3.5285378234493008E-4</v>
      </c>
      <c r="E147" s="43">
        <f t="shared" si="25"/>
        <v>1.0984895381948743E-2</v>
      </c>
      <c r="F147" s="43">
        <f t="shared" si="25"/>
        <v>1.3727250216664605E-3</v>
      </c>
      <c r="G147" s="43">
        <f t="shared" si="25"/>
        <v>2.9806858982295409E-3</v>
      </c>
      <c r="H147" s="43">
        <f t="shared" si="26"/>
        <v>1.6971028847344312E-2</v>
      </c>
    </row>
    <row r="148" spans="2:9" x14ac:dyDescent="0.2">
      <c r="B148" s="41" t="s">
        <v>150</v>
      </c>
      <c r="C148" s="43">
        <f t="shared" si="25"/>
        <v>7.5051070942181511E-2</v>
      </c>
      <c r="D148" s="43">
        <f t="shared" si="25"/>
        <v>4.190757707069457E-2</v>
      </c>
      <c r="E148" s="43">
        <f t="shared" si="25"/>
        <v>7.8698774297387655E-2</v>
      </c>
      <c r="F148" s="43">
        <f t="shared" si="25"/>
        <v>3.226754983285874E-2</v>
      </c>
      <c r="G148" s="43">
        <f t="shared" si="25"/>
        <v>1.4801287606784699E-2</v>
      </c>
      <c r="H148" s="43">
        <f t="shared" si="26"/>
        <v>0.24272625974990716</v>
      </c>
    </row>
    <row r="149" spans="2:9" x14ac:dyDescent="0.2">
      <c r="B149" s="41" t="s">
        <v>151</v>
      </c>
      <c r="C149" s="43">
        <f t="shared" si="25"/>
        <v>4.1522223597870505E-3</v>
      </c>
      <c r="D149" s="43">
        <f t="shared" si="25"/>
        <v>3.9154389005818992E-3</v>
      </c>
      <c r="E149" s="43">
        <f t="shared" si="25"/>
        <v>5.6719697907638977E-3</v>
      </c>
      <c r="F149" s="43">
        <f t="shared" si="25"/>
        <v>0</v>
      </c>
      <c r="G149" s="43">
        <f t="shared" si="25"/>
        <v>1.197845734802526E-3</v>
      </c>
      <c r="H149" s="43">
        <f t="shared" si="26"/>
        <v>1.4937476785935372E-2</v>
      </c>
    </row>
    <row r="150" spans="2:9" x14ac:dyDescent="0.2">
      <c r="B150" s="41" t="s">
        <v>152</v>
      </c>
      <c r="C150" s="43">
        <f t="shared" si="25"/>
        <v>2.9265197474309772E-3</v>
      </c>
      <c r="D150" s="43">
        <f t="shared" si="25"/>
        <v>0</v>
      </c>
      <c r="E150" s="43">
        <f t="shared" si="25"/>
        <v>0</v>
      </c>
      <c r="F150" s="43">
        <f t="shared" si="25"/>
        <v>0</v>
      </c>
      <c r="G150" s="43">
        <f t="shared" si="25"/>
        <v>1.4222483595394333E-3</v>
      </c>
      <c r="H150" s="43">
        <f t="shared" si="26"/>
        <v>4.3487681069704102E-3</v>
      </c>
    </row>
    <row r="151" spans="2:9" x14ac:dyDescent="0.2">
      <c r="B151" s="41" t="s">
        <v>153</v>
      </c>
      <c r="C151" s="43">
        <f t="shared" si="25"/>
        <v>2.0428376872601214E-4</v>
      </c>
      <c r="D151" s="43">
        <f t="shared" si="25"/>
        <v>8.2177788782963987E-4</v>
      </c>
      <c r="E151" s="43">
        <f t="shared" si="25"/>
        <v>1.1927386405843756E-2</v>
      </c>
      <c r="F151" s="43">
        <f t="shared" si="25"/>
        <v>5.5713755107094222E-4</v>
      </c>
      <c r="G151" s="43">
        <f t="shared" si="25"/>
        <v>6.162560356568033E-3</v>
      </c>
      <c r="H151" s="43">
        <f t="shared" si="26"/>
        <v>1.9673145970038382E-2</v>
      </c>
    </row>
    <row r="152" spans="2:9" x14ac:dyDescent="0.2">
      <c r="B152" s="41" t="s">
        <v>38</v>
      </c>
      <c r="C152" s="43">
        <f>SUM(C143:C151)</f>
        <v>0.26074346910981799</v>
      </c>
      <c r="D152" s="43">
        <f>SUM(D143:D151)</f>
        <v>0.23674322149312868</v>
      </c>
      <c r="E152" s="43">
        <f>SUM(E143:E151)</f>
        <v>0.26159155627089264</v>
      </c>
      <c r="F152" s="43">
        <f>SUM(F143:F151)</f>
        <v>6.9335768230778763E-2</v>
      </c>
      <c r="G152" s="43">
        <f>SUM(G143:G151)</f>
        <v>0.17158598489538199</v>
      </c>
      <c r="H152" s="43">
        <f t="shared" si="26"/>
        <v>1</v>
      </c>
    </row>
    <row r="153" spans="2:9" x14ac:dyDescent="0.2">
      <c r="B153" s="179" t="s">
        <v>154</v>
      </c>
      <c r="C153" s="179"/>
      <c r="D153" s="179"/>
      <c r="E153" s="179"/>
      <c r="F153" s="179"/>
      <c r="G153" s="179"/>
      <c r="H153" s="41"/>
      <c r="I153" s="41"/>
    </row>
    <row r="154" spans="2:9" x14ac:dyDescent="0.2">
      <c r="B154" s="41" t="s">
        <v>24</v>
      </c>
      <c r="C154" s="41" t="s">
        <v>86</v>
      </c>
      <c r="D154" s="41" t="s">
        <v>133</v>
      </c>
      <c r="E154" s="41" t="s">
        <v>134</v>
      </c>
      <c r="F154" s="41" t="s">
        <v>135</v>
      </c>
      <c r="G154" s="41" t="s">
        <v>136</v>
      </c>
      <c r="H154" s="41"/>
    </row>
    <row r="155" spans="2:9" x14ac:dyDescent="0.2">
      <c r="B155" s="41" t="s">
        <v>147</v>
      </c>
      <c r="C155" s="42">
        <f>7.4+7.2</f>
        <v>14.600000000000001</v>
      </c>
      <c r="D155" s="42">
        <v>614.1</v>
      </c>
      <c r="E155" s="42">
        <v>1714.6</v>
      </c>
      <c r="F155" s="42">
        <v>0</v>
      </c>
      <c r="G155" s="42">
        <v>265.89999999999998</v>
      </c>
    </row>
    <row r="156" spans="2:9" x14ac:dyDescent="0.2">
      <c r="B156" s="41" t="s">
        <v>148</v>
      </c>
      <c r="C156" s="42">
        <f>3198.7+6894.8</f>
        <v>10093.5</v>
      </c>
      <c r="D156" s="42">
        <v>8462.5</v>
      </c>
      <c r="E156" s="42">
        <v>7009.7</v>
      </c>
      <c r="F156" s="42">
        <f>1102.9+209.1</f>
        <v>1312</v>
      </c>
      <c r="G156" s="42">
        <v>780.3</v>
      </c>
    </row>
    <row r="157" spans="2:9" x14ac:dyDescent="0.2">
      <c r="B157" s="41" t="s">
        <v>149</v>
      </c>
      <c r="C157" s="42">
        <f>460.8+555.2</f>
        <v>1016</v>
      </c>
      <c r="D157" s="42">
        <v>3122.5</v>
      </c>
      <c r="E157" s="42">
        <v>703.8</v>
      </c>
      <c r="F157" s="42">
        <f>89.1+467.1</f>
        <v>556.20000000000005</v>
      </c>
      <c r="G157" s="42">
        <v>7762.7</v>
      </c>
    </row>
    <row r="158" spans="2:9" x14ac:dyDescent="0.2">
      <c r="B158" s="41" t="s">
        <v>50</v>
      </c>
      <c r="C158" s="42">
        <f>116.3+205</f>
        <v>321.3</v>
      </c>
      <c r="D158" s="42">
        <v>61.5</v>
      </c>
      <c r="E158" s="42">
        <v>542.70000000000005</v>
      </c>
      <c r="F158" s="42">
        <f>402.3</f>
        <v>402.3</v>
      </c>
      <c r="G158" s="42">
        <v>561.79999999999995</v>
      </c>
    </row>
    <row r="159" spans="2:9" x14ac:dyDescent="0.2">
      <c r="B159" s="41" t="s">
        <v>102</v>
      </c>
      <c r="C159" s="42">
        <f>75.7+7</f>
        <v>82.7</v>
      </c>
      <c r="D159" s="42">
        <v>22.8</v>
      </c>
      <c r="E159" s="42">
        <v>709.8</v>
      </c>
      <c r="F159" s="42">
        <f>74.7+14</f>
        <v>88.7</v>
      </c>
      <c r="G159" s="42">
        <v>192.6</v>
      </c>
    </row>
    <row r="160" spans="2:9" x14ac:dyDescent="0.2">
      <c r="B160" s="41" t="s">
        <v>150</v>
      </c>
      <c r="C160" s="42">
        <f>824.8+4024.7</f>
        <v>4849.5</v>
      </c>
      <c r="D160" s="42">
        <v>2707.9</v>
      </c>
      <c r="E160" s="42">
        <v>5085.2</v>
      </c>
      <c r="F160" s="42">
        <f>1833.6+251.4</f>
        <v>2085</v>
      </c>
      <c r="G160" s="42">
        <v>956.4</v>
      </c>
    </row>
    <row r="161" spans="2:11" x14ac:dyDescent="0.2">
      <c r="B161" s="41" t="s">
        <v>151</v>
      </c>
      <c r="C161" s="42">
        <f>195.6+72.7</f>
        <v>268.3</v>
      </c>
      <c r="D161" s="42">
        <v>253</v>
      </c>
      <c r="E161" s="42">
        <v>366.5</v>
      </c>
      <c r="F161" s="42">
        <f>0</f>
        <v>0</v>
      </c>
      <c r="G161" s="42">
        <v>77.400000000000006</v>
      </c>
    </row>
    <row r="162" spans="2:11" x14ac:dyDescent="0.2">
      <c r="B162" s="41" t="s">
        <v>152</v>
      </c>
      <c r="C162" s="42">
        <f>185.6+3.5</f>
        <v>189.1</v>
      </c>
      <c r="D162" s="42">
        <v>0</v>
      </c>
      <c r="E162" s="42">
        <v>0</v>
      </c>
      <c r="F162" s="42">
        <f>0</f>
        <v>0</v>
      </c>
      <c r="G162" s="42">
        <v>91.9</v>
      </c>
    </row>
    <row r="163" spans="2:11" x14ac:dyDescent="0.2">
      <c r="B163" s="41" t="s">
        <v>153</v>
      </c>
      <c r="C163" s="42">
        <f>2.7+10.5</f>
        <v>13.2</v>
      </c>
      <c r="D163" s="42">
        <v>53.1</v>
      </c>
      <c r="E163" s="42">
        <v>770.7</v>
      </c>
      <c r="F163" s="42">
        <f>36</f>
        <v>36</v>
      </c>
      <c r="G163" s="42">
        <v>398.2</v>
      </c>
    </row>
    <row r="164" spans="2:11" x14ac:dyDescent="0.2">
      <c r="B164" s="41" t="s">
        <v>155</v>
      </c>
      <c r="C164" s="42">
        <f>SUM(C155:C163)</f>
        <v>16848.2</v>
      </c>
      <c r="D164" s="42">
        <f>SUM(D155:D163)</f>
        <v>15297.4</v>
      </c>
      <c r="E164" s="42">
        <f>SUM(E155:E163)</f>
        <v>16903</v>
      </c>
      <c r="F164" s="42">
        <f>SUM(F155:F163)</f>
        <v>4480.2</v>
      </c>
      <c r="G164" s="42">
        <f>SUM(G155:G163)</f>
        <v>11087.199999999999</v>
      </c>
    </row>
    <row r="165" spans="2:11" x14ac:dyDescent="0.2">
      <c r="B165" s="178"/>
      <c r="C165" s="178"/>
      <c r="D165" s="178"/>
      <c r="E165" s="178"/>
      <c r="F165" s="178"/>
      <c r="G165" s="178"/>
    </row>
    <row r="166" spans="2:11" x14ac:dyDescent="0.2">
      <c r="B166" s="179" t="s">
        <v>156</v>
      </c>
      <c r="C166" s="179"/>
      <c r="D166" s="179"/>
      <c r="E166" s="179"/>
      <c r="F166" s="179"/>
      <c r="G166" s="179"/>
      <c r="H166" s="179"/>
      <c r="I166" s="179"/>
      <c r="J166" s="179"/>
      <c r="K166" s="179"/>
    </row>
    <row r="167" spans="2:11" x14ac:dyDescent="0.2">
      <c r="B167" s="49" t="s">
        <v>132</v>
      </c>
      <c r="C167" s="41" t="s">
        <v>86</v>
      </c>
      <c r="D167" s="41" t="s">
        <v>133</v>
      </c>
      <c r="E167" s="41" t="s">
        <v>134</v>
      </c>
      <c r="F167" s="41" t="s">
        <v>135</v>
      </c>
      <c r="G167" s="41" t="s">
        <v>136</v>
      </c>
      <c r="H167" s="41" t="s">
        <v>137</v>
      </c>
      <c r="I167" s="41" t="s">
        <v>138</v>
      </c>
      <c r="J167" s="41" t="s">
        <v>139</v>
      </c>
      <c r="K167" s="41" t="s">
        <v>94</v>
      </c>
    </row>
    <row r="168" spans="2:11" x14ac:dyDescent="0.2">
      <c r="B168" s="49" t="s">
        <v>140</v>
      </c>
      <c r="C168" s="51">
        <f>G172+G174</f>
        <v>4671.1559438532995</v>
      </c>
      <c r="D168" s="51">
        <f>G173</f>
        <v>5522.0187284594194</v>
      </c>
      <c r="E168" s="51">
        <f>G175</f>
        <v>2066.0103156506002</v>
      </c>
      <c r="F168" s="51">
        <f>G176+G177</f>
        <v>-135.22733870843999</v>
      </c>
      <c r="G168" s="51">
        <f>G180+G181+G182</f>
        <v>5172.8664099254993</v>
      </c>
      <c r="H168" s="51">
        <f>G187</f>
        <v>0</v>
      </c>
      <c r="I168" s="51">
        <f>G191</f>
        <v>223.13511718234</v>
      </c>
      <c r="J168" s="51">
        <f>SUM(G178:G179,G183,G184,G185,G188,G189,G190)</f>
        <v>1359.42358042414</v>
      </c>
      <c r="K168" s="46">
        <f>K169*2204.62</f>
        <v>547.41881505365996</v>
      </c>
    </row>
    <row r="169" spans="2:11" x14ac:dyDescent="0.2">
      <c r="B169" s="49" t="s">
        <v>141</v>
      </c>
      <c r="C169" s="52">
        <f>C168/2204.62</f>
        <v>2.1188032149999998</v>
      </c>
      <c r="D169" s="52">
        <f t="shared" ref="D169:J169" si="27">D168/2204.62</f>
        <v>2.5047485409999997</v>
      </c>
      <c r="E169" s="52">
        <f t="shared" si="27"/>
        <v>0.9371276300000001</v>
      </c>
      <c r="F169" s="52">
        <f t="shared" si="27"/>
        <v>-6.1338161999999995E-2</v>
      </c>
      <c r="G169" s="52">
        <f t="shared" si="27"/>
        <v>2.3463755249999996</v>
      </c>
      <c r="H169" s="52">
        <f t="shared" si="27"/>
        <v>0</v>
      </c>
      <c r="I169" s="52">
        <f t="shared" si="27"/>
        <v>0.10121250700000001</v>
      </c>
      <c r="J169" s="52">
        <f t="shared" si="27"/>
        <v>0.61662489700000001</v>
      </c>
      <c r="K169" s="52">
        <f>-E206/1000000000</f>
        <v>0.24830529300000001</v>
      </c>
    </row>
    <row r="170" spans="2:11" x14ac:dyDescent="0.2">
      <c r="B170" s="179" t="s">
        <v>157</v>
      </c>
      <c r="C170" s="179"/>
      <c r="D170" s="179"/>
      <c r="E170" s="179"/>
      <c r="F170" s="179"/>
      <c r="G170" s="179"/>
    </row>
    <row r="171" spans="2:11" x14ac:dyDescent="0.2">
      <c r="B171" s="41"/>
      <c r="C171" s="41" t="s">
        <v>158</v>
      </c>
      <c r="D171" s="41" t="s">
        <v>159</v>
      </c>
      <c r="E171" s="45" t="s">
        <v>160</v>
      </c>
      <c r="F171" s="45" t="s">
        <v>161</v>
      </c>
      <c r="G171" s="45" t="s">
        <v>162</v>
      </c>
    </row>
    <row r="172" spans="2:11" x14ac:dyDescent="0.2">
      <c r="B172" s="41" t="s">
        <v>163</v>
      </c>
      <c r="C172" s="42">
        <v>516181292</v>
      </c>
      <c r="D172" s="42">
        <v>2288019430</v>
      </c>
      <c r="E172" s="48">
        <f>C172/1000000000*2204.62</f>
        <v>1137.9835999690399</v>
      </c>
      <c r="F172" s="48">
        <f>D172/1000000000*2204.62</f>
        <v>5044.2133957665992</v>
      </c>
      <c r="G172" s="48">
        <f>F172-E172</f>
        <v>3906.2297957975593</v>
      </c>
    </row>
    <row r="173" spans="2:11" x14ac:dyDescent="0.2">
      <c r="B173" s="41" t="s">
        <v>87</v>
      </c>
      <c r="C173" s="42">
        <v>1297437308</v>
      </c>
      <c r="D173" s="42">
        <v>3802185849</v>
      </c>
      <c r="E173" s="48">
        <f t="shared" ref="E173:F191" si="28">C173/1000000000*2204.62</f>
        <v>2860.3562379629598</v>
      </c>
      <c r="F173" s="48">
        <f t="shared" si="28"/>
        <v>8382.3749664223797</v>
      </c>
      <c r="G173" s="48">
        <f t="shared" ref="G173:G191" si="29">F173-E173</f>
        <v>5522.0187284594194</v>
      </c>
    </row>
    <row r="174" spans="2:11" x14ac:dyDescent="0.2">
      <c r="B174" s="41" t="s">
        <v>164</v>
      </c>
      <c r="C174" s="42">
        <v>92603511</v>
      </c>
      <c r="D174" s="42">
        <v>439568588</v>
      </c>
      <c r="E174" s="48">
        <f t="shared" si="28"/>
        <v>204.15555242081999</v>
      </c>
      <c r="F174" s="48">
        <f t="shared" si="28"/>
        <v>969.08170047655994</v>
      </c>
      <c r="G174" s="48">
        <f t="shared" si="29"/>
        <v>764.92614805573999</v>
      </c>
    </row>
    <row r="175" spans="2:11" x14ac:dyDescent="0.2">
      <c r="B175" s="41" t="s">
        <v>88</v>
      </c>
      <c r="C175" s="42">
        <v>190792530</v>
      </c>
      <c r="D175" s="42">
        <v>1127920160</v>
      </c>
      <c r="E175" s="48">
        <f t="shared" si="28"/>
        <v>420.62502748859993</v>
      </c>
      <c r="F175" s="48">
        <f t="shared" si="28"/>
        <v>2486.6353431391999</v>
      </c>
      <c r="G175" s="48">
        <f t="shared" si="29"/>
        <v>2066.0103156506002</v>
      </c>
    </row>
    <row r="176" spans="2:11" x14ac:dyDescent="0.2">
      <c r="B176" s="41" t="s">
        <v>165</v>
      </c>
      <c r="C176" s="42">
        <v>208940468</v>
      </c>
      <c r="D176" s="42">
        <v>71549117</v>
      </c>
      <c r="E176" s="48">
        <f t="shared" si="28"/>
        <v>460.63433456215995</v>
      </c>
      <c r="F176" s="48">
        <f t="shared" si="28"/>
        <v>157.73861432053999</v>
      </c>
      <c r="G176" s="48">
        <f t="shared" si="29"/>
        <v>-302.89572024161998</v>
      </c>
    </row>
    <row r="177" spans="2:7" x14ac:dyDescent="0.2">
      <c r="B177" s="41" t="s">
        <v>89</v>
      </c>
      <c r="C177" s="42">
        <v>100674029</v>
      </c>
      <c r="D177" s="42">
        <v>176727218</v>
      </c>
      <c r="E177" s="48">
        <f t="shared" si="28"/>
        <v>221.94797781397997</v>
      </c>
      <c r="F177" s="48">
        <f t="shared" si="28"/>
        <v>389.61635934715997</v>
      </c>
      <c r="G177" s="48">
        <f t="shared" si="29"/>
        <v>167.66838153318</v>
      </c>
    </row>
    <row r="178" spans="2:7" x14ac:dyDescent="0.2">
      <c r="B178" s="41" t="s">
        <v>166</v>
      </c>
      <c r="C178" s="42">
        <v>16471452</v>
      </c>
      <c r="D178" s="42">
        <v>18580623</v>
      </c>
      <c r="E178" s="48">
        <f t="shared" si="28"/>
        <v>36.313292508240004</v>
      </c>
      <c r="F178" s="48">
        <f t="shared" si="28"/>
        <v>40.963213078259997</v>
      </c>
      <c r="G178" s="48">
        <f t="shared" si="29"/>
        <v>4.6499205700199937</v>
      </c>
    </row>
    <row r="179" spans="2:7" x14ac:dyDescent="0.2">
      <c r="B179" s="41" t="s">
        <v>167</v>
      </c>
      <c r="C179" s="42">
        <v>143297417</v>
      </c>
      <c r="D179" s="42">
        <v>82238823</v>
      </c>
      <c r="E179" s="48">
        <f t="shared" si="28"/>
        <v>315.91635146653999</v>
      </c>
      <c r="F179" s="48">
        <f t="shared" si="28"/>
        <v>181.30535396226</v>
      </c>
      <c r="G179" s="48">
        <f t="shared" si="29"/>
        <v>-134.61099750427999</v>
      </c>
    </row>
    <row r="180" spans="2:7" x14ac:dyDescent="0.2">
      <c r="B180" s="41" t="s">
        <v>90</v>
      </c>
      <c r="C180" s="42">
        <v>271580265</v>
      </c>
      <c r="D180" s="42">
        <v>2458006738</v>
      </c>
      <c r="E180" s="48">
        <f t="shared" si="28"/>
        <v>598.73128382429991</v>
      </c>
      <c r="F180" s="48">
        <f t="shared" si="28"/>
        <v>5418.9708147295596</v>
      </c>
      <c r="G180" s="48">
        <f t="shared" si="29"/>
        <v>4820.2395309052599</v>
      </c>
    </row>
    <row r="181" spans="2:7" x14ac:dyDescent="0.2">
      <c r="B181" s="41"/>
      <c r="C181" s="42">
        <v>12487724</v>
      </c>
      <c r="D181" s="42">
        <v>59202473</v>
      </c>
      <c r="E181" s="48">
        <f t="shared" si="28"/>
        <v>27.530686084879999</v>
      </c>
      <c r="F181" s="48">
        <f t="shared" si="28"/>
        <v>130.51895602526</v>
      </c>
      <c r="G181" s="48">
        <f t="shared" si="29"/>
        <v>102.98826994037999</v>
      </c>
    </row>
    <row r="182" spans="2:7" x14ac:dyDescent="0.2">
      <c r="B182" s="41"/>
      <c r="C182" s="42">
        <v>21736120</v>
      </c>
      <c r="D182" s="42">
        <v>134970423</v>
      </c>
      <c r="E182" s="48">
        <f t="shared" si="28"/>
        <v>47.919884874399997</v>
      </c>
      <c r="F182" s="48">
        <f t="shared" si="28"/>
        <v>297.55849395425997</v>
      </c>
      <c r="G182" s="48">
        <f t="shared" si="29"/>
        <v>249.63860907985998</v>
      </c>
    </row>
    <row r="183" spans="2:7" x14ac:dyDescent="0.2">
      <c r="B183" s="41" t="s">
        <v>168</v>
      </c>
      <c r="C183" s="42">
        <v>12861697</v>
      </c>
      <c r="D183" s="42">
        <v>8146706</v>
      </c>
      <c r="E183" s="48">
        <f t="shared" si="28"/>
        <v>28.355154440139998</v>
      </c>
      <c r="F183" s="48">
        <f t="shared" si="28"/>
        <v>17.96039098172</v>
      </c>
      <c r="G183" s="48">
        <f t="shared" si="29"/>
        <v>-10.394763458419998</v>
      </c>
    </row>
    <row r="184" spans="2:7" x14ac:dyDescent="0.2">
      <c r="B184" s="41" t="s">
        <v>169</v>
      </c>
      <c r="C184" s="42">
        <v>18305527</v>
      </c>
      <c r="D184" s="42">
        <v>20239245</v>
      </c>
      <c r="E184" s="48">
        <f t="shared" si="28"/>
        <v>40.356730934739993</v>
      </c>
      <c r="F184" s="48">
        <f t="shared" si="28"/>
        <v>44.619844311899996</v>
      </c>
      <c r="G184" s="48">
        <f t="shared" si="29"/>
        <v>4.2631133771600034</v>
      </c>
    </row>
    <row r="185" spans="2:7" x14ac:dyDescent="0.2">
      <c r="B185" s="41" t="s">
        <v>170</v>
      </c>
      <c r="C185" s="42">
        <v>33329622</v>
      </c>
      <c r="D185" s="42">
        <v>114343949</v>
      </c>
      <c r="E185" s="48">
        <f t="shared" si="28"/>
        <v>73.479151253639998</v>
      </c>
      <c r="F185" s="48">
        <f t="shared" si="28"/>
        <v>252.08495684437997</v>
      </c>
      <c r="G185" s="48">
        <f t="shared" si="29"/>
        <v>178.60580559073998</v>
      </c>
    </row>
    <row r="186" spans="2:7" x14ac:dyDescent="0.2">
      <c r="B186" s="41" t="s">
        <v>171</v>
      </c>
      <c r="C186" s="42">
        <v>83303042</v>
      </c>
      <c r="D186" s="42">
        <v>353870343</v>
      </c>
      <c r="E186" s="48">
        <f t="shared" si="28"/>
        <v>183.65155245403997</v>
      </c>
      <c r="F186" s="48">
        <f t="shared" si="28"/>
        <v>780.1496355846599</v>
      </c>
      <c r="G186" s="48">
        <f t="shared" si="29"/>
        <v>596.49808313061999</v>
      </c>
    </row>
    <row r="187" spans="2:7" x14ac:dyDescent="0.2">
      <c r="B187" s="41" t="s">
        <v>91</v>
      </c>
      <c r="E187" s="48">
        <f t="shared" si="28"/>
        <v>0</v>
      </c>
      <c r="F187" s="48">
        <f t="shared" si="28"/>
        <v>0</v>
      </c>
      <c r="G187" s="48">
        <f t="shared" si="29"/>
        <v>0</v>
      </c>
    </row>
    <row r="188" spans="2:7" x14ac:dyDescent="0.2">
      <c r="B188" s="41" t="s">
        <v>172</v>
      </c>
      <c r="C188" s="42">
        <v>136096541</v>
      </c>
      <c r="D188" s="42">
        <v>209288494</v>
      </c>
      <c r="E188" s="48">
        <f t="shared" si="28"/>
        <v>300.04115621941997</v>
      </c>
      <c r="F188" s="48">
        <f t="shared" si="28"/>
        <v>461.40159964227996</v>
      </c>
      <c r="G188" s="48">
        <f t="shared" si="29"/>
        <v>161.36044342285999</v>
      </c>
    </row>
    <row r="189" spans="2:7" x14ac:dyDescent="0.2">
      <c r="B189" s="41" t="s">
        <v>173</v>
      </c>
      <c r="C189" s="42">
        <v>101979075</v>
      </c>
      <c r="D189" s="42">
        <v>543826672</v>
      </c>
      <c r="E189" s="48">
        <f t="shared" si="28"/>
        <v>224.82510832649999</v>
      </c>
      <c r="F189" s="48">
        <f t="shared" si="28"/>
        <v>1198.93115762464</v>
      </c>
      <c r="G189" s="48">
        <f t="shared" si="29"/>
        <v>974.10604929814008</v>
      </c>
    </row>
    <row r="190" spans="2:7" x14ac:dyDescent="0.2">
      <c r="B190" s="41"/>
      <c r="C190" s="42">
        <v>28553853</v>
      </c>
      <c r="D190" s="42">
        <v>110855569</v>
      </c>
      <c r="E190" s="48">
        <f t="shared" si="28"/>
        <v>62.950395400859996</v>
      </c>
      <c r="F190" s="48">
        <f t="shared" si="28"/>
        <v>244.39440452878</v>
      </c>
      <c r="G190" s="48">
        <f t="shared" si="29"/>
        <v>181.44400912792</v>
      </c>
    </row>
    <row r="191" spans="2:7" x14ac:dyDescent="0.2">
      <c r="B191" s="41" t="s">
        <v>92</v>
      </c>
      <c r="C191" s="42">
        <v>62994025</v>
      </c>
      <c r="D191" s="42">
        <v>164206532</v>
      </c>
      <c r="E191" s="48">
        <f t="shared" si="28"/>
        <v>138.87788739549998</v>
      </c>
      <c r="F191" s="48">
        <f t="shared" si="28"/>
        <v>362.01300457783998</v>
      </c>
      <c r="G191" s="48">
        <f t="shared" si="29"/>
        <v>223.13511718234</v>
      </c>
    </row>
    <row r="192" spans="2:7" x14ac:dyDescent="0.2">
      <c r="B192" s="178"/>
      <c r="C192" s="178"/>
      <c r="D192" s="178"/>
      <c r="E192" s="178"/>
      <c r="F192" s="178"/>
      <c r="G192" s="178"/>
    </row>
    <row r="194" spans="2:5" x14ac:dyDescent="0.2">
      <c r="B194" s="179" t="s">
        <v>174</v>
      </c>
      <c r="C194" s="179"/>
      <c r="D194" s="179"/>
      <c r="E194" s="179"/>
    </row>
    <row r="195" spans="2:5" x14ac:dyDescent="0.2">
      <c r="B195" s="41" t="s">
        <v>175</v>
      </c>
      <c r="C195" s="190">
        <f>C196+E206/1000000000</f>
        <v>7.3439328251337379</v>
      </c>
      <c r="D195" s="190"/>
      <c r="E195" s="190"/>
    </row>
    <row r="196" spans="2:5" x14ac:dyDescent="0.2">
      <c r="B196" s="41" t="s">
        <v>176</v>
      </c>
      <c r="C196" s="190">
        <f>16738/2204.62</f>
        <v>7.5922381181337375</v>
      </c>
      <c r="D196" s="190"/>
      <c r="E196" s="190"/>
    </row>
    <row r="197" spans="2:5" x14ac:dyDescent="0.2">
      <c r="B197" s="178"/>
      <c r="C197" s="178"/>
      <c r="D197" s="178"/>
      <c r="E197" s="178"/>
    </row>
    <row r="198" spans="2:5" x14ac:dyDescent="0.2">
      <c r="B198" s="179" t="s">
        <v>177</v>
      </c>
      <c r="C198" s="179"/>
      <c r="D198" s="179"/>
      <c r="E198" s="179"/>
    </row>
    <row r="199" spans="2:5" x14ac:dyDescent="0.2">
      <c r="B199" s="41" t="s">
        <v>178</v>
      </c>
      <c r="C199" s="41" t="s">
        <v>179</v>
      </c>
      <c r="D199" s="41" t="s">
        <v>180</v>
      </c>
      <c r="E199" s="41" t="s">
        <v>181</v>
      </c>
    </row>
    <row r="200" spans="2:5" x14ac:dyDescent="0.2">
      <c r="B200" s="49">
        <v>390730</v>
      </c>
      <c r="C200" s="53">
        <v>88549665</v>
      </c>
      <c r="D200" s="54">
        <v>176489876</v>
      </c>
      <c r="E200" s="42">
        <f>C200-D200</f>
        <v>-87940211</v>
      </c>
    </row>
    <row r="201" spans="2:5" x14ac:dyDescent="0.2">
      <c r="B201" s="49">
        <v>390791</v>
      </c>
      <c r="C201" s="53">
        <v>38123937</v>
      </c>
      <c r="D201" s="54">
        <v>99339186</v>
      </c>
      <c r="E201" s="42">
        <f>C201-D201</f>
        <v>-61215249</v>
      </c>
    </row>
    <row r="202" spans="2:5" x14ac:dyDescent="0.2">
      <c r="B202" s="49">
        <v>390910</v>
      </c>
      <c r="C202" s="54">
        <v>16416221</v>
      </c>
      <c r="D202" s="54">
        <v>47184864</v>
      </c>
      <c r="E202" s="42">
        <f>C202-D202</f>
        <v>-30768643</v>
      </c>
    </row>
    <row r="203" spans="2:5" x14ac:dyDescent="0.2">
      <c r="B203" s="49">
        <v>390920</v>
      </c>
      <c r="C203" s="54">
        <v>8386684</v>
      </c>
      <c r="D203" s="54">
        <v>15403011</v>
      </c>
      <c r="E203" s="42">
        <f>C203-D203</f>
        <v>-7016327</v>
      </c>
    </row>
    <row r="204" spans="2:5" x14ac:dyDescent="0.2">
      <c r="B204" s="49">
        <v>390930</v>
      </c>
      <c r="C204" s="42" t="s">
        <v>182</v>
      </c>
      <c r="D204" s="42" t="s">
        <v>182</v>
      </c>
      <c r="E204" s="42" t="s">
        <v>182</v>
      </c>
    </row>
    <row r="205" spans="2:5" x14ac:dyDescent="0.2">
      <c r="B205" s="49">
        <v>390940</v>
      </c>
      <c r="C205" s="54">
        <v>48482205</v>
      </c>
      <c r="D205" s="54">
        <v>109847068</v>
      </c>
      <c r="E205" s="42">
        <f>C205-D205</f>
        <v>-61364863</v>
      </c>
    </row>
    <row r="206" spans="2:5" x14ac:dyDescent="0.2">
      <c r="B206" s="41" t="s">
        <v>155</v>
      </c>
      <c r="C206" s="42">
        <f>SUM(C200:C205)</f>
        <v>199958712</v>
      </c>
      <c r="D206" s="42">
        <f>SUM(D200:D205)</f>
        <v>448264005</v>
      </c>
      <c r="E206" s="42">
        <f>SUM(E200:E205)</f>
        <v>-248305293</v>
      </c>
    </row>
    <row r="207" spans="2:5" x14ac:dyDescent="0.2">
      <c r="B207" s="178"/>
      <c r="C207" s="178"/>
      <c r="D207" s="178"/>
      <c r="E207" s="178"/>
    </row>
  </sheetData>
  <mergeCells count="82">
    <mergeCell ref="B197:E197"/>
    <mergeCell ref="B198:E198"/>
    <mergeCell ref="B207:E207"/>
    <mergeCell ref="B166:K166"/>
    <mergeCell ref="B170:G170"/>
    <mergeCell ref="B192:G192"/>
    <mergeCell ref="B194:E194"/>
    <mergeCell ref="C195:E195"/>
    <mergeCell ref="C196:E196"/>
    <mergeCell ref="B165:G165"/>
    <mergeCell ref="B123:K123"/>
    <mergeCell ref="B124:K124"/>
    <mergeCell ref="B125:K125"/>
    <mergeCell ref="B126:K126"/>
    <mergeCell ref="B127:H127"/>
    <mergeCell ref="C128:H128"/>
    <mergeCell ref="C129:H129"/>
    <mergeCell ref="B130:H130"/>
    <mergeCell ref="B131:H131"/>
    <mergeCell ref="B141:H141"/>
    <mergeCell ref="B153:G153"/>
    <mergeCell ref="B119:K119"/>
    <mergeCell ref="B103:L103"/>
    <mergeCell ref="M105:N105"/>
    <mergeCell ref="M106:N106"/>
    <mergeCell ref="M107:N107"/>
    <mergeCell ref="M108:N108"/>
    <mergeCell ref="M109:N109"/>
    <mergeCell ref="M110:N110"/>
    <mergeCell ref="M111:N111"/>
    <mergeCell ref="M112:N112"/>
    <mergeCell ref="B113:L113"/>
    <mergeCell ref="B114:K114"/>
    <mergeCell ref="B94:K94"/>
    <mergeCell ref="B63:E63"/>
    <mergeCell ref="B64:E64"/>
    <mergeCell ref="B65:E65"/>
    <mergeCell ref="B66:E66"/>
    <mergeCell ref="B68:E68"/>
    <mergeCell ref="B69:C69"/>
    <mergeCell ref="D69:E69"/>
    <mergeCell ref="B70:C70"/>
    <mergeCell ref="D70:E70"/>
    <mergeCell ref="B71:E71"/>
    <mergeCell ref="B73:L73"/>
    <mergeCell ref="B84:K84"/>
    <mergeCell ref="B61:E61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B50:E50"/>
    <mergeCell ref="C39:E39"/>
    <mergeCell ref="D28:E28"/>
    <mergeCell ref="D29:E29"/>
    <mergeCell ref="D30:E30"/>
    <mergeCell ref="D31:E31"/>
    <mergeCell ref="D32:E32"/>
    <mergeCell ref="D33:E33"/>
    <mergeCell ref="D34:E34"/>
    <mergeCell ref="D35:E35"/>
    <mergeCell ref="B36:E36"/>
    <mergeCell ref="B37:E37"/>
    <mergeCell ref="C38:E38"/>
    <mergeCell ref="D27:E27"/>
    <mergeCell ref="B4:L4"/>
    <mergeCell ref="B14:L14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Production_Consumption</vt:lpstr>
      <vt:lpstr>CA Scaled Consumption</vt:lpstr>
      <vt:lpstr>County Scaled Consumption </vt:lpstr>
      <vt:lpstr>CA Population</vt:lpstr>
      <vt:lpstr>EoL</vt:lpstr>
      <vt:lpstr>Fiber Fabric</vt:lpstr>
      <vt:lpstr>Additives</vt:lpstr>
      <vt:lpstr>Trade</vt:lpstr>
      <vt:lpstr>NAFTA</vt:lpstr>
      <vt:lpstr>1950~2004</vt:lpstr>
      <vt:lpstr>Europe</vt:lpstr>
      <vt:lpstr>Lifetime</vt:lpstr>
      <vt:lpstr>Comparison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Thomas</dc:creator>
  <cp:lastModifiedBy>Eleanor Thomas</cp:lastModifiedBy>
  <dcterms:created xsi:type="dcterms:W3CDTF">2024-01-10T18:15:54Z</dcterms:created>
  <dcterms:modified xsi:type="dcterms:W3CDTF">2024-08-06T20:47:28Z</dcterms:modified>
</cp:coreProperties>
</file>