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329"/>
  <workbookPr showInkAnnotation="0" defaultThemeVersion="124226"/>
  <mc:AlternateContent xmlns:mc="http://schemas.openxmlformats.org/markup-compatibility/2006">
    <mc:Choice Requires="x15">
      <x15ac:absPath xmlns:x15ac="http://schemas.microsoft.com/office/spreadsheetml/2010/11/ac" url="X:\Area de Compras\01_PROVEEDORES\Proveedores homologados\Documentacion para Calificar\"/>
    </mc:Choice>
  </mc:AlternateContent>
  <workbookProtection workbookAlgorithmName="SHA-512" workbookHashValue="uH9DSzOEBABfNn7pJyaGVp0WkUppUMrxt60ZdlgVZS5KQ1qTKMQbVnCBUd2NQ4LU6Z19WoFdfnkNXA9lMx4xeA==" workbookSaltValue="w1wkAuk1Sq22JO0B7zuACQ==" workbookSpinCount="100000" lockStructure="1"/>
  <bookViews>
    <workbookView xWindow="0" yWindow="0" windowWidth="20490" windowHeight="7530"/>
  </bookViews>
  <sheets>
    <sheet name="COG-F-011" sheetId="2" r:id="rId1"/>
    <sheet name="COP-F-012" sheetId="5" state="hidden" r:id="rId2"/>
    <sheet name="Puntajes" sheetId="7" state="hidden" r:id="rId3"/>
    <sheet name="Datos" sheetId="4" state="hidden" r:id="rId4"/>
  </sheets>
  <definedNames>
    <definedName name="_xlnm._FilterDatabase" localSheetId="1" hidden="1">'COP-F-012'!$B$35:$H$141</definedName>
    <definedName name="_xlnm.Print_Area" localSheetId="0">'COG-F-011'!$A$1:$G$89</definedName>
    <definedName name="_xlnm.Print_Area" localSheetId="1">'COP-F-012'!$A$1:$H$156</definedName>
    <definedName name="_xlnm.Print_Titles" localSheetId="0">'COG-F-011'!$1:$11</definedName>
  </definedNames>
  <calcPr calcId="171027"/>
</workbook>
</file>

<file path=xl/calcChain.xml><?xml version="1.0" encoding="utf-8"?>
<calcChain xmlns="http://schemas.openxmlformats.org/spreadsheetml/2006/main">
  <c r="J44" i="7" l="1"/>
  <c r="M14" i="7"/>
  <c r="G36" i="7" l="1"/>
  <c r="H36" i="7"/>
  <c r="I36" i="7"/>
  <c r="J36" i="7"/>
  <c r="K36" i="7"/>
  <c r="L36" i="7"/>
  <c r="M36" i="7"/>
  <c r="N36" i="7"/>
  <c r="G31" i="7"/>
  <c r="H31" i="7"/>
  <c r="I31" i="7"/>
  <c r="J31" i="7"/>
  <c r="K31" i="7"/>
  <c r="L31" i="7"/>
  <c r="M31" i="7"/>
  <c r="N31" i="7"/>
  <c r="F9" i="7"/>
  <c r="F36" i="7"/>
  <c r="F31" i="7"/>
  <c r="F14" i="7"/>
  <c r="C25" i="2"/>
  <c r="G54" i="5" s="1"/>
  <c r="H54" i="5" s="1"/>
  <c r="C35" i="2"/>
  <c r="F43" i="7" l="1"/>
  <c r="F44" i="7" s="1"/>
  <c r="G110" i="5"/>
  <c r="G115" i="5" l="1"/>
  <c r="G72" i="5"/>
  <c r="G69" i="5"/>
  <c r="G66" i="5"/>
  <c r="G63" i="5"/>
  <c r="G60" i="5"/>
  <c r="G57" i="5"/>
  <c r="N9" i="7"/>
  <c r="N43" i="7" s="1"/>
  <c r="N14" i="7" l="1"/>
  <c r="N44" i="7" l="1"/>
  <c r="L14" i="7" l="1"/>
  <c r="K14" i="7"/>
  <c r="I14" i="7"/>
  <c r="H14" i="7"/>
  <c r="G14" i="7"/>
  <c r="D111" i="5"/>
  <c r="D114" i="5"/>
  <c r="D113" i="5"/>
  <c r="D112" i="5"/>
  <c r="M9" i="7"/>
  <c r="L9" i="7"/>
  <c r="K9" i="7"/>
  <c r="I9" i="7"/>
  <c r="H9" i="7"/>
  <c r="G9" i="7"/>
  <c r="D42" i="5"/>
  <c r="D41" i="5"/>
  <c r="D40" i="5"/>
  <c r="D39" i="5"/>
  <c r="I43" i="7" l="1"/>
  <c r="I44" i="7" s="1"/>
  <c r="M43" i="7"/>
  <c r="M44" i="7" s="1"/>
  <c r="L43" i="7"/>
  <c r="L44" i="7" s="1"/>
  <c r="K43" i="7"/>
  <c r="K44" i="7" s="1"/>
  <c r="H43" i="7"/>
  <c r="H44" i="7" s="1"/>
  <c r="G43" i="7"/>
  <c r="G44" i="7" s="1"/>
  <c r="F104" i="5"/>
  <c r="F105" i="5"/>
  <c r="G103" i="5" l="1"/>
  <c r="H115" i="5"/>
  <c r="H110" i="5"/>
  <c r="G129" i="5" l="1"/>
  <c r="H129" i="5" s="1"/>
  <c r="C98" i="5"/>
  <c r="H66" i="5"/>
  <c r="G38" i="5" l="1"/>
  <c r="H38" i="5" s="1"/>
  <c r="G139" i="5"/>
  <c r="H139" i="5" s="1"/>
  <c r="G135" i="5"/>
  <c r="H135" i="5" s="1"/>
  <c r="G132" i="5"/>
  <c r="H132" i="5" s="1"/>
  <c r="C22" i="5"/>
  <c r="C21" i="5"/>
  <c r="C20" i="5"/>
  <c r="C19" i="5"/>
  <c r="C18" i="5"/>
  <c r="C17" i="5"/>
  <c r="D8" i="5" l="1"/>
  <c r="E54" i="5" s="1"/>
  <c r="H53" i="5" s="1"/>
  <c r="D9" i="5"/>
  <c r="E20" i="5" l="1"/>
  <c r="E22" i="5"/>
  <c r="E98" i="5"/>
  <c r="E84" i="5"/>
  <c r="E63" i="5"/>
  <c r="E46" i="5"/>
  <c r="E43" i="5"/>
  <c r="E110" i="5"/>
  <c r="E78" i="5"/>
  <c r="E69" i="5"/>
  <c r="E38" i="5"/>
  <c r="E121" i="5"/>
  <c r="F120" i="5" s="1"/>
  <c r="E103" i="5"/>
  <c r="E75" i="5"/>
  <c r="E66" i="5"/>
  <c r="E115" i="5"/>
  <c r="E93" i="5"/>
  <c r="E81" i="5"/>
  <c r="E72" i="5"/>
  <c r="E60" i="5"/>
  <c r="E90" i="5"/>
  <c r="E57" i="5"/>
  <c r="E87" i="5"/>
  <c r="E50" i="5"/>
  <c r="E18" i="5"/>
  <c r="E21" i="5"/>
  <c r="E19" i="5"/>
  <c r="E17" i="5"/>
  <c r="D5" i="5"/>
  <c r="D6" i="5"/>
  <c r="D7" i="5"/>
  <c r="F109" i="5" l="1"/>
  <c r="H109" i="5"/>
  <c r="G19" i="5" s="1"/>
  <c r="F37" i="5"/>
  <c r="F53" i="5"/>
  <c r="F18" i="5" s="1"/>
  <c r="F20" i="5"/>
  <c r="F17" i="5"/>
  <c r="F19" i="5"/>
  <c r="C139" i="5"/>
  <c r="E139" i="5" s="1"/>
  <c r="F138" i="5" s="1"/>
  <c r="C135" i="5"/>
  <c r="E135" i="5" s="1"/>
  <c r="C132" i="5"/>
  <c r="E132" i="5" s="1"/>
  <c r="C129" i="5"/>
  <c r="E129" i="5" s="1"/>
  <c r="G121" i="5"/>
  <c r="H121" i="5" s="1"/>
  <c r="H72" i="5"/>
  <c r="H69" i="5"/>
  <c r="H63" i="5"/>
  <c r="H60" i="5"/>
  <c r="H57" i="5"/>
  <c r="H128" i="5" l="1"/>
  <c r="F128" i="5"/>
  <c r="F21" i="5"/>
  <c r="H19" i="5"/>
  <c r="H120" i="5"/>
  <c r="G20" i="5" s="1"/>
  <c r="H20" i="5" s="1"/>
  <c r="G21" i="5"/>
  <c r="H138" i="5"/>
  <c r="G22" i="5" s="1"/>
  <c r="F22" i="5"/>
  <c r="H103" i="5"/>
  <c r="H22" i="5" l="1"/>
  <c r="H21" i="5"/>
  <c r="F24" i="5"/>
  <c r="G50" i="5"/>
  <c r="H50" i="5" s="1"/>
  <c r="G43" i="5"/>
  <c r="H37" i="5" s="1"/>
  <c r="G17" i="5" s="1"/>
  <c r="H43" i="5" l="1"/>
  <c r="G84" i="5"/>
  <c r="H84" i="5" s="1"/>
  <c r="G81" i="5"/>
  <c r="H81" i="5" s="1"/>
  <c r="G78" i="5"/>
  <c r="H78" i="5" s="1"/>
  <c r="G75" i="5"/>
  <c r="H75" i="5" s="1"/>
  <c r="G98" i="5"/>
  <c r="H98" i="5" s="1"/>
  <c r="G93" i="5"/>
  <c r="H93" i="5" s="1"/>
  <c r="G90" i="5"/>
  <c r="H90" i="5" s="1"/>
  <c r="G87" i="5"/>
  <c r="H87" i="5" s="1"/>
  <c r="G46" i="5"/>
  <c r="H46" i="5" s="1"/>
  <c r="G18" i="5" l="1"/>
  <c r="H18" i="5" s="1"/>
  <c r="G24" i="5" l="1"/>
  <c r="H17" i="5" l="1"/>
  <c r="H24" i="5" s="1"/>
  <c r="G13" i="5"/>
  <c r="B71" i="2"/>
  <c r="B70" i="2" s="1"/>
  <c r="B69" i="2" s="1"/>
  <c r="B68" i="2" s="1"/>
  <c r="B67" i="2" l="1"/>
  <c r="B66" i="2" s="1"/>
  <c r="G14" i="5"/>
</calcChain>
</file>

<file path=xl/sharedStrings.xml><?xml version="1.0" encoding="utf-8"?>
<sst xmlns="http://schemas.openxmlformats.org/spreadsheetml/2006/main" count="457" uniqueCount="225">
  <si>
    <t>RAZÓN SOCIAL:</t>
  </si>
  <si>
    <t>RUC :</t>
  </si>
  <si>
    <t>DIRECCIÓN:</t>
  </si>
  <si>
    <t>NO</t>
  </si>
  <si>
    <t>SI</t>
  </si>
  <si>
    <t>NO / SI</t>
  </si>
  <si>
    <t>Activo Corriente</t>
  </si>
  <si>
    <t>Activo Total</t>
  </si>
  <si>
    <t>Pasivo Corriente</t>
  </si>
  <si>
    <t>Pasivo Total</t>
  </si>
  <si>
    <t>Patrimonio</t>
  </si>
  <si>
    <t>Ventas Netas</t>
  </si>
  <si>
    <t>Cuentas por cobrar comerciales</t>
  </si>
  <si>
    <t>Utilidad operacional</t>
  </si>
  <si>
    <t>Utilidad neta</t>
  </si>
  <si>
    <t>SUNAT</t>
  </si>
  <si>
    <t>ESSALUD</t>
  </si>
  <si>
    <t>AFP / ONP</t>
  </si>
  <si>
    <t>PLANILLA DEL PERSONAL</t>
  </si>
  <si>
    <t>ACTIVIDAD HOMOLOGADA:</t>
  </si>
  <si>
    <t>Revisar en SUNAT (www.sunat.gob.pe/cl-ti-itmrconsruc/jcrS00Alias)</t>
  </si>
  <si>
    <t>Número de trabajadores</t>
  </si>
  <si>
    <t>Número de prestadores de servicio</t>
  </si>
  <si>
    <t>Estado del Contribuyente</t>
  </si>
  <si>
    <t>Condición del contribuyente</t>
  </si>
  <si>
    <t>Deuda coactiva</t>
  </si>
  <si>
    <t>Omisiones tributarias</t>
  </si>
  <si>
    <t>Activo</t>
  </si>
  <si>
    <t>Baja de oficio</t>
  </si>
  <si>
    <t xml:space="preserve">Habido </t>
  </si>
  <si>
    <t>No habido</t>
  </si>
  <si>
    <t>Sin deuda vigente</t>
  </si>
  <si>
    <t>Con deuda vigente</t>
  </si>
  <si>
    <t>Sin omisión tributaria</t>
  </si>
  <si>
    <t>Con omisión tributaria</t>
  </si>
  <si>
    <t>Fecha de inicio de actividades</t>
  </si>
  <si>
    <t>Evaluación Sentinel de Empresa</t>
  </si>
  <si>
    <t>Alto riesgo / Deudas con atraso significativo</t>
  </si>
  <si>
    <t>Mediano riesgo / Deudas con poco atraso</t>
  </si>
  <si>
    <t>Mínimo riesgo / Sin deudas vencidas</t>
  </si>
  <si>
    <t>Bajo riesgo / No reporta información de deudas</t>
  </si>
  <si>
    <t>Año-Mes</t>
  </si>
  <si>
    <t>Industrias pequeñas y otras empresas</t>
  </si>
  <si>
    <t>Industrias medianas</t>
  </si>
  <si>
    <t>Industrias grandes</t>
  </si>
  <si>
    <t>Industrias grandes, de energía y minería</t>
  </si>
  <si>
    <t>Principales Clientes</t>
  </si>
  <si>
    <t xml:space="preserve"> Detalle de Vencidos (Según Sentinel)</t>
  </si>
  <si>
    <t>PÁGINA WEB:</t>
  </si>
  <si>
    <t>CONFIRMACIÓN</t>
  </si>
  <si>
    <t>No aplica</t>
  </si>
  <si>
    <t>Deuda actual (S/.)</t>
  </si>
  <si>
    <t>No lleva estadísticas de seguridad</t>
  </si>
  <si>
    <t>No lleva control de accidentes</t>
  </si>
  <si>
    <t>Ratio de accidentabilidad &gt; 1</t>
  </si>
  <si>
    <t>Ratio de accidentabilidad &lt; 1 (Exsa)</t>
  </si>
  <si>
    <t>Estadísticas de Seguridad</t>
  </si>
  <si>
    <t>CALIFICACIÓN DE PROVEEDORES</t>
  </si>
  <si>
    <t>COP-F-003</t>
  </si>
  <si>
    <t>Edición 002</t>
  </si>
  <si>
    <t>Proveedor Exsa E</t>
  </si>
  <si>
    <t>Proveedor Exsa D</t>
  </si>
  <si>
    <t>&lt;</t>
  </si>
  <si>
    <t>Proveedor Exsa C</t>
  </si>
  <si>
    <t>Proveedor Exsa B</t>
  </si>
  <si>
    <t>Proveedor Exsa A</t>
  </si>
  <si>
    <t>&gt;=</t>
  </si>
  <si>
    <t>Item</t>
  </si>
  <si>
    <t>Factores</t>
  </si>
  <si>
    <t>Puntajes</t>
  </si>
  <si>
    <t>PROVEEDOR</t>
  </si>
  <si>
    <t>Datos</t>
  </si>
  <si>
    <t>Edad de la empresa (Años)</t>
  </si>
  <si>
    <t>B</t>
  </si>
  <si>
    <t>A</t>
  </si>
  <si>
    <t>X</t>
  </si>
  <si>
    <t>Deuda Actual (Nuevos Soles) Fuente: Sentinel</t>
  </si>
  <si>
    <t>Y</t>
  </si>
  <si>
    <t>Facturación Anual (Nuevos Soles) Fuente: Estados de Resultados</t>
  </si>
  <si>
    <t>X / Y &gt; 5 Años</t>
  </si>
  <si>
    <t>X / Y &gt; 1 Año</t>
  </si>
  <si>
    <t>X / Y &lt;= 1 Año</t>
  </si>
  <si>
    <t>Puntaje Total</t>
  </si>
  <si>
    <t>Resultado</t>
  </si>
  <si>
    <t>Cantidad de trabajadores (Promedio de últimos 6 meses)</t>
  </si>
  <si>
    <t>Porcentaje de personal sub-contratado (Promedio de últimos 6 meses)</t>
  </si>
  <si>
    <t>&gt;</t>
  </si>
  <si>
    <t>Deuda Vs. Facturación (Años de deuda)</t>
  </si>
  <si>
    <t>Deuda con ESSALUD</t>
  </si>
  <si>
    <t>Deuda con SUNAT</t>
  </si>
  <si>
    <t>Deuda con AFP / ONP</t>
  </si>
  <si>
    <t>Deuda de planilla de personal</t>
  </si>
  <si>
    <t>Si</t>
  </si>
  <si>
    <t>No</t>
  </si>
  <si>
    <t>Acepta las normas de Seguridad de Exsa</t>
  </si>
  <si>
    <t>Acepta las normas de Medio Ambiente de Exsa</t>
  </si>
  <si>
    <t>Acepta las Condiciones generales para Compra</t>
  </si>
  <si>
    <t>COMERCIAL</t>
  </si>
  <si>
    <t>INFORMACIÓN FINANCIERA Y OBLIGACIONES LEGALES</t>
  </si>
  <si>
    <t>CAPACIDAD OPERATIVA</t>
  </si>
  <si>
    <t>CUMPLIMIENTO DE OBLIGACIONES LEGALES</t>
  </si>
  <si>
    <t>I</t>
  </si>
  <si>
    <t>II</t>
  </si>
  <si>
    <t>PERSONAL</t>
  </si>
  <si>
    <t>ESTADOS FINANCIEROS</t>
  </si>
  <si>
    <t>GESTIÓN DE LA CALIDAD</t>
  </si>
  <si>
    <t>III</t>
  </si>
  <si>
    <t>IV</t>
  </si>
  <si>
    <t>SUSTENTABILIDAD</t>
  </si>
  <si>
    <t>Acepta Código de ética y conducta de Exsa</t>
  </si>
  <si>
    <t>BASC</t>
  </si>
  <si>
    <t>Acepta la política BASC de EXSA</t>
  </si>
  <si>
    <t>I. COMERCIAL</t>
  </si>
  <si>
    <t>II. INFORMACIÓN FINANCIERA Y OBLIGACIONES LEGALES</t>
  </si>
  <si>
    <t>III. CAPACIDAD OPERATIVA</t>
  </si>
  <si>
    <t>IV. GESTIÓN DE LA CALIDAD</t>
  </si>
  <si>
    <t>V. SUSTENTABILIDAD</t>
  </si>
  <si>
    <t>VI. BASC</t>
  </si>
  <si>
    <t>Comentarios (obligatorio en caso NO)</t>
  </si>
  <si>
    <t>Vigente desde: 01-Agosto-2016</t>
  </si>
  <si>
    <t>FECHA DE CALIFICACIÓN:</t>
  </si>
  <si>
    <t>Acepta las Condiciones generales para compra</t>
  </si>
  <si>
    <t>Liquidez general</t>
  </si>
  <si>
    <t>1 &lt; x &lt; 2</t>
  </si>
  <si>
    <t>x &lt; 1, x&gt;2</t>
  </si>
  <si>
    <t>Rotación del activo total</t>
  </si>
  <si>
    <t>&gt;= 0.6</t>
  </si>
  <si>
    <t>&lt; 0.6</t>
  </si>
  <si>
    <t>Rotación de cuentas por cobrar comerciales</t>
  </si>
  <si>
    <t>&gt;= 2</t>
  </si>
  <si>
    <t>&lt; 2</t>
  </si>
  <si>
    <t>Endeudamiento del activo total</t>
  </si>
  <si>
    <t>&lt;= 0.5</t>
  </si>
  <si>
    <t>&gt; 0.5</t>
  </si>
  <si>
    <t>Rentabilidad de los Activos (ROA)</t>
  </si>
  <si>
    <t>&gt;= 10%</t>
  </si>
  <si>
    <t>&lt; 10%</t>
  </si>
  <si>
    <t>Rentabilidad del Capital (ROE)</t>
  </si>
  <si>
    <t>&gt;= 14%</t>
  </si>
  <si>
    <t>&lt; 14%</t>
  </si>
  <si>
    <t>DESCRIPCION DE LOS INDICES FINANCIEROS</t>
  </si>
  <si>
    <t xml:space="preserve">Se entiende por capacidad financiera la Solvencia económica que tiene la empresa proveedora. </t>
  </si>
  <si>
    <t>Las razones de gestión sirven para medir la eficiencia en la gestión de los activos de la empresa.</t>
  </si>
  <si>
    <r>
      <rPr>
        <u/>
        <sz val="10"/>
        <color theme="1"/>
        <rFont val="Arial"/>
        <family val="2"/>
      </rPr>
      <t>Periodo de Pago</t>
    </r>
    <r>
      <rPr>
        <sz val="10"/>
        <color theme="1"/>
        <rFont val="Arial"/>
        <family val="2"/>
      </rPr>
      <t xml:space="preserve">: Este indicador refleja la política de pago que tienen las empresas.  </t>
    </r>
  </si>
  <si>
    <t>El apalancamiento financiero se relaciona con la dependencia que una empresa tiene en la financiación con endeudamiento más que con capital.</t>
  </si>
  <si>
    <r>
      <rPr>
        <u/>
        <sz val="10"/>
        <color theme="1"/>
        <rFont val="Arial"/>
        <family val="2"/>
      </rPr>
      <t>Rentabilidad de los Activos</t>
    </r>
    <r>
      <rPr>
        <sz val="10"/>
        <color theme="1"/>
        <rFont val="Arial"/>
        <family val="2"/>
      </rPr>
      <t>: ROA (Return on Assets) es la razón de utilidad operacional entre el total de activos.</t>
    </r>
  </si>
  <si>
    <r>
      <rPr>
        <u/>
        <sz val="10"/>
        <color theme="1"/>
        <rFont val="Arial"/>
        <family val="2"/>
      </rPr>
      <t>Rentabilidad del Capital</t>
    </r>
    <r>
      <rPr>
        <sz val="10"/>
        <color theme="1"/>
        <rFont val="Arial"/>
        <family val="2"/>
      </rPr>
      <t>: ROE (Return on Equity) se define como el beneficio neto divido entre el capital de los accionistas.</t>
    </r>
  </si>
  <si>
    <t>Homologación certificada</t>
  </si>
  <si>
    <t>A (95-100)</t>
  </si>
  <si>
    <t>B (85-95)</t>
  </si>
  <si>
    <t>C (70-85)</t>
  </si>
  <si>
    <t>D (50-70)</t>
  </si>
  <si>
    <t>E (&lt;50)</t>
  </si>
  <si>
    <t>RESULTADO</t>
  </si>
  <si>
    <t>ANÁLISIS</t>
  </si>
  <si>
    <t>Puntaje</t>
  </si>
  <si>
    <t>VI</t>
  </si>
  <si>
    <t>V</t>
  </si>
  <si>
    <t>Puntaje Máximo</t>
  </si>
  <si>
    <t>Puntaje Obtenido</t>
  </si>
  <si>
    <t>Aspecto</t>
  </si>
  <si>
    <t>ACTIVIDAD HOMOLOGADOA</t>
  </si>
  <si>
    <t>Materias primas críticas (Fabricación)</t>
  </si>
  <si>
    <t>Materias primas no críticas (Comercialización)</t>
  </si>
  <si>
    <t>Suministros no críticos (Comercialización)</t>
  </si>
  <si>
    <t>Servicios Comercio exterior (Comex)</t>
  </si>
  <si>
    <t xml:space="preserve">Transportistas </t>
  </si>
  <si>
    <t>DESCRIPCIÓN DE ACTIVIDAD HOMOLOGADA:</t>
  </si>
  <si>
    <t>DESCRIPCIÓN DE ACTIVIDAD:</t>
  </si>
  <si>
    <t>Suministros críticos (Fabricación)</t>
  </si>
  <si>
    <t>Peso</t>
  </si>
  <si>
    <t>Columna (Artificio)</t>
  </si>
  <si>
    <t>Cumplimiento (%)</t>
  </si>
  <si>
    <t>LEYENDA</t>
  </si>
  <si>
    <t>Comentarios (obligatorio en caso SI)</t>
  </si>
  <si>
    <t>1.- INDICES DE LIQUIDEZ :</t>
  </si>
  <si>
    <t>Es la capacidad de la empresa para cumplir sus obligaciones a corto plazo. Las razones de solvencia a corto plazo miden la capacidad de la empresa para pagar sus obligaciones financieras corrientes. En la medida en que una empresa tenga suficiente flujo de caja, podrá evitar el incumplimiento de sus obligaciones financieras.</t>
  </si>
  <si>
    <t>2.- INDICES DE GESTION :</t>
  </si>
  <si>
    <t>3.-INDICE DE SOLVENCIA  (APALANCAMIENTO FINANCIERO) :</t>
  </si>
  <si>
    <t>4.- INDICE DE RENTABILIDAD :</t>
  </si>
  <si>
    <r>
      <rPr>
        <u/>
        <sz val="10"/>
        <color theme="1"/>
        <rFont val="Arial"/>
        <family val="2"/>
      </rPr>
      <t>Razón de Rotación de la Cuenta por Cobrar</t>
    </r>
    <r>
      <rPr>
        <sz val="10"/>
        <color theme="1"/>
        <rFont val="Arial"/>
        <family val="2"/>
      </rPr>
      <t xml:space="preserve"> , Periodo Promedio de Cobro: Estas razones proporciona información acerca del éxito de la empresa en el manejo de su inversión en cuentas por cobrar. El valor real de estas razones refleja la política de crédito de la empresa. Si una empresa tiene una política de crédito liberal, el importe de sus cuentas por cobrar será mayor que el que tendría en otras condiciones.</t>
    </r>
  </si>
  <si>
    <r>
      <rPr>
        <u/>
        <sz val="10"/>
        <color theme="1"/>
        <rFont val="Arial"/>
        <family val="2"/>
      </rPr>
      <t>Razón de Rotación del Activo</t>
    </r>
    <r>
      <rPr>
        <sz val="10"/>
        <color theme="1"/>
        <rFont val="Arial"/>
        <family val="2"/>
      </rPr>
      <t xml:space="preserve">: El objetivo de esta razón es indicar la eficiencia con que una empresautiliza sus activos. Si la razón de rotación del activo es alta, se presume que la empresa esta usando sus activos de modo eficiente para generar ventas. Si la razón es baja, la empresa no esta utilizando sus activos al máximo de su capacidad y debe de incrementar sus ventas o vender algunos activos. </t>
    </r>
  </si>
  <si>
    <t>PUNTAJES</t>
  </si>
  <si>
    <t xml:space="preserve">                                                              ACTIVIDAD HOMOLOGADA
                       ASPECTOS </t>
  </si>
  <si>
    <t>ITEM</t>
  </si>
  <si>
    <t>Evaluación Sentinel de Empresas relacionadas</t>
  </si>
  <si>
    <t>&lt;=</t>
  </si>
  <si>
    <t>DIRECCIÓN DE DONDE ATENDERÁ A EXSA:</t>
  </si>
  <si>
    <t>HOMOLOGACIÓN CERTIFICADA (SGS, BUREAU VERITAS, ETC)</t>
  </si>
  <si>
    <t xml:space="preserve">¿ La empresa tiene deudas vencidas? (Cuando sea aplicable). </t>
  </si>
  <si>
    <t>Servicios críticos (Proyectos Sive´s)</t>
  </si>
  <si>
    <t>Servicios críticos (Mantenimiento)</t>
  </si>
  <si>
    <t>lo mande a puntaje cero</t>
  </si>
  <si>
    <t>si</t>
  </si>
  <si>
    <t>no</t>
  </si>
  <si>
    <t>No presenta</t>
  </si>
  <si>
    <t>Presenta firmada</t>
  </si>
  <si>
    <t>Presenta</t>
  </si>
  <si>
    <t>Evaluación Sentinel de Empresa (Menores a S/. 5,000 o subsanados = A)</t>
  </si>
  <si>
    <t>Servicios no críticos (Administrativos-Campo)</t>
  </si>
  <si>
    <t>Servicios no críticos (Administrativos-Gabinete)</t>
  </si>
  <si>
    <t>Servicios críticos (Proyectos Planta)</t>
  </si>
  <si>
    <t>Propio</t>
  </si>
  <si>
    <t>Alquilado</t>
  </si>
  <si>
    <t>situacion instalaciones</t>
  </si>
  <si>
    <t>SISTEMA GESTION DE CALIDAD (PROCEDIMIENTO, MANUAL, POLITICA)</t>
  </si>
  <si>
    <t>Persona Natural</t>
  </si>
  <si>
    <t>Suspensión temporal</t>
  </si>
  <si>
    <t>abcde</t>
  </si>
  <si>
    <t>REPRESENTANTE LEGAL</t>
  </si>
  <si>
    <t>Nombre completo</t>
  </si>
  <si>
    <t>DNI</t>
  </si>
  <si>
    <t>Domicilio Legal y/o Habitual de la Oficina Principal</t>
  </si>
  <si>
    <r>
      <t xml:space="preserve">Adjuntar Vigencia Poder del Representante Legal (Antigüedad no mayor a 30 días) - </t>
    </r>
    <r>
      <rPr>
        <b/>
        <sz val="11"/>
        <color theme="1"/>
        <rFont val="Calibri"/>
        <family val="2"/>
        <scheme val="minor"/>
      </rPr>
      <t>OBLIGATORIO</t>
    </r>
  </si>
  <si>
    <r>
      <t xml:space="preserve">De todos los clientes del proveedor, no solo Exsa. </t>
    </r>
    <r>
      <rPr>
        <b/>
        <sz val="11"/>
        <color theme="1"/>
        <rFont val="Calibri"/>
        <family val="2"/>
        <scheme val="minor"/>
      </rPr>
      <t>Es necesario adjunte como sustento los Estados de Resultados o PDT de Impuesto a la Renta.</t>
    </r>
  </si>
  <si>
    <r>
      <t xml:space="preserve">Confirmar si cuenta con lo siguientes puntos. Es necesario </t>
    </r>
    <r>
      <rPr>
        <b/>
        <sz val="11"/>
        <color theme="1"/>
        <rFont val="Calibri"/>
        <family val="2"/>
        <scheme val="minor"/>
      </rPr>
      <t>adjunte como evidencia las Constancias, Certificados o Cartas.</t>
    </r>
  </si>
  <si>
    <t>Representante Legal</t>
  </si>
  <si>
    <t>Datos completos</t>
  </si>
  <si>
    <t>Datos incompletos</t>
  </si>
  <si>
    <t>COMPRAS GENERALES</t>
  </si>
  <si>
    <t>INFORMACIÓN DE PROVEEDOR PARA HOMOLOGACIÓN TIPO E2</t>
  </si>
  <si>
    <t>COG-F-011</t>
  </si>
  <si>
    <t>EDICIÓN 01</t>
  </si>
  <si>
    <t>COG-F-012</t>
  </si>
  <si>
    <t>Edición 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</si>
</sst>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 &quot;S/.&quot;\ * #,##0.00_ ;_ &quot;S/.&quot;\ * \-#,##0.00_ ;_ &quot;S/.&quot;\ * &quot;-&quot;??_ ;_ @_ "/>
    <numFmt numFmtId="164" formatCode="yyyy\-mm"/>
    <numFmt numFmtId="165" formatCode="_ [$S/.-280A]\ * #,##0_ ;_ [$S/.-280A]\ * \-#,##0_ ;_ [$S/.-280A]\ * &quot;-&quot;??_ ;_ @_ "/>
    <numFmt numFmtId="166" formatCode="_ &quot;S/.&quot;\ * #,##0_ ;_ &quot;S/.&quot;\ * \-#,##0_ ;_ &quot;S/.&quot;\ * &quot;-&quot;??_ ;_ @_ "/>
  </numFmts>
  <fonts count="16" x14ac:knownFonts="1">
    <font>
      <sz val="11"/>
      <color theme="1"/>
      <name val="Calibri"/>
      <family val="2"/>
      <scheme val="minor"/>
    </font>
    <font>
      <sz val="11"/>
      <color theme="1"/>
      <name val="Calibri"/>
      <family val="2"/>
      <scheme val="minor"/>
    </font>
    <font>
      <u/>
      <sz val="11"/>
      <color theme="10"/>
      <name val="Calibri"/>
      <family val="2"/>
      <scheme val="minor"/>
    </font>
    <font>
      <sz val="10"/>
      <color theme="1"/>
      <name val="Arial"/>
      <family val="2"/>
    </font>
    <font>
      <b/>
      <sz val="10"/>
      <color theme="1"/>
      <name val="Arial"/>
      <family val="2"/>
    </font>
    <font>
      <b/>
      <sz val="12"/>
      <color theme="1"/>
      <name val="Arial"/>
      <family val="2"/>
    </font>
    <font>
      <b/>
      <sz val="11"/>
      <color theme="1"/>
      <name val="Calibri"/>
      <family val="2"/>
      <scheme val="minor"/>
    </font>
    <font>
      <sz val="11"/>
      <color theme="0"/>
      <name val="Calibri"/>
      <family val="2"/>
      <scheme val="minor"/>
    </font>
    <font>
      <u/>
      <sz val="10"/>
      <color theme="1"/>
      <name val="Arial"/>
      <family val="2"/>
    </font>
    <font>
      <sz val="10"/>
      <name val="Arial"/>
      <family val="2"/>
    </font>
    <font>
      <sz val="12"/>
      <color theme="1"/>
      <name val="Arial"/>
      <family val="2"/>
    </font>
    <font>
      <sz val="10"/>
      <color rgb="FFFF0000"/>
      <name val="Arial"/>
      <family val="2"/>
    </font>
    <font>
      <sz val="10"/>
      <color rgb="FF00B050"/>
      <name val="Arial"/>
      <family val="2"/>
    </font>
    <font>
      <sz val="10"/>
      <color theme="9" tint="-0.249977111117893"/>
      <name val="Arial"/>
      <family val="2"/>
    </font>
    <font>
      <sz val="10"/>
      <color theme="0"/>
      <name val="Arial"/>
      <family val="2"/>
    </font>
    <font>
      <b/>
      <sz val="12"/>
      <color theme="1"/>
      <name val="Calibri"/>
      <family val="2"/>
      <scheme val="minor"/>
    </font>
  </fonts>
  <fills count="10">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3" tint="0.59999389629810485"/>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s>
  <borders count="44">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right style="medium">
        <color indexed="64"/>
      </right>
      <top/>
      <bottom style="thin">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s>
  <cellStyleXfs count="6">
    <xf numFmtId="0" fontId="0" fillId="0" borderId="0"/>
    <xf numFmtId="4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1" fillId="0" borderId="0"/>
    <xf numFmtId="0" fontId="9" fillId="0" borderId="0"/>
  </cellStyleXfs>
  <cellXfs count="289">
    <xf numFmtId="0" fontId="0" fillId="0" borderId="0" xfId="0"/>
    <xf numFmtId="0" fontId="0" fillId="2" borderId="0" xfId="0" applyFill="1"/>
    <xf numFmtId="0" fontId="0" fillId="2" borderId="0" xfId="0" applyFont="1" applyFill="1" applyProtection="1"/>
    <xf numFmtId="0" fontId="0" fillId="2" borderId="0" xfId="0" applyFont="1" applyFill="1" applyBorder="1" applyProtection="1"/>
    <xf numFmtId="0" fontId="6" fillId="2" borderId="0" xfId="0" applyFont="1" applyFill="1" applyBorder="1" applyAlignment="1" applyProtection="1">
      <alignment vertical="center"/>
    </xf>
    <xf numFmtId="0" fontId="6" fillId="2" borderId="0" xfId="0" applyFont="1" applyFill="1" applyAlignment="1" applyProtection="1">
      <alignment horizontal="left" vertical="center"/>
    </xf>
    <xf numFmtId="0" fontId="0" fillId="2" borderId="0" xfId="0" applyFont="1" applyFill="1" applyBorder="1" applyAlignment="1" applyProtection="1">
      <alignment vertical="center"/>
    </xf>
    <xf numFmtId="0" fontId="0" fillId="2" borderId="0" xfId="0" applyFont="1" applyFill="1" applyAlignment="1" applyProtection="1">
      <alignment horizontal="center" vertical="center"/>
    </xf>
    <xf numFmtId="0" fontId="0" fillId="2" borderId="0" xfId="0" applyFont="1" applyFill="1" applyAlignment="1" applyProtection="1">
      <alignment horizontal="left" vertical="center"/>
    </xf>
    <xf numFmtId="0" fontId="0" fillId="2" borderId="0" xfId="0" applyFont="1" applyFill="1" applyBorder="1" applyAlignment="1" applyProtection="1">
      <alignment horizontal="center" vertical="center"/>
    </xf>
    <xf numFmtId="0" fontId="0" fillId="2" borderId="0" xfId="0" applyFont="1" applyFill="1" applyBorder="1" applyAlignment="1" applyProtection="1">
      <alignment horizontal="left" vertical="center"/>
    </xf>
    <xf numFmtId="0" fontId="0" fillId="2" borderId="4" xfId="0" applyFont="1" applyFill="1" applyBorder="1" applyAlignment="1" applyProtection="1">
      <alignment horizontal="left" vertical="center"/>
    </xf>
    <xf numFmtId="0" fontId="0" fillId="2" borderId="4" xfId="0" applyFont="1" applyFill="1" applyBorder="1" applyProtection="1"/>
    <xf numFmtId="0" fontId="0" fillId="2" borderId="4" xfId="0" applyFont="1" applyFill="1" applyBorder="1" applyAlignment="1" applyProtection="1">
      <alignment horizontal="center" vertical="center"/>
    </xf>
    <xf numFmtId="164" fontId="0" fillId="2" borderId="4" xfId="0" applyNumberFormat="1" applyFont="1" applyFill="1" applyBorder="1" applyAlignment="1" applyProtection="1">
      <alignment horizontal="left" vertical="center"/>
    </xf>
    <xf numFmtId="164" fontId="0" fillId="2" borderId="4" xfId="0" applyNumberFormat="1" applyFont="1" applyFill="1" applyBorder="1" applyAlignment="1" applyProtection="1">
      <alignment horizontal="center" vertical="center"/>
    </xf>
    <xf numFmtId="164" fontId="0" fillId="2" borderId="0" xfId="0" applyNumberFormat="1" applyFont="1" applyFill="1" applyBorder="1" applyAlignment="1" applyProtection="1">
      <alignment horizontal="center" vertical="center"/>
    </xf>
    <xf numFmtId="0" fontId="0" fillId="3" borderId="4" xfId="0" applyFont="1" applyFill="1" applyBorder="1" applyAlignment="1" applyProtection="1">
      <alignment horizontal="center" vertical="center"/>
      <protection locked="0"/>
    </xf>
    <xf numFmtId="0" fontId="7" fillId="2" borderId="0" xfId="0" applyFont="1" applyFill="1" applyBorder="1" applyAlignment="1" applyProtection="1">
      <alignment horizontal="left" vertical="center"/>
    </xf>
    <xf numFmtId="3" fontId="0" fillId="2" borderId="0" xfId="0" applyNumberFormat="1" applyFont="1" applyFill="1" applyBorder="1" applyAlignment="1" applyProtection="1">
      <alignment horizontal="center" vertical="center"/>
    </xf>
    <xf numFmtId="0" fontId="6" fillId="5" borderId="0" xfId="0" applyFont="1" applyFill="1" applyAlignment="1" applyProtection="1">
      <alignment horizontal="left" vertical="center" wrapText="1"/>
    </xf>
    <xf numFmtId="0" fontId="6" fillId="4" borderId="0" xfId="0" applyFont="1" applyFill="1" applyAlignment="1" applyProtection="1">
      <alignment vertical="center"/>
    </xf>
    <xf numFmtId="0" fontId="6" fillId="2" borderId="0" xfId="0" applyFont="1" applyFill="1" applyAlignment="1" applyProtection="1">
      <alignment vertical="center"/>
    </xf>
    <xf numFmtId="166" fontId="0" fillId="2" borderId="0" xfId="1" applyNumberFormat="1" applyFont="1" applyFill="1" applyBorder="1" applyAlignment="1" applyProtection="1">
      <alignment horizontal="center" vertical="center"/>
    </xf>
    <xf numFmtId="0" fontId="0" fillId="2" borderId="0" xfId="0" applyFont="1" applyFill="1"/>
    <xf numFmtId="3" fontId="0" fillId="2" borderId="10" xfId="0" applyNumberFormat="1" applyFont="1" applyFill="1" applyBorder="1" applyAlignment="1">
      <alignment horizontal="left" vertical="center" wrapText="1"/>
    </xf>
    <xf numFmtId="3" fontId="0" fillId="2" borderId="11" xfId="0" applyNumberFormat="1" applyFont="1" applyFill="1" applyBorder="1" applyAlignment="1">
      <alignment horizontal="left" vertical="center" wrapText="1"/>
    </xf>
    <xf numFmtId="3" fontId="0" fillId="2" borderId="12" xfId="0" applyNumberFormat="1" applyFont="1" applyFill="1" applyBorder="1" applyAlignment="1">
      <alignment horizontal="left" vertical="center" wrapText="1"/>
    </xf>
    <xf numFmtId="0" fontId="0" fillId="2" borderId="10" xfId="0" applyFont="1" applyFill="1" applyBorder="1" applyAlignment="1">
      <alignment horizontal="left" vertical="center" wrapText="1"/>
    </xf>
    <xf numFmtId="0" fontId="0" fillId="2" borderId="11" xfId="0" applyFont="1" applyFill="1" applyBorder="1" applyAlignment="1">
      <alignment horizontal="left" vertical="center" wrapText="1"/>
    </xf>
    <xf numFmtId="0" fontId="0" fillId="2" borderId="12" xfId="0" applyFont="1" applyFill="1" applyBorder="1" applyAlignment="1">
      <alignment horizontal="left" vertical="center" wrapText="1"/>
    </xf>
    <xf numFmtId="0" fontId="6" fillId="2" borderId="4" xfId="0" applyFont="1" applyFill="1" applyBorder="1" applyAlignment="1" applyProtection="1">
      <alignment horizontal="center" vertical="center"/>
    </xf>
    <xf numFmtId="14" fontId="0" fillId="3" borderId="4" xfId="0" applyNumberFormat="1" applyFont="1" applyFill="1" applyBorder="1" applyAlignment="1" applyProtection="1">
      <alignment horizontal="center" vertical="center"/>
      <protection locked="0"/>
    </xf>
    <xf numFmtId="166" fontId="0" fillId="3" borderId="4" xfId="1" applyNumberFormat="1" applyFont="1" applyFill="1" applyBorder="1" applyAlignment="1" applyProtection="1">
      <alignment horizontal="center" vertical="center"/>
      <protection locked="0"/>
    </xf>
    <xf numFmtId="44" fontId="0" fillId="3" borderId="4" xfId="1" applyFont="1" applyFill="1" applyBorder="1" applyAlignment="1" applyProtection="1">
      <alignment horizontal="center" vertical="center"/>
      <protection locked="0"/>
    </xf>
    <xf numFmtId="0" fontId="3" fillId="0" borderId="32" xfId="0" applyFont="1" applyBorder="1" applyAlignment="1" applyProtection="1"/>
    <xf numFmtId="0" fontId="3" fillId="0" borderId="0" xfId="0" applyFont="1" applyProtection="1"/>
    <xf numFmtId="0" fontId="3" fillId="0" borderId="27" xfId="0" applyFont="1" applyBorder="1" applyAlignment="1" applyProtection="1"/>
    <xf numFmtId="0" fontId="3" fillId="0" borderId="30" xfId="0" applyFont="1" applyBorder="1" applyAlignment="1" applyProtection="1"/>
    <xf numFmtId="0" fontId="3" fillId="2" borderId="0" xfId="4" applyFont="1" applyFill="1" applyProtection="1"/>
    <xf numFmtId="0" fontId="3" fillId="0" borderId="4" xfId="0" applyFont="1" applyBorder="1" applyAlignment="1" applyProtection="1">
      <alignment horizontal="center" vertical="center" wrapText="1"/>
    </xf>
    <xf numFmtId="0" fontId="3" fillId="0" borderId="4" xfId="0" applyFont="1" applyBorder="1" applyAlignment="1" applyProtection="1">
      <alignment horizontal="left" vertical="center" wrapText="1"/>
    </xf>
    <xf numFmtId="0" fontId="3" fillId="0" borderId="0" xfId="0" applyFont="1" applyAlignment="1" applyProtection="1">
      <alignment horizontal="center" vertical="center" wrapText="1"/>
    </xf>
    <xf numFmtId="0" fontId="3" fillId="6" borderId="4" xfId="4" applyFont="1" applyFill="1" applyBorder="1" applyAlignment="1" applyProtection="1">
      <alignment horizontal="center" vertical="center" wrapText="1"/>
    </xf>
    <xf numFmtId="0" fontId="3" fillId="6" borderId="4" xfId="4" applyFont="1" applyFill="1" applyBorder="1" applyAlignment="1" applyProtection="1">
      <alignment horizontal="left" vertical="center" wrapText="1"/>
    </xf>
    <xf numFmtId="9" fontId="3" fillId="6" borderId="4" xfId="2" applyFont="1" applyFill="1" applyBorder="1" applyAlignment="1" applyProtection="1">
      <alignment horizontal="center" vertical="center" wrapText="1"/>
    </xf>
    <xf numFmtId="0" fontId="3" fillId="2" borderId="4" xfId="4" applyFont="1" applyFill="1" applyBorder="1" applyAlignment="1" applyProtection="1">
      <alignment horizontal="center" vertical="center" wrapText="1"/>
    </xf>
    <xf numFmtId="0" fontId="3" fillId="2" borderId="4" xfId="4" applyFont="1" applyFill="1" applyBorder="1" applyAlignment="1" applyProtection="1">
      <alignment horizontal="left" vertical="center"/>
    </xf>
    <xf numFmtId="9" fontId="3" fillId="2" borderId="4" xfId="2" applyFont="1" applyFill="1" applyBorder="1" applyAlignment="1" applyProtection="1">
      <alignment horizontal="center" vertical="center"/>
    </xf>
    <xf numFmtId="9" fontId="11" fillId="2" borderId="4" xfId="2" applyFont="1" applyFill="1" applyBorder="1" applyAlignment="1" applyProtection="1">
      <alignment horizontal="center" vertical="center"/>
    </xf>
    <xf numFmtId="0" fontId="3" fillId="2" borderId="4" xfId="0" applyFont="1" applyFill="1" applyBorder="1" applyAlignment="1" applyProtection="1">
      <alignment horizontal="left" vertical="center"/>
    </xf>
    <xf numFmtId="9" fontId="13" fillId="2" borderId="4" xfId="2" applyFont="1" applyFill="1" applyBorder="1" applyAlignment="1" applyProtection="1">
      <alignment horizontal="center" vertical="center"/>
    </xf>
    <xf numFmtId="9" fontId="3" fillId="2" borderId="4" xfId="2" applyFont="1" applyFill="1" applyBorder="1" applyAlignment="1" applyProtection="1">
      <alignment horizontal="left" vertical="center"/>
    </xf>
    <xf numFmtId="9" fontId="12" fillId="2" borderId="4" xfId="2" applyFont="1" applyFill="1" applyBorder="1" applyAlignment="1" applyProtection="1">
      <alignment horizontal="center" vertical="center"/>
    </xf>
    <xf numFmtId="9" fontId="3" fillId="0" borderId="0" xfId="0" applyNumberFormat="1" applyFont="1" applyProtection="1"/>
    <xf numFmtId="0" fontId="3" fillId="2" borderId="0" xfId="4" applyFont="1" applyFill="1" applyBorder="1" applyProtection="1"/>
    <xf numFmtId="0" fontId="3" fillId="2" borderId="0" xfId="4" applyFont="1" applyFill="1" applyAlignment="1" applyProtection="1">
      <alignment horizontal="center" vertical="center"/>
    </xf>
    <xf numFmtId="0" fontId="4" fillId="2" borderId="4" xfId="4" applyFont="1" applyFill="1" applyBorder="1" applyAlignment="1" applyProtection="1">
      <alignment horizontal="center" vertical="center"/>
    </xf>
    <xf numFmtId="0" fontId="4" fillId="2" borderId="0" xfId="4" applyFont="1" applyFill="1" applyBorder="1" applyAlignment="1" applyProtection="1">
      <alignment horizontal="center" vertical="center"/>
    </xf>
    <xf numFmtId="0" fontId="3" fillId="2" borderId="0" xfId="4" applyFont="1" applyFill="1" applyBorder="1" applyAlignment="1" applyProtection="1">
      <alignment horizontal="left"/>
    </xf>
    <xf numFmtId="0" fontId="4" fillId="2" borderId="0" xfId="4" applyFont="1" applyFill="1" applyBorder="1" applyAlignment="1" applyProtection="1">
      <alignment horizontal="left"/>
    </xf>
    <xf numFmtId="0" fontId="4" fillId="2" borderId="0" xfId="4" applyFont="1" applyFill="1" applyBorder="1" applyProtection="1"/>
    <xf numFmtId="0" fontId="3" fillId="2" borderId="4" xfId="4" applyFont="1" applyFill="1" applyBorder="1" applyAlignment="1" applyProtection="1"/>
    <xf numFmtId="0" fontId="3" fillId="2" borderId="4" xfId="4" applyFont="1" applyFill="1" applyBorder="1" applyAlignment="1" applyProtection="1">
      <alignment horizontal="center"/>
    </xf>
    <xf numFmtId="9" fontId="3" fillId="2" borderId="4" xfId="2" applyFont="1" applyFill="1" applyBorder="1" applyAlignment="1" applyProtection="1">
      <alignment horizontal="center" vertical="center" wrapText="1"/>
    </xf>
    <xf numFmtId="1" fontId="3" fillId="2" borderId="4" xfId="4" applyNumberFormat="1" applyFont="1" applyFill="1" applyBorder="1" applyAlignment="1" applyProtection="1">
      <alignment horizontal="center" vertical="center" wrapText="1"/>
    </xf>
    <xf numFmtId="1" fontId="3" fillId="2" borderId="4" xfId="4" applyNumberFormat="1" applyFont="1" applyFill="1" applyBorder="1" applyAlignment="1" applyProtection="1">
      <alignment horizontal="center" vertical="center"/>
    </xf>
    <xf numFmtId="0" fontId="3" fillId="2" borderId="0" xfId="4" applyFont="1" applyFill="1" applyBorder="1" applyAlignment="1" applyProtection="1">
      <alignment horizontal="center" vertical="center" wrapText="1"/>
    </xf>
    <xf numFmtId="0" fontId="3" fillId="2" borderId="0" xfId="4" applyFont="1" applyFill="1" applyBorder="1" applyAlignment="1" applyProtection="1">
      <alignment horizontal="left" vertical="center" wrapText="1"/>
    </xf>
    <xf numFmtId="9" fontId="3" fillId="2" borderId="0" xfId="2" applyFont="1" applyFill="1" applyBorder="1" applyAlignment="1" applyProtection="1">
      <alignment horizontal="left" vertical="center" wrapText="1"/>
    </xf>
    <xf numFmtId="1" fontId="4" fillId="2" borderId="0" xfId="4" applyNumberFormat="1" applyFont="1" applyFill="1" applyBorder="1" applyAlignment="1" applyProtection="1">
      <alignment horizontal="center" vertical="center"/>
    </xf>
    <xf numFmtId="0" fontId="3" fillId="2" borderId="0" xfId="4" applyNumberFormat="1" applyFont="1" applyFill="1" applyBorder="1" applyAlignment="1" applyProtection="1">
      <alignment horizontal="left" vertical="center" wrapText="1"/>
    </xf>
    <xf numFmtId="0" fontId="3" fillId="2" borderId="9" xfId="4" applyFont="1" applyFill="1" applyBorder="1" applyAlignment="1" applyProtection="1">
      <alignment horizontal="center" vertical="center"/>
    </xf>
    <xf numFmtId="0" fontId="3" fillId="2" borderId="8" xfId="4" applyFont="1" applyFill="1" applyBorder="1" applyAlignment="1" applyProtection="1">
      <alignment horizontal="center" vertical="center"/>
    </xf>
    <xf numFmtId="9" fontId="3" fillId="2" borderId="8" xfId="2" applyFont="1" applyFill="1" applyBorder="1" applyAlignment="1" applyProtection="1">
      <alignment horizontal="center" vertical="center"/>
    </xf>
    <xf numFmtId="0" fontId="3" fillId="2" borderId="9" xfId="4" applyFont="1" applyFill="1" applyBorder="1" applyAlignment="1" applyProtection="1">
      <alignment horizontal="left" vertical="center"/>
    </xf>
    <xf numFmtId="0" fontId="4" fillId="6" borderId="25" xfId="4" applyFont="1" applyFill="1" applyBorder="1" applyAlignment="1" applyProtection="1">
      <alignment horizontal="center" vertical="center"/>
    </xf>
    <xf numFmtId="0" fontId="4" fillId="6" borderId="22" xfId="4" applyFont="1" applyFill="1" applyBorder="1" applyAlignment="1" applyProtection="1">
      <alignment horizontal="center" vertical="center"/>
    </xf>
    <xf numFmtId="0" fontId="4" fillId="6" borderId="42" xfId="4" applyFont="1" applyFill="1" applyBorder="1" applyAlignment="1" applyProtection="1">
      <alignment horizontal="center" vertical="center" wrapText="1"/>
    </xf>
    <xf numFmtId="0" fontId="4" fillId="6" borderId="35" xfId="4" applyFont="1" applyFill="1" applyBorder="1" applyAlignment="1" applyProtection="1">
      <alignment horizontal="center" vertical="center" wrapText="1"/>
    </xf>
    <xf numFmtId="0" fontId="4" fillId="6" borderId="43" xfId="4" applyFont="1" applyFill="1" applyBorder="1" applyAlignment="1" applyProtection="1">
      <alignment horizontal="center" vertical="center"/>
    </xf>
    <xf numFmtId="1" fontId="4" fillId="6" borderId="36" xfId="4" applyNumberFormat="1" applyFont="1" applyFill="1" applyBorder="1" applyAlignment="1" applyProtection="1">
      <alignment horizontal="center" vertical="center"/>
    </xf>
    <xf numFmtId="0" fontId="0" fillId="2" borderId="7" xfId="0" applyFill="1" applyBorder="1" applyAlignment="1" applyProtection="1">
      <alignment horizontal="center" vertical="center" wrapText="1"/>
    </xf>
    <xf numFmtId="9" fontId="4" fillId="2" borderId="14" xfId="2" applyFont="1" applyFill="1" applyBorder="1" applyAlignment="1" applyProtection="1">
      <alignment horizontal="center" vertical="center"/>
    </xf>
    <xf numFmtId="0" fontId="4" fillId="2" borderId="14" xfId="4" applyFont="1" applyFill="1" applyBorder="1" applyAlignment="1" applyProtection="1">
      <alignment horizontal="center" vertical="center"/>
    </xf>
    <xf numFmtId="3" fontId="3" fillId="2" borderId="14" xfId="4" applyNumberFormat="1" applyFont="1" applyFill="1" applyBorder="1" applyAlignment="1" applyProtection="1">
      <alignment horizontal="center" vertical="center"/>
    </xf>
    <xf numFmtId="0" fontId="3" fillId="2" borderId="16" xfId="4" applyFont="1" applyFill="1" applyBorder="1" applyAlignment="1" applyProtection="1">
      <alignment horizontal="center" vertical="center"/>
    </xf>
    <xf numFmtId="0" fontId="4" fillId="2" borderId="32" xfId="4" applyFont="1" applyFill="1" applyBorder="1" applyAlignment="1" applyProtection="1">
      <alignment horizontal="center" vertical="center" wrapText="1"/>
    </xf>
    <xf numFmtId="0" fontId="3" fillId="2" borderId="10" xfId="4" applyFont="1" applyFill="1" applyBorder="1" applyAlignment="1" applyProtection="1">
      <alignment horizontal="left" vertical="center" wrapText="1"/>
    </xf>
    <xf numFmtId="0" fontId="3" fillId="2" borderId="10" xfId="4" applyFont="1" applyFill="1" applyBorder="1" applyAlignment="1" applyProtection="1">
      <alignment horizontal="center" vertical="center" wrapText="1"/>
    </xf>
    <xf numFmtId="0" fontId="3" fillId="2" borderId="15" xfId="4" applyFont="1" applyFill="1" applyBorder="1" applyAlignment="1" applyProtection="1">
      <alignment horizontal="center" vertical="center" wrapText="1"/>
    </xf>
    <xf numFmtId="0" fontId="3" fillId="2" borderId="18" xfId="4" applyFont="1" applyFill="1" applyBorder="1" applyAlignment="1" applyProtection="1">
      <alignment horizontal="center" vertical="center" wrapText="1"/>
    </xf>
    <xf numFmtId="0" fontId="3" fillId="2" borderId="0" xfId="4" applyFont="1" applyFill="1" applyBorder="1" applyAlignment="1" applyProtection="1">
      <alignment horizontal="center" vertical="center"/>
    </xf>
    <xf numFmtId="0" fontId="4" fillId="2" borderId="27" xfId="4" applyFont="1" applyFill="1" applyBorder="1" applyAlignment="1" applyProtection="1">
      <alignment horizontal="center" vertical="center" wrapText="1"/>
    </xf>
    <xf numFmtId="0" fontId="3" fillId="2" borderId="11" xfId="4" applyFont="1" applyFill="1" applyBorder="1" applyAlignment="1" applyProtection="1">
      <alignment horizontal="left" vertical="center" wrapText="1"/>
    </xf>
    <xf numFmtId="0" fontId="3" fillId="2" borderId="11" xfId="4" applyFont="1" applyFill="1" applyBorder="1" applyAlignment="1" applyProtection="1">
      <alignment horizontal="center" vertical="center" wrapText="1"/>
    </xf>
    <xf numFmtId="0" fontId="3" fillId="2" borderId="19" xfId="4" applyFont="1" applyFill="1" applyBorder="1" applyAlignment="1" applyProtection="1">
      <alignment horizontal="center" vertical="center" wrapText="1"/>
    </xf>
    <xf numFmtId="0" fontId="4" fillId="2" borderId="30" xfId="4" applyFont="1" applyFill="1" applyBorder="1" applyAlignment="1" applyProtection="1">
      <alignment horizontal="center" vertical="center" wrapText="1"/>
    </xf>
    <xf numFmtId="0" fontId="3" fillId="2" borderId="29" xfId="4" applyFont="1" applyFill="1" applyBorder="1" applyAlignment="1" applyProtection="1">
      <alignment horizontal="left" vertical="center" wrapText="1"/>
    </xf>
    <xf numFmtId="9" fontId="4" fillId="2" borderId="4" xfId="2" applyFont="1" applyFill="1" applyBorder="1" applyAlignment="1" applyProtection="1">
      <alignment horizontal="center" vertical="center"/>
    </xf>
    <xf numFmtId="0" fontId="3" fillId="2" borderId="4" xfId="4" applyFont="1" applyFill="1" applyBorder="1" applyAlignment="1" applyProtection="1">
      <alignment horizontal="center" vertical="center"/>
    </xf>
    <xf numFmtId="0" fontId="3" fillId="2" borderId="21" xfId="4" applyFont="1" applyFill="1" applyBorder="1" applyAlignment="1" applyProtection="1">
      <alignment horizontal="center" vertical="center"/>
    </xf>
    <xf numFmtId="0" fontId="3" fillId="2" borderId="32" xfId="4" applyFont="1" applyFill="1" applyBorder="1" applyAlignment="1" applyProtection="1">
      <alignment horizontal="center" vertical="center" wrapText="1"/>
    </xf>
    <xf numFmtId="0" fontId="3" fillId="2" borderId="30" xfId="4" applyFont="1" applyFill="1" applyBorder="1" applyAlignment="1" applyProtection="1">
      <alignment horizontal="center" vertical="center" wrapText="1"/>
    </xf>
    <xf numFmtId="0" fontId="3" fillId="2" borderId="29" xfId="4" applyFont="1" applyFill="1" applyBorder="1" applyAlignment="1" applyProtection="1">
      <alignment horizontal="center" vertical="center" wrapText="1"/>
    </xf>
    <xf numFmtId="0" fontId="3" fillId="2" borderId="26" xfId="4" applyFont="1" applyFill="1" applyBorder="1" applyAlignment="1" applyProtection="1">
      <alignment horizontal="center" vertical="center" wrapText="1"/>
    </xf>
    <xf numFmtId="0" fontId="3" fillId="2" borderId="31" xfId="4" applyFont="1" applyFill="1" applyBorder="1" applyAlignment="1" applyProtection="1">
      <alignment horizontal="center" vertical="center" wrapText="1"/>
    </xf>
    <xf numFmtId="0" fontId="3" fillId="2" borderId="40" xfId="4" applyFont="1" applyFill="1" applyBorder="1" applyAlignment="1" applyProtection="1">
      <alignment horizontal="center" vertical="center" wrapText="1"/>
    </xf>
    <xf numFmtId="0" fontId="4" fillId="0" borderId="26" xfId="4" applyFont="1" applyFill="1" applyBorder="1" applyAlignment="1" applyProtection="1">
      <alignment horizontal="center" vertical="center"/>
    </xf>
    <xf numFmtId="0" fontId="3" fillId="0" borderId="26" xfId="4" applyFont="1" applyFill="1" applyBorder="1" applyAlignment="1" applyProtection="1">
      <alignment horizontal="center" vertical="center"/>
    </xf>
    <xf numFmtId="0" fontId="3" fillId="2" borderId="33" xfId="4" applyFont="1" applyFill="1" applyBorder="1" applyAlignment="1" applyProtection="1">
      <alignment horizontal="center" vertical="center" wrapText="1"/>
    </xf>
    <xf numFmtId="0" fontId="3" fillId="0" borderId="19" xfId="4" applyFont="1" applyFill="1" applyBorder="1" applyAlignment="1" applyProtection="1">
      <alignment horizontal="center" vertical="center" wrapText="1"/>
    </xf>
    <xf numFmtId="0" fontId="3" fillId="0" borderId="0" xfId="4" applyFont="1" applyFill="1" applyBorder="1" applyAlignment="1" applyProtection="1">
      <alignment horizontal="center" vertical="center" wrapText="1"/>
    </xf>
    <xf numFmtId="0" fontId="3" fillId="2" borderId="21" xfId="4" applyFont="1" applyFill="1" applyBorder="1" applyAlignment="1" applyProtection="1">
      <alignment horizontal="center" vertical="center" wrapText="1"/>
    </xf>
    <xf numFmtId="0" fontId="3" fillId="2" borderId="41" xfId="4" applyFont="1" applyFill="1" applyBorder="1" applyAlignment="1" applyProtection="1">
      <alignment horizontal="center" vertical="center" wrapText="1"/>
    </xf>
    <xf numFmtId="0" fontId="3" fillId="2" borderId="12" xfId="4" applyFont="1" applyFill="1" applyBorder="1" applyAlignment="1" applyProtection="1">
      <alignment horizontal="left" vertical="center" wrapText="1"/>
    </xf>
    <xf numFmtId="0" fontId="3" fillId="2" borderId="12" xfId="4" applyFont="1" applyFill="1" applyBorder="1" applyAlignment="1" applyProtection="1">
      <alignment horizontal="center" vertical="center" wrapText="1"/>
    </xf>
    <xf numFmtId="0" fontId="3" fillId="2" borderId="20" xfId="4" applyFont="1" applyFill="1" applyBorder="1" applyAlignment="1" applyProtection="1">
      <alignment horizontal="center" vertical="center" wrapText="1"/>
    </xf>
    <xf numFmtId="0" fontId="3" fillId="2" borderId="2" xfId="4" applyFont="1" applyFill="1" applyBorder="1" applyAlignment="1" applyProtection="1">
      <alignment horizontal="center" vertical="center" wrapText="1"/>
    </xf>
    <xf numFmtId="0" fontId="3" fillId="2" borderId="1" xfId="4" applyFont="1" applyFill="1" applyBorder="1" applyAlignment="1" applyProtection="1">
      <alignment horizontal="center" vertical="center" wrapText="1"/>
    </xf>
    <xf numFmtId="0" fontId="4" fillId="6" borderId="35" xfId="4" applyFont="1" applyFill="1" applyBorder="1" applyAlignment="1" applyProtection="1">
      <alignment horizontal="center" vertical="center"/>
    </xf>
    <xf numFmtId="0" fontId="4" fillId="2" borderId="32" xfId="0" applyFont="1" applyFill="1" applyBorder="1" applyAlignment="1" applyProtection="1">
      <alignment horizontal="center" vertical="center" wrapText="1"/>
    </xf>
    <xf numFmtId="0" fontId="3" fillId="2" borderId="10" xfId="0" applyFont="1" applyFill="1" applyBorder="1" applyAlignment="1" applyProtection="1">
      <alignment horizontal="left" vertical="center" wrapText="1"/>
    </xf>
    <xf numFmtId="0" fontId="3" fillId="2" borderId="1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2" fontId="3" fillId="2" borderId="27" xfId="4" applyNumberFormat="1" applyFont="1" applyFill="1" applyBorder="1" applyAlignment="1" applyProtection="1">
      <alignment horizontal="center" vertical="center" wrapText="1"/>
    </xf>
    <xf numFmtId="0" fontId="4" fillId="2" borderId="30" xfId="0" applyFont="1" applyFill="1" applyBorder="1" applyAlignment="1" applyProtection="1">
      <alignment horizontal="center" vertical="center" wrapText="1"/>
    </xf>
    <xf numFmtId="0" fontId="3" fillId="2" borderId="29" xfId="0" applyFont="1" applyFill="1" applyBorder="1" applyAlignment="1" applyProtection="1">
      <alignment horizontal="left" vertical="center" wrapText="1"/>
    </xf>
    <xf numFmtId="0" fontId="3" fillId="2" borderId="29"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2" fontId="3" fillId="2" borderId="30" xfId="4" applyNumberFormat="1" applyFont="1" applyFill="1" applyBorder="1" applyAlignment="1" applyProtection="1">
      <alignment horizontal="center" vertical="center" wrapText="1"/>
    </xf>
    <xf numFmtId="9" fontId="4" fillId="2" borderId="26" xfId="2" applyFont="1" applyFill="1" applyBorder="1" applyAlignment="1" applyProtection="1">
      <alignment horizontal="center" vertical="center"/>
    </xf>
    <xf numFmtId="9" fontId="4" fillId="2" borderId="30" xfId="2" applyFont="1" applyFill="1" applyBorder="1" applyAlignment="1" applyProtection="1">
      <alignment horizontal="center" vertical="center"/>
    </xf>
    <xf numFmtId="2" fontId="3" fillId="2" borderId="26" xfId="4" applyNumberFormat="1" applyFont="1" applyFill="1" applyBorder="1" applyAlignment="1" applyProtection="1">
      <alignment horizontal="center" vertical="center"/>
    </xf>
    <xf numFmtId="0" fontId="3" fillId="2" borderId="28" xfId="4" applyFont="1" applyFill="1" applyBorder="1" applyAlignment="1" applyProtection="1">
      <alignment horizontal="center" vertical="center"/>
    </xf>
    <xf numFmtId="0" fontId="4" fillId="2" borderId="27" xfId="0" applyFont="1" applyFill="1" applyBorder="1" applyAlignment="1" applyProtection="1">
      <alignment horizontal="center" vertical="center" wrapText="1"/>
    </xf>
    <xf numFmtId="0" fontId="3" fillId="2" borderId="11" xfId="0" applyFont="1" applyFill="1" applyBorder="1" applyAlignment="1" applyProtection="1">
      <alignment horizontal="left" vertical="center" wrapText="1"/>
    </xf>
    <xf numFmtId="0" fontId="3" fillId="2" borderId="11" xfId="0" applyFont="1" applyFill="1" applyBorder="1" applyAlignment="1" applyProtection="1">
      <alignment horizontal="center" vertical="center" wrapText="1"/>
    </xf>
    <xf numFmtId="0" fontId="3" fillId="2" borderId="27" xfId="0" applyFont="1" applyFill="1" applyBorder="1" applyAlignment="1" applyProtection="1">
      <alignment horizontal="center" vertical="center" wrapText="1"/>
    </xf>
    <xf numFmtId="9" fontId="4" fillId="2" borderId="7" xfId="2" applyFont="1" applyFill="1" applyBorder="1" applyAlignment="1" applyProtection="1">
      <alignment horizontal="center" vertical="center"/>
    </xf>
    <xf numFmtId="2" fontId="3" fillId="2" borderId="4" xfId="4" applyNumberFormat="1" applyFont="1" applyFill="1" applyBorder="1" applyAlignment="1" applyProtection="1">
      <alignment horizontal="center" vertical="center"/>
    </xf>
    <xf numFmtId="3" fontId="3" fillId="2" borderId="10" xfId="0" applyNumberFormat="1" applyFont="1" applyFill="1" applyBorder="1" applyAlignment="1" applyProtection="1">
      <alignment horizontal="left" vertical="center" wrapText="1"/>
    </xf>
    <xf numFmtId="3" fontId="3" fillId="2" borderId="10" xfId="0" applyNumberFormat="1" applyFont="1" applyFill="1" applyBorder="1" applyAlignment="1" applyProtection="1">
      <alignment horizontal="center" vertical="center" wrapText="1"/>
    </xf>
    <xf numFmtId="3" fontId="3" fillId="2" borderId="11" xfId="0" applyNumberFormat="1" applyFont="1" applyFill="1" applyBorder="1" applyAlignment="1" applyProtection="1">
      <alignment horizontal="left" vertical="center" wrapText="1"/>
    </xf>
    <xf numFmtId="3" fontId="3" fillId="2" borderId="11" xfId="0" applyNumberFormat="1" applyFont="1" applyFill="1" applyBorder="1" applyAlignment="1" applyProtection="1">
      <alignment horizontal="center" vertical="center" wrapText="1"/>
    </xf>
    <xf numFmtId="3" fontId="3" fillId="2" borderId="29" xfId="0" applyNumberFormat="1" applyFont="1" applyFill="1" applyBorder="1" applyAlignment="1" applyProtection="1">
      <alignment horizontal="left" vertical="center" wrapText="1"/>
    </xf>
    <xf numFmtId="3" fontId="3" fillId="2" borderId="29" xfId="0" applyNumberFormat="1" applyFont="1" applyFill="1" applyBorder="1" applyAlignment="1" applyProtection="1">
      <alignment horizontal="center" vertical="center" wrapText="1"/>
    </xf>
    <xf numFmtId="0" fontId="4" fillId="2" borderId="7" xfId="4" applyFont="1" applyFill="1" applyBorder="1" applyAlignment="1" applyProtection="1">
      <alignment horizontal="center" vertical="center"/>
    </xf>
    <xf numFmtId="0" fontId="3" fillId="2" borderId="27" xfId="4" applyFont="1" applyFill="1" applyBorder="1" applyAlignment="1" applyProtection="1">
      <alignment horizontal="center" vertical="center" wrapText="1"/>
    </xf>
    <xf numFmtId="0" fontId="3" fillId="9" borderId="21" xfId="4" applyFont="1" applyFill="1" applyBorder="1" applyAlignment="1" applyProtection="1">
      <alignment horizontal="center" vertical="center"/>
    </xf>
    <xf numFmtId="3" fontId="3" fillId="2" borderId="10" xfId="4" applyNumberFormat="1" applyFont="1" applyFill="1" applyBorder="1" applyAlignment="1" applyProtection="1">
      <alignment horizontal="left" vertical="center" wrapText="1"/>
    </xf>
    <xf numFmtId="3" fontId="3" fillId="2" borderId="10" xfId="4" applyNumberFormat="1" applyFont="1" applyFill="1" applyBorder="1" applyAlignment="1" applyProtection="1">
      <alignment horizontal="center" vertical="center" wrapText="1"/>
    </xf>
    <xf numFmtId="3" fontId="3" fillId="2" borderId="11" xfId="4" applyNumberFormat="1" applyFont="1" applyFill="1" applyBorder="1" applyAlignment="1" applyProtection="1">
      <alignment horizontal="left" vertical="center" wrapText="1"/>
    </xf>
    <xf numFmtId="3" fontId="3" fillId="2" borderId="11" xfId="4" applyNumberFormat="1" applyFont="1" applyFill="1" applyBorder="1" applyAlignment="1" applyProtection="1">
      <alignment horizontal="center" vertical="center" wrapText="1"/>
    </xf>
    <xf numFmtId="3" fontId="3" fillId="2" borderId="29" xfId="4" applyNumberFormat="1" applyFont="1" applyFill="1" applyBorder="1" applyAlignment="1" applyProtection="1">
      <alignment horizontal="left" vertical="center" wrapText="1"/>
    </xf>
    <xf numFmtId="3" fontId="3" fillId="2" borderId="29" xfId="4" applyNumberFormat="1" applyFont="1" applyFill="1" applyBorder="1" applyAlignment="1" applyProtection="1">
      <alignment horizontal="center" vertical="center" wrapText="1"/>
    </xf>
    <xf numFmtId="0" fontId="4" fillId="2" borderId="7" xfId="0" applyFont="1" applyFill="1" applyBorder="1" applyAlignment="1" applyProtection="1">
      <alignment horizontal="center" vertical="center"/>
    </xf>
    <xf numFmtId="4" fontId="3" fillId="2" borderId="4" xfId="2" applyNumberFormat="1" applyFont="1" applyFill="1" applyBorder="1" applyAlignment="1" applyProtection="1">
      <alignment horizontal="center" vertical="center"/>
    </xf>
    <xf numFmtId="0" fontId="3" fillId="2" borderId="21" xfId="0" applyFont="1" applyFill="1" applyBorder="1" applyAlignment="1" applyProtection="1">
      <alignment horizontal="center" vertical="center"/>
    </xf>
    <xf numFmtId="0" fontId="3" fillId="2" borderId="33" xfId="0" applyFont="1" applyFill="1" applyBorder="1" applyAlignment="1" applyProtection="1">
      <alignment horizontal="center" vertical="center" wrapText="1"/>
    </xf>
    <xf numFmtId="165" fontId="3" fillId="2" borderId="32" xfId="0" applyNumberFormat="1" applyFont="1" applyFill="1" applyBorder="1" applyAlignment="1" applyProtection="1">
      <alignment horizontal="center" vertical="center" wrapText="1"/>
    </xf>
    <xf numFmtId="4" fontId="3" fillId="2" borderId="18" xfId="0" applyNumberFormat="1" applyFont="1" applyFill="1" applyBorder="1" applyAlignment="1" applyProtection="1">
      <alignment horizontal="center" vertical="center" wrapText="1"/>
    </xf>
    <xf numFmtId="0" fontId="3" fillId="2" borderId="0" xfId="0" applyFont="1" applyFill="1" applyBorder="1" applyAlignment="1" applyProtection="1">
      <alignment horizontal="center" vertical="center" wrapText="1"/>
    </xf>
    <xf numFmtId="165" fontId="3" fillId="2" borderId="27" xfId="0" applyNumberFormat="1"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4" fillId="2" borderId="41" xfId="0" applyFont="1" applyFill="1" applyBorder="1" applyAlignment="1" applyProtection="1">
      <alignment horizontal="center" vertical="center" wrapText="1"/>
    </xf>
    <xf numFmtId="0" fontId="3" fillId="2" borderId="12" xfId="0" applyFont="1" applyFill="1" applyBorder="1" applyAlignment="1" applyProtection="1">
      <alignment horizontal="left" vertical="center" wrapText="1"/>
    </xf>
    <xf numFmtId="0" fontId="3" fillId="2" borderId="2" xfId="0" applyFont="1" applyFill="1" applyBorder="1" applyAlignment="1" applyProtection="1">
      <alignment horizontal="center" vertical="center" wrapText="1"/>
    </xf>
    <xf numFmtId="0" fontId="3" fillId="2" borderId="41" xfId="0" applyFont="1" applyFill="1" applyBorder="1" applyAlignment="1" applyProtection="1">
      <alignment horizontal="center" vertical="center" wrapText="1"/>
    </xf>
    <xf numFmtId="0" fontId="3" fillId="2" borderId="1" xfId="0" applyFont="1" applyFill="1" applyBorder="1" applyAlignment="1" applyProtection="1">
      <alignment horizontal="center" vertical="center" wrapText="1"/>
    </xf>
    <xf numFmtId="9" fontId="3" fillId="2" borderId="10" xfId="4" applyNumberFormat="1" applyFont="1" applyFill="1" applyBorder="1" applyAlignment="1" applyProtection="1">
      <alignment horizontal="left" vertical="center" wrapText="1"/>
    </xf>
    <xf numFmtId="9" fontId="3" fillId="2" borderId="11" xfId="4" applyNumberFormat="1" applyFont="1" applyFill="1" applyBorder="1" applyAlignment="1" applyProtection="1">
      <alignment horizontal="left" vertical="center" wrapText="1"/>
    </xf>
    <xf numFmtId="9" fontId="3" fillId="2" borderId="29" xfId="4" applyNumberFormat="1" applyFont="1" applyFill="1" applyBorder="1" applyAlignment="1" applyProtection="1">
      <alignment horizontal="left" vertical="center" wrapText="1"/>
    </xf>
    <xf numFmtId="0" fontId="4" fillId="2" borderId="26" xfId="4" applyFont="1" applyFill="1" applyBorder="1" applyAlignment="1" applyProtection="1">
      <alignment horizontal="center" vertical="center"/>
    </xf>
    <xf numFmtId="3" fontId="3" fillId="2" borderId="26" xfId="4" applyNumberFormat="1" applyFont="1" applyFill="1" applyBorder="1" applyAlignment="1" applyProtection="1">
      <alignment horizontal="center" vertical="center"/>
    </xf>
    <xf numFmtId="9" fontId="3" fillId="2" borderId="4" xfId="2" applyNumberFormat="1" applyFont="1" applyFill="1" applyBorder="1" applyAlignment="1" applyProtection="1">
      <alignment horizontal="center" vertical="center"/>
    </xf>
    <xf numFmtId="9" fontId="3" fillId="2" borderId="10" xfId="4" applyNumberFormat="1" applyFont="1" applyFill="1" applyBorder="1" applyAlignment="1" applyProtection="1">
      <alignment horizontal="center" vertical="center" wrapText="1"/>
    </xf>
    <xf numFmtId="4" fontId="3" fillId="2" borderId="0" xfId="4" applyNumberFormat="1" applyFont="1" applyFill="1" applyBorder="1" applyProtection="1"/>
    <xf numFmtId="9" fontId="3" fillId="2" borderId="11" xfId="4" applyNumberFormat="1" applyFont="1" applyFill="1" applyBorder="1" applyAlignment="1" applyProtection="1">
      <alignment horizontal="center" vertical="center" wrapText="1"/>
    </xf>
    <xf numFmtId="9" fontId="3" fillId="2" borderId="29" xfId="4" applyNumberFormat="1" applyFont="1" applyFill="1" applyBorder="1" applyAlignment="1" applyProtection="1">
      <alignment horizontal="center" vertical="center" wrapText="1"/>
    </xf>
    <xf numFmtId="0" fontId="3" fillId="2" borderId="11" xfId="0" applyFont="1" applyFill="1" applyBorder="1" applyProtection="1"/>
    <xf numFmtId="0" fontId="3" fillId="2" borderId="19" xfId="0" applyFont="1" applyFill="1" applyBorder="1" applyAlignment="1" applyProtection="1">
      <alignment horizontal="center" vertical="center"/>
    </xf>
    <xf numFmtId="0" fontId="3" fillId="2" borderId="26" xfId="0" applyFont="1" applyFill="1" applyBorder="1" applyAlignment="1" applyProtection="1">
      <alignment horizontal="center" vertical="center"/>
    </xf>
    <xf numFmtId="0" fontId="3" fillId="2" borderId="26" xfId="4" applyFont="1" applyFill="1" applyBorder="1" applyAlignment="1" applyProtection="1">
      <alignment horizontal="center" vertical="center"/>
    </xf>
    <xf numFmtId="0" fontId="3" fillId="8" borderId="28" xfId="4" applyFont="1" applyFill="1" applyBorder="1" applyAlignment="1" applyProtection="1">
      <alignment horizontal="center" vertical="center"/>
    </xf>
    <xf numFmtId="0" fontId="3" fillId="8" borderId="21" xfId="4" applyFont="1" applyFill="1" applyBorder="1" applyAlignment="1" applyProtection="1">
      <alignment horizontal="center" vertical="center"/>
    </xf>
    <xf numFmtId="0" fontId="3" fillId="2" borderId="29" xfId="0" applyFont="1" applyFill="1" applyBorder="1" applyProtection="1"/>
    <xf numFmtId="0" fontId="3" fillId="2" borderId="1" xfId="4" applyFont="1" applyFill="1" applyBorder="1" applyAlignment="1" applyProtection="1">
      <alignment vertical="center" wrapText="1"/>
    </xf>
    <xf numFmtId="0" fontId="3" fillId="4" borderId="0" xfId="0" applyFont="1" applyFill="1" applyProtection="1"/>
    <xf numFmtId="0" fontId="3" fillId="2" borderId="0" xfId="0" applyFont="1" applyFill="1" applyProtection="1"/>
    <xf numFmtId="0" fontId="3" fillId="2" borderId="0" xfId="0" applyFont="1" applyFill="1" applyAlignment="1" applyProtection="1">
      <alignment horizontal="left" indent="2"/>
    </xf>
    <xf numFmtId="0" fontId="14" fillId="2" borderId="0" xfId="4" applyFont="1" applyFill="1" applyBorder="1" applyProtection="1"/>
    <xf numFmtId="0" fontId="4" fillId="2" borderId="4" xfId="4" applyFont="1" applyFill="1" applyBorder="1" applyAlignment="1" applyProtection="1">
      <alignment horizontal="center" vertical="center"/>
    </xf>
    <xf numFmtId="0" fontId="0" fillId="2" borderId="0" xfId="0" applyFont="1" applyFill="1" applyAlignment="1" applyProtection="1">
      <alignment horizontal="left"/>
    </xf>
    <xf numFmtId="0" fontId="0" fillId="3" borderId="15" xfId="0" applyNumberFormat="1" applyFont="1" applyFill="1" applyBorder="1" applyAlignment="1" applyProtection="1">
      <alignment horizontal="left"/>
      <protection locked="0"/>
    </xf>
    <xf numFmtId="0" fontId="7" fillId="2" borderId="0" xfId="0" applyFont="1" applyFill="1" applyProtection="1"/>
    <xf numFmtId="0" fontId="15" fillId="2" borderId="4" xfId="0" applyFont="1" applyFill="1" applyBorder="1" applyAlignment="1" applyProtection="1">
      <alignment horizontal="center" vertical="center"/>
    </xf>
    <xf numFmtId="0" fontId="0" fillId="2" borderId="4" xfId="0" applyFont="1" applyFill="1" applyBorder="1" applyAlignment="1" applyProtection="1">
      <alignment horizontal="center"/>
    </xf>
    <xf numFmtId="0" fontId="0" fillId="3" borderId="4" xfId="0" applyNumberFormat="1" applyFont="1" applyFill="1" applyBorder="1" applyAlignment="1" applyProtection="1">
      <alignment horizontal="left"/>
      <protection locked="0"/>
    </xf>
    <xf numFmtId="0" fontId="4" fillId="2" borderId="4" xfId="4" applyFont="1" applyFill="1" applyBorder="1" applyAlignment="1" applyProtection="1">
      <alignment horizontal="center" vertical="center"/>
    </xf>
    <xf numFmtId="0" fontId="6" fillId="5" borderId="0" xfId="0" applyFont="1" applyFill="1" applyAlignment="1" applyProtection="1">
      <alignment horizontal="left" vertical="center" wrapText="1"/>
    </xf>
    <xf numFmtId="0" fontId="0" fillId="3" borderId="4" xfId="0" applyNumberFormat="1" applyFont="1" applyFill="1" applyBorder="1" applyAlignment="1" applyProtection="1">
      <alignment horizontal="left"/>
      <protection locked="0"/>
    </xf>
    <xf numFmtId="49" fontId="0" fillId="3" borderId="4" xfId="0" applyNumberFormat="1" applyFont="1" applyFill="1" applyBorder="1" applyAlignment="1" applyProtection="1">
      <alignment vertical="center"/>
      <protection locked="0"/>
    </xf>
    <xf numFmtId="0" fontId="0" fillId="3" borderId="4" xfId="0" applyFont="1" applyFill="1" applyBorder="1" applyAlignment="1" applyProtection="1">
      <alignment horizontal="left" vertical="center"/>
      <protection locked="0"/>
    </xf>
    <xf numFmtId="0" fontId="0" fillId="2" borderId="4" xfId="0" applyFont="1" applyFill="1" applyBorder="1" applyAlignment="1" applyProtection="1">
      <alignment horizontal="center"/>
    </xf>
    <xf numFmtId="14" fontId="0" fillId="3" borderId="4" xfId="0" applyNumberFormat="1" applyFont="1" applyFill="1" applyBorder="1" applyAlignment="1" applyProtection="1">
      <alignment horizontal="left" vertical="center"/>
      <protection locked="0"/>
    </xf>
    <xf numFmtId="0" fontId="2" fillId="3" borderId="4" xfId="3" applyFont="1" applyFill="1" applyBorder="1" applyAlignment="1" applyProtection="1">
      <alignment horizontal="left" vertical="center" wrapText="1"/>
      <protection locked="0"/>
    </xf>
    <xf numFmtId="0" fontId="15" fillId="2" borderId="4" xfId="0" applyFont="1" applyFill="1" applyBorder="1" applyAlignment="1" applyProtection="1">
      <alignment horizontal="center" vertical="center" wrapText="1"/>
    </xf>
    <xf numFmtId="0" fontId="4" fillId="2" borderId="4" xfId="4" applyFont="1" applyFill="1" applyBorder="1" applyAlignment="1" applyProtection="1">
      <alignment horizontal="center" vertical="center"/>
    </xf>
    <xf numFmtId="0" fontId="4" fillId="2" borderId="0" xfId="4" applyFont="1" applyFill="1" applyBorder="1" applyAlignment="1" applyProtection="1">
      <alignment horizontal="left"/>
    </xf>
    <xf numFmtId="0" fontId="3" fillId="6" borderId="32" xfId="4" applyFont="1" applyFill="1" applyBorder="1" applyAlignment="1" applyProtection="1">
      <alignment horizontal="center"/>
    </xf>
    <xf numFmtId="0" fontId="3" fillId="6" borderId="33" xfId="4" applyFont="1" applyFill="1" applyBorder="1" applyAlignment="1" applyProtection="1">
      <alignment horizontal="center"/>
    </xf>
    <xf numFmtId="0" fontId="3" fillId="6" borderId="8" xfId="4" applyFont="1" applyFill="1" applyBorder="1" applyAlignment="1" applyProtection="1">
      <alignment horizontal="center"/>
    </xf>
    <xf numFmtId="0" fontId="3" fillId="6" borderId="9" xfId="4" applyFont="1" applyFill="1" applyBorder="1" applyAlignment="1" applyProtection="1">
      <alignment horizontal="center"/>
    </xf>
    <xf numFmtId="0" fontId="3" fillId="2" borderId="7" xfId="4" applyFont="1" applyFill="1" applyBorder="1" applyAlignment="1" applyProtection="1">
      <alignment horizontal="center" vertical="center"/>
    </xf>
    <xf numFmtId="0" fontId="3" fillId="2" borderId="8" xfId="4" applyFont="1" applyFill="1" applyBorder="1" applyAlignment="1" applyProtection="1">
      <alignment horizontal="center" vertical="center"/>
    </xf>
    <xf numFmtId="2" fontId="4" fillId="2" borderId="14" xfId="4" applyNumberFormat="1" applyFont="1" applyFill="1" applyBorder="1" applyAlignment="1" applyProtection="1">
      <alignment horizontal="center" vertical="center"/>
    </xf>
    <xf numFmtId="2" fontId="4" fillId="2" borderId="16" xfId="4" applyNumberFormat="1" applyFont="1" applyFill="1" applyBorder="1" applyAlignment="1" applyProtection="1">
      <alignment horizontal="center" vertical="center"/>
    </xf>
    <xf numFmtId="0" fontId="4" fillId="2" borderId="24" xfId="4" applyFont="1" applyFill="1" applyBorder="1" applyAlignment="1" applyProtection="1">
      <alignment horizontal="center" vertical="center"/>
    </xf>
    <xf numFmtId="0" fontId="4" fillId="2" borderId="25" xfId="4" applyFont="1" applyFill="1" applyBorder="1" applyAlignment="1" applyProtection="1">
      <alignment horizontal="center" vertical="center"/>
    </xf>
    <xf numFmtId="0" fontId="3" fillId="2" borderId="25" xfId="4" applyFont="1" applyFill="1" applyBorder="1" applyAlignment="1" applyProtection="1">
      <alignment horizontal="center" vertical="center"/>
    </xf>
    <xf numFmtId="0" fontId="3" fillId="2" borderId="22" xfId="4" applyFont="1" applyFill="1" applyBorder="1" applyAlignment="1" applyProtection="1">
      <alignment horizontal="center" vertical="center"/>
    </xf>
    <xf numFmtId="0" fontId="5" fillId="2" borderId="32" xfId="4" applyFont="1" applyFill="1" applyBorder="1" applyAlignment="1" applyProtection="1">
      <alignment horizontal="center" vertical="center"/>
    </xf>
    <xf numFmtId="0" fontId="5" fillId="2" borderId="33" xfId="4" applyFont="1" applyFill="1" applyBorder="1" applyAlignment="1" applyProtection="1">
      <alignment horizontal="center" vertical="center"/>
    </xf>
    <xf numFmtId="0" fontId="5" fillId="2" borderId="30" xfId="4" applyFont="1" applyFill="1" applyBorder="1" applyAlignment="1" applyProtection="1">
      <alignment horizontal="center" vertical="center"/>
    </xf>
    <xf numFmtId="0" fontId="5" fillId="2" borderId="31" xfId="4" applyFont="1" applyFill="1" applyBorder="1" applyAlignment="1" applyProtection="1">
      <alignment horizontal="center" vertical="center"/>
    </xf>
    <xf numFmtId="0" fontId="4" fillId="6" borderId="14" xfId="4" applyFont="1" applyFill="1" applyBorder="1" applyAlignment="1" applyProtection="1">
      <alignment horizontal="center" vertical="center"/>
    </xf>
    <xf numFmtId="0" fontId="4" fillId="6" borderId="16" xfId="4" applyFont="1" applyFill="1" applyBorder="1" applyAlignment="1" applyProtection="1">
      <alignment horizontal="center" vertical="center"/>
    </xf>
    <xf numFmtId="0" fontId="4" fillId="4" borderId="34" xfId="4" applyFont="1" applyFill="1" applyBorder="1" applyAlignment="1" applyProtection="1">
      <alignment horizontal="center" vertical="center"/>
    </xf>
    <xf numFmtId="0" fontId="4" fillId="4" borderId="35" xfId="4" applyFont="1" applyFill="1" applyBorder="1" applyAlignment="1" applyProtection="1">
      <alignment horizontal="center" vertical="center"/>
    </xf>
    <xf numFmtId="0" fontId="4" fillId="4" borderId="36" xfId="4" applyFont="1" applyFill="1" applyBorder="1" applyAlignment="1" applyProtection="1">
      <alignment horizontal="center" vertical="center"/>
    </xf>
    <xf numFmtId="0" fontId="3" fillId="2" borderId="4" xfId="4" applyFont="1" applyFill="1" applyBorder="1" applyAlignment="1" applyProtection="1">
      <alignment horizontal="left" vertical="center" wrapText="1"/>
    </xf>
    <xf numFmtId="0" fontId="3" fillId="2" borderId="4" xfId="4" applyFont="1" applyFill="1" applyBorder="1" applyAlignment="1" applyProtection="1">
      <alignment horizontal="center"/>
    </xf>
    <xf numFmtId="0" fontId="4" fillId="2" borderId="13" xfId="4" applyFont="1" applyFill="1" applyBorder="1" applyAlignment="1" applyProtection="1">
      <alignment horizontal="center" vertical="center"/>
    </xf>
    <xf numFmtId="0" fontId="4" fillId="2" borderId="14" xfId="4" applyFont="1" applyFill="1" applyBorder="1" applyAlignment="1" applyProtection="1">
      <alignment horizontal="center" vertical="center"/>
    </xf>
    <xf numFmtId="0" fontId="4" fillId="6" borderId="13" xfId="4" applyFont="1" applyFill="1" applyBorder="1" applyAlignment="1" applyProtection="1">
      <alignment horizontal="center" vertical="center" wrapText="1"/>
    </xf>
    <xf numFmtId="0" fontId="4" fillId="6" borderId="24" xfId="4" applyFont="1" applyFill="1" applyBorder="1" applyAlignment="1" applyProtection="1">
      <alignment horizontal="center" vertical="center" wrapText="1"/>
    </xf>
    <xf numFmtId="0" fontId="4" fillId="6" borderId="14" xfId="4" applyFont="1" applyFill="1" applyBorder="1" applyAlignment="1" applyProtection="1">
      <alignment horizontal="center" vertical="center" wrapText="1"/>
    </xf>
    <xf numFmtId="0" fontId="4" fillId="6" borderId="25" xfId="4" applyFont="1" applyFill="1" applyBorder="1" applyAlignment="1" applyProtection="1">
      <alignment horizontal="center" vertical="center" wrapText="1"/>
    </xf>
    <xf numFmtId="0" fontId="4" fillId="2" borderId="7" xfId="4" applyFont="1" applyFill="1" applyBorder="1" applyAlignment="1" applyProtection="1">
      <alignment horizontal="left" vertical="center"/>
    </xf>
    <xf numFmtId="0" fontId="4" fillId="2" borderId="9" xfId="4" applyFont="1" applyFill="1" applyBorder="1" applyAlignment="1" applyProtection="1">
      <alignment horizontal="left" vertical="center"/>
    </xf>
    <xf numFmtId="0" fontId="4" fillId="2" borderId="5" xfId="4" applyFont="1" applyFill="1" applyBorder="1" applyAlignment="1" applyProtection="1">
      <alignment horizontal="center" vertical="center" wrapText="1"/>
    </xf>
    <xf numFmtId="0" fontId="4" fillId="2" borderId="17" xfId="4" applyFont="1" applyFill="1" applyBorder="1" applyAlignment="1" applyProtection="1">
      <alignment horizontal="center" vertical="center" wrapText="1"/>
    </xf>
    <xf numFmtId="0" fontId="4" fillId="2" borderId="38" xfId="4" applyFont="1" applyFill="1" applyBorder="1" applyAlignment="1" applyProtection="1">
      <alignment horizontal="center" vertical="center" wrapText="1"/>
    </xf>
    <xf numFmtId="0" fontId="4" fillId="2" borderId="13" xfId="4" applyFont="1" applyFill="1" applyBorder="1" applyAlignment="1" applyProtection="1">
      <alignment horizontal="center" vertical="center" wrapText="1"/>
    </xf>
    <xf numFmtId="0" fontId="4" fillId="2" borderId="23" xfId="4" applyFont="1" applyFill="1" applyBorder="1" applyAlignment="1" applyProtection="1">
      <alignment horizontal="center" vertical="center" wrapText="1"/>
    </xf>
    <xf numFmtId="0" fontId="4" fillId="0" borderId="37" xfId="4" applyFont="1" applyFill="1" applyBorder="1" applyAlignment="1" applyProtection="1">
      <alignment horizontal="left" vertical="center"/>
    </xf>
    <xf numFmtId="0" fontId="4" fillId="6" borderId="35" xfId="4" applyFont="1" applyFill="1" applyBorder="1" applyAlignment="1" applyProtection="1">
      <alignment horizontal="left" vertical="center" wrapText="1"/>
    </xf>
    <xf numFmtId="0" fontId="4" fillId="2" borderId="30" xfId="4" applyFont="1" applyFill="1" applyBorder="1" applyAlignment="1" applyProtection="1">
      <alignment horizontal="left" vertical="center"/>
    </xf>
    <xf numFmtId="0" fontId="4" fillId="2" borderId="29" xfId="4" applyFont="1" applyFill="1" applyBorder="1" applyAlignment="1" applyProtection="1">
      <alignment horizontal="left" vertical="center"/>
    </xf>
    <xf numFmtId="0" fontId="4" fillId="2" borderId="4" xfId="0" applyFont="1" applyFill="1" applyBorder="1" applyAlignment="1" applyProtection="1">
      <alignment horizontal="left" vertical="center"/>
    </xf>
    <xf numFmtId="0" fontId="4" fillId="2" borderId="39" xfId="4" applyFont="1" applyFill="1" applyBorder="1" applyAlignment="1" applyProtection="1">
      <alignment horizontal="center" vertical="center" wrapText="1"/>
    </xf>
    <xf numFmtId="0" fontId="3" fillId="2" borderId="0" xfId="0" applyFont="1" applyFill="1" applyAlignment="1" applyProtection="1">
      <alignment horizontal="left" vertical="top" wrapText="1" indent="2"/>
    </xf>
    <xf numFmtId="0" fontId="3" fillId="2" borderId="0" xfId="0" applyFont="1" applyFill="1" applyAlignment="1" applyProtection="1">
      <alignment horizontal="left" indent="2"/>
    </xf>
    <xf numFmtId="0" fontId="4" fillId="6" borderId="37" xfId="4" applyFont="1" applyFill="1" applyBorder="1" applyAlignment="1" applyProtection="1">
      <alignment horizontal="center" vertical="center" wrapText="1"/>
    </xf>
    <xf numFmtId="0" fontId="4" fillId="6" borderId="20" xfId="4" applyFont="1" applyFill="1" applyBorder="1" applyAlignment="1" applyProtection="1">
      <alignment horizontal="center" vertical="center" wrapText="1"/>
    </xf>
    <xf numFmtId="0" fontId="4" fillId="2" borderId="30" xfId="0" applyFont="1" applyFill="1" applyBorder="1" applyAlignment="1" applyProtection="1">
      <alignment horizontal="left" vertical="center"/>
    </xf>
    <xf numFmtId="0" fontId="4" fillId="2" borderId="29" xfId="0" applyFont="1" applyFill="1" applyBorder="1" applyAlignment="1" applyProtection="1">
      <alignment horizontal="left" vertical="center"/>
    </xf>
    <xf numFmtId="0" fontId="4" fillId="2" borderId="7" xfId="0" applyFont="1" applyFill="1" applyBorder="1" applyAlignment="1" applyProtection="1">
      <alignment horizontal="left" vertical="center"/>
    </xf>
    <xf numFmtId="0" fontId="4" fillId="2" borderId="9" xfId="0" applyFont="1" applyFill="1" applyBorder="1" applyAlignment="1" applyProtection="1">
      <alignment horizontal="left" vertical="center"/>
    </xf>
    <xf numFmtId="0" fontId="4" fillId="2" borderId="31" xfId="4" applyFont="1" applyFill="1" applyBorder="1" applyAlignment="1" applyProtection="1">
      <alignment horizontal="left" vertical="center"/>
    </xf>
    <xf numFmtId="0" fontId="4" fillId="2" borderId="24" xfId="4" applyFont="1" applyFill="1" applyBorder="1" applyAlignment="1" applyProtection="1">
      <alignment horizontal="center" vertical="center" wrapText="1"/>
    </xf>
    <xf numFmtId="0" fontId="4" fillId="2" borderId="26" xfId="0" applyFont="1" applyFill="1" applyBorder="1" applyAlignment="1" applyProtection="1">
      <alignment horizontal="left" vertical="center"/>
    </xf>
    <xf numFmtId="0" fontId="4" fillId="7" borderId="6" xfId="4" applyFont="1" applyFill="1" applyBorder="1" applyAlignment="1" applyProtection="1">
      <alignment horizontal="center" vertical="center" wrapText="1"/>
    </xf>
    <xf numFmtId="0" fontId="4" fillId="7" borderId="39" xfId="4" applyFont="1" applyFill="1" applyBorder="1" applyAlignment="1" applyProtection="1">
      <alignment horizontal="center" vertical="center" wrapText="1"/>
    </xf>
    <xf numFmtId="0" fontId="3" fillId="2" borderId="0" xfId="0" applyFont="1" applyFill="1" applyAlignment="1" applyProtection="1">
      <alignment horizontal="left" wrapText="1" indent="2"/>
    </xf>
    <xf numFmtId="0" fontId="4" fillId="2" borderId="3" xfId="4" applyFont="1" applyFill="1" applyBorder="1" applyAlignment="1" applyProtection="1">
      <alignment horizontal="center" vertical="center" wrapText="1"/>
    </xf>
    <xf numFmtId="0" fontId="4" fillId="0" borderId="30" xfId="4" applyFont="1" applyFill="1" applyBorder="1" applyAlignment="1" applyProtection="1">
      <alignment horizontal="left" vertical="center"/>
    </xf>
    <xf numFmtId="0" fontId="4" fillId="0" borderId="29" xfId="4" applyFont="1" applyFill="1" applyBorder="1" applyAlignment="1" applyProtection="1">
      <alignment horizontal="left" vertical="center"/>
    </xf>
    <xf numFmtId="0" fontId="4" fillId="2" borderId="5" xfId="0" applyFont="1" applyFill="1" applyBorder="1" applyAlignment="1" applyProtection="1">
      <alignment horizontal="center" vertical="center" wrapText="1"/>
    </xf>
    <xf numFmtId="0" fontId="4" fillId="2" borderId="17" xfId="0" applyFont="1" applyFill="1" applyBorder="1" applyAlignment="1" applyProtection="1">
      <alignment horizontal="center" vertical="center" wrapText="1"/>
    </xf>
    <xf numFmtId="0" fontId="4" fillId="2" borderId="3" xfId="0" applyFont="1" applyFill="1" applyBorder="1" applyAlignment="1" applyProtection="1">
      <alignment horizontal="center" vertical="center" wrapText="1"/>
    </xf>
    <xf numFmtId="0" fontId="4" fillId="2" borderId="4" xfId="4" applyFont="1" applyFill="1" applyBorder="1" applyAlignment="1" applyProtection="1">
      <alignment horizontal="left" vertical="center"/>
    </xf>
    <xf numFmtId="0" fontId="3" fillId="2" borderId="32" xfId="4" applyFont="1" applyFill="1" applyBorder="1" applyAlignment="1" applyProtection="1">
      <alignment horizontal="center" vertical="center"/>
    </xf>
    <xf numFmtId="0" fontId="3" fillId="2" borderId="10" xfId="4" applyFont="1" applyFill="1" applyBorder="1" applyAlignment="1" applyProtection="1">
      <alignment horizontal="center" vertical="center"/>
    </xf>
    <xf numFmtId="0" fontId="3" fillId="2" borderId="27" xfId="4" applyFont="1" applyFill="1" applyBorder="1" applyAlignment="1" applyProtection="1">
      <alignment horizontal="center" vertical="center"/>
    </xf>
    <xf numFmtId="0" fontId="3" fillId="2" borderId="11" xfId="4" applyFont="1" applyFill="1" applyBorder="1" applyAlignment="1" applyProtection="1">
      <alignment horizontal="center" vertical="center"/>
    </xf>
    <xf numFmtId="0" fontId="3" fillId="2" borderId="30" xfId="4" applyFont="1" applyFill="1" applyBorder="1" applyAlignment="1" applyProtection="1">
      <alignment horizontal="center" vertical="center"/>
    </xf>
    <xf numFmtId="0" fontId="3" fillId="2" borderId="29" xfId="4" applyFont="1" applyFill="1" applyBorder="1" applyAlignment="1" applyProtection="1">
      <alignment horizontal="center" vertical="center"/>
    </xf>
    <xf numFmtId="0" fontId="10" fillId="2" borderId="32" xfId="4" applyFont="1" applyFill="1" applyBorder="1" applyAlignment="1" applyProtection="1">
      <alignment horizontal="center" vertical="center"/>
    </xf>
    <xf numFmtId="0" fontId="10" fillId="2" borderId="33" xfId="4" applyFont="1" applyFill="1" applyBorder="1" applyAlignment="1" applyProtection="1">
      <alignment horizontal="center" vertical="center"/>
    </xf>
    <xf numFmtId="0" fontId="10" fillId="2" borderId="10" xfId="4" applyFont="1" applyFill="1" applyBorder="1" applyAlignment="1" applyProtection="1">
      <alignment horizontal="center" vertical="center"/>
    </xf>
    <xf numFmtId="0" fontId="10" fillId="2" borderId="27" xfId="4" applyFont="1" applyFill="1" applyBorder="1" applyAlignment="1" applyProtection="1">
      <alignment horizontal="center" vertical="center"/>
    </xf>
    <xf numFmtId="0" fontId="10" fillId="2" borderId="0" xfId="4" applyFont="1" applyFill="1" applyBorder="1" applyAlignment="1" applyProtection="1">
      <alignment horizontal="center" vertical="center"/>
    </xf>
    <xf numFmtId="0" fontId="10" fillId="2" borderId="11" xfId="4" applyFont="1" applyFill="1" applyBorder="1" applyAlignment="1" applyProtection="1">
      <alignment horizontal="center" vertical="center"/>
    </xf>
    <xf numFmtId="0" fontId="10" fillId="2" borderId="30" xfId="4" applyFont="1" applyFill="1" applyBorder="1" applyAlignment="1" applyProtection="1">
      <alignment horizontal="center" vertical="center"/>
    </xf>
    <xf numFmtId="0" fontId="10" fillId="2" borderId="31" xfId="4" applyFont="1" applyFill="1" applyBorder="1" applyAlignment="1" applyProtection="1">
      <alignment horizontal="center" vertical="center"/>
    </xf>
    <xf numFmtId="0" fontId="10" fillId="2" borderId="29" xfId="4" applyFont="1" applyFill="1" applyBorder="1" applyAlignment="1" applyProtection="1">
      <alignment horizontal="center" vertical="center"/>
    </xf>
    <xf numFmtId="0" fontId="3" fillId="4" borderId="0" xfId="4" applyFont="1" applyFill="1" applyBorder="1" applyAlignment="1" applyProtection="1">
      <alignment horizontal="center" vertical="center"/>
    </xf>
  </cellXfs>
  <cellStyles count="6">
    <cellStyle name="Hipervínculo" xfId="3" builtinId="8"/>
    <cellStyle name="Moneda" xfId="1" builtinId="4"/>
    <cellStyle name="Normal" xfId="0" builtinId="0"/>
    <cellStyle name="Normal 2" xfId="5"/>
    <cellStyle name="Normal 3" xfId="4"/>
    <cellStyle name="Porcentaje" xfId="2" builtinId="5"/>
  </cellStyles>
  <dxfs count="13">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616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933450</xdr:colOff>
      <xdr:row>1</xdr:row>
      <xdr:rowOff>72838</xdr:rowOff>
    </xdr:from>
    <xdr:to>
      <xdr:col>1</xdr:col>
      <xdr:colOff>2252382</xdr:colOff>
      <xdr:row>2</xdr:row>
      <xdr:rowOff>302558</xdr:rowOff>
    </xdr:to>
    <xdr:pic>
      <xdr:nvPicPr>
        <xdr:cNvPr id="4" name="3 Imagen">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57568" y="229720"/>
          <a:ext cx="1318932" cy="577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361950</xdr:colOff>
      <xdr:row>1</xdr:row>
      <xdr:rowOff>95251</xdr:rowOff>
    </xdr:from>
    <xdr:to>
      <xdr:col>2</xdr:col>
      <xdr:colOff>428625</xdr:colOff>
      <xdr:row>2</xdr:row>
      <xdr:rowOff>226219</xdr:rowOff>
    </xdr:to>
    <xdr:pic>
      <xdr:nvPicPr>
        <xdr:cNvPr id="2" name="1 Imagen">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6263" y="261939"/>
          <a:ext cx="995362" cy="42862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76200</xdr:colOff>
      <xdr:row>0</xdr:row>
      <xdr:rowOff>47625</xdr:rowOff>
    </xdr:from>
    <xdr:to>
      <xdr:col>1</xdr:col>
      <xdr:colOff>847725</xdr:colOff>
      <xdr:row>2</xdr:row>
      <xdr:rowOff>171450</xdr:rowOff>
    </xdr:to>
    <xdr:pic>
      <xdr:nvPicPr>
        <xdr:cNvPr id="2" name="1 Imagen">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47625"/>
          <a:ext cx="1162050" cy="504825"/>
        </a:xfrm>
        <a:prstGeom prst="rect">
          <a:avLst/>
        </a:prstGeom>
      </xdr:spPr>
    </xdr:pic>
    <xdr:clientData/>
  </xdr:twoCellAnchor>
  <xdr:twoCellAnchor>
    <xdr:from>
      <xdr:col>1</xdr:col>
      <xdr:colOff>0</xdr:colOff>
      <xdr:row>6</xdr:row>
      <xdr:rowOff>5953</xdr:rowOff>
    </xdr:from>
    <xdr:to>
      <xdr:col>2</xdr:col>
      <xdr:colOff>0</xdr:colOff>
      <xdr:row>6</xdr:row>
      <xdr:rowOff>809625</xdr:rowOff>
    </xdr:to>
    <xdr:cxnSp macro="">
      <xdr:nvCxnSpPr>
        <xdr:cNvPr id="4" name="3 Conector recto">
          <a:extLst>
            <a:ext uri="{FF2B5EF4-FFF2-40B4-BE49-F238E27FC236}">
              <a16:creationId xmlns:a16="http://schemas.microsoft.com/office/drawing/2014/main" id="{00000000-0008-0000-0200-000004000000}"/>
            </a:ext>
          </a:extLst>
        </xdr:cNvPr>
        <xdr:cNvCxnSpPr/>
      </xdr:nvCxnSpPr>
      <xdr:spPr>
        <a:xfrm>
          <a:off x="1345406" y="1220391"/>
          <a:ext cx="4012407" cy="80367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G98"/>
  <sheetViews>
    <sheetView tabSelected="1" zoomScale="70" zoomScaleNormal="70" zoomScaleSheetLayoutView="70" workbookViewId="0">
      <selection activeCell="C39" sqref="C39"/>
    </sheetView>
  </sheetViews>
  <sheetFormatPr baseColWidth="10" defaultRowHeight="15" x14ac:dyDescent="0.25"/>
  <cols>
    <col min="1" max="1" width="3.42578125" style="2" customWidth="1"/>
    <col min="2" max="2" width="52.7109375" style="2" customWidth="1"/>
    <col min="3" max="4" width="49.5703125" style="2" customWidth="1"/>
    <col min="5" max="5" width="70.5703125" style="2" bestFit="1" customWidth="1"/>
    <col min="6" max="6" width="30.140625" style="2" customWidth="1"/>
    <col min="7" max="8" width="22.7109375" style="2" customWidth="1"/>
    <col min="9" max="16384" width="11.42578125" style="2"/>
  </cols>
  <sheetData>
    <row r="1" spans="2:7" ht="12.75" customHeight="1" x14ac:dyDescent="0.25"/>
    <row r="2" spans="2:7" s="3" customFormat="1" ht="27.75" customHeight="1" x14ac:dyDescent="0.25">
      <c r="B2" s="204"/>
      <c r="C2" s="207" t="s">
        <v>219</v>
      </c>
      <c r="D2" s="207"/>
      <c r="E2" s="207"/>
      <c r="F2" s="196" t="s">
        <v>221</v>
      </c>
    </row>
    <row r="3" spans="2:7" s="3" customFormat="1" ht="27.75" customHeight="1" x14ac:dyDescent="0.25">
      <c r="B3" s="204"/>
      <c r="C3" s="207" t="s">
        <v>220</v>
      </c>
      <c r="D3" s="207"/>
      <c r="E3" s="207"/>
      <c r="F3" s="196" t="s">
        <v>222</v>
      </c>
    </row>
    <row r="4" spans="2:7" s="3" customFormat="1" ht="16.5" customHeight="1" x14ac:dyDescent="0.25">
      <c r="C4" s="4"/>
      <c r="D4" s="4"/>
      <c r="E4" s="4"/>
      <c r="F4" s="4"/>
    </row>
    <row r="5" spans="2:7" x14ac:dyDescent="0.25">
      <c r="B5" s="5" t="s">
        <v>0</v>
      </c>
      <c r="C5" s="203"/>
      <c r="D5" s="203"/>
      <c r="E5" s="6"/>
      <c r="F5" s="6"/>
    </row>
    <row r="6" spans="2:7" x14ac:dyDescent="0.25">
      <c r="B6" s="5" t="s">
        <v>1</v>
      </c>
      <c r="C6" s="203"/>
      <c r="D6" s="203"/>
      <c r="E6" s="6"/>
      <c r="F6" s="6"/>
    </row>
    <row r="7" spans="2:7" x14ac:dyDescent="0.25">
      <c r="B7" s="5" t="s">
        <v>187</v>
      </c>
      <c r="C7" s="203"/>
      <c r="D7" s="203"/>
      <c r="E7" s="6"/>
      <c r="F7" s="6"/>
    </row>
    <row r="8" spans="2:7" x14ac:dyDescent="0.25">
      <c r="B8" s="5" t="s">
        <v>48</v>
      </c>
      <c r="C8" s="206"/>
      <c r="D8" s="203"/>
      <c r="E8" s="6"/>
      <c r="F8" s="6"/>
    </row>
    <row r="9" spans="2:7" x14ac:dyDescent="0.25">
      <c r="B9" s="5" t="s">
        <v>19</v>
      </c>
      <c r="C9" s="203"/>
      <c r="D9" s="203"/>
      <c r="E9" s="6"/>
      <c r="F9" s="6"/>
    </row>
    <row r="10" spans="2:7" x14ac:dyDescent="0.25">
      <c r="B10" s="5" t="s">
        <v>167</v>
      </c>
      <c r="C10" s="203"/>
      <c r="D10" s="203"/>
      <c r="E10" s="6"/>
      <c r="F10" s="6"/>
    </row>
    <row r="11" spans="2:7" x14ac:dyDescent="0.25">
      <c r="B11" s="5" t="s">
        <v>120</v>
      </c>
      <c r="C11" s="205"/>
      <c r="D11" s="205"/>
      <c r="E11" s="6"/>
      <c r="F11" s="6"/>
    </row>
    <row r="12" spans="2:7" x14ac:dyDescent="0.25">
      <c r="B12" s="7"/>
      <c r="C12" s="7"/>
      <c r="D12" s="7"/>
      <c r="E12" s="6"/>
      <c r="F12" s="6"/>
    </row>
    <row r="13" spans="2:7" ht="16.5" customHeight="1" x14ac:dyDescent="0.25">
      <c r="B13" s="20" t="s">
        <v>112</v>
      </c>
      <c r="C13" s="20"/>
      <c r="D13" s="20"/>
      <c r="E13" s="20"/>
      <c r="F13" s="20"/>
    </row>
    <row r="14" spans="2:7" x14ac:dyDescent="0.25">
      <c r="B14" s="8" t="s">
        <v>20</v>
      </c>
      <c r="C14" s="7"/>
      <c r="D14" s="7"/>
      <c r="E14" s="6"/>
      <c r="F14" s="6"/>
    </row>
    <row r="15" spans="2:7" x14ac:dyDescent="0.25">
      <c r="B15" s="9"/>
      <c r="C15" s="9"/>
      <c r="D15" s="7"/>
      <c r="E15" s="10"/>
      <c r="F15" s="9"/>
      <c r="G15" s="3"/>
    </row>
    <row r="16" spans="2:7" x14ac:dyDescent="0.25">
      <c r="B16" s="11" t="s">
        <v>35</v>
      </c>
      <c r="C16" s="32"/>
      <c r="D16" s="7"/>
      <c r="F16" s="9"/>
      <c r="G16" s="3"/>
    </row>
    <row r="17" spans="2:7" x14ac:dyDescent="0.25">
      <c r="B17" s="11" t="s">
        <v>23</v>
      </c>
      <c r="C17" s="17"/>
      <c r="D17" s="7"/>
      <c r="F17" s="9"/>
      <c r="G17" s="3"/>
    </row>
    <row r="18" spans="2:7" x14ac:dyDescent="0.25">
      <c r="B18" s="11" t="s">
        <v>24</v>
      </c>
      <c r="C18" s="17"/>
      <c r="D18" s="7"/>
      <c r="E18" s="10"/>
      <c r="F18" s="9"/>
      <c r="G18" s="3"/>
    </row>
    <row r="19" spans="2:7" x14ac:dyDescent="0.25">
      <c r="B19" s="10"/>
      <c r="C19" s="9"/>
      <c r="D19" s="7"/>
      <c r="E19" s="10"/>
      <c r="F19" s="9"/>
      <c r="G19" s="3"/>
    </row>
    <row r="20" spans="2:7" x14ac:dyDescent="0.25">
      <c r="B20" s="10"/>
      <c r="C20" s="9"/>
      <c r="D20" s="8" t="s">
        <v>118</v>
      </c>
      <c r="E20" s="10"/>
      <c r="F20" s="9"/>
      <c r="G20" s="3"/>
    </row>
    <row r="21" spans="2:7" x14ac:dyDescent="0.25">
      <c r="B21" s="12" t="s">
        <v>96</v>
      </c>
      <c r="C21" s="17"/>
      <c r="D21" s="203"/>
      <c r="E21" s="203"/>
      <c r="F21" s="203"/>
    </row>
    <row r="22" spans="2:7" x14ac:dyDescent="0.25">
      <c r="B22" s="7"/>
      <c r="C22" s="7"/>
      <c r="D22" s="7"/>
      <c r="E22" s="6"/>
      <c r="F22" s="6"/>
    </row>
    <row r="23" spans="2:7" ht="16.5" customHeight="1" x14ac:dyDescent="0.25">
      <c r="B23" s="200" t="s">
        <v>113</v>
      </c>
      <c r="C23" s="200"/>
      <c r="D23" s="200"/>
      <c r="E23" s="200"/>
      <c r="F23" s="200"/>
    </row>
    <row r="25" spans="2:7" x14ac:dyDescent="0.25">
      <c r="B25" s="21" t="s">
        <v>209</v>
      </c>
      <c r="C25" s="195" t="str">
        <f>IF(SUM(IF(C28="",0,1),IF(C29="",0,1),IF(C30="",0,1))=3,"Datos completos","Datos incompletos")</f>
        <v>Datos incompletos</v>
      </c>
    </row>
    <row r="26" spans="2:7" x14ac:dyDescent="0.25">
      <c r="B26" s="2" t="s">
        <v>213</v>
      </c>
    </row>
    <row r="28" spans="2:7" x14ac:dyDescent="0.25">
      <c r="B28" s="12" t="s">
        <v>210</v>
      </c>
      <c r="C28" s="198"/>
      <c r="D28" s="193"/>
    </row>
    <row r="29" spans="2:7" x14ac:dyDescent="0.25">
      <c r="B29" s="12" t="s">
        <v>211</v>
      </c>
      <c r="C29" s="194"/>
      <c r="D29" s="193"/>
    </row>
    <row r="30" spans="2:7" x14ac:dyDescent="0.25">
      <c r="B30" s="12" t="s">
        <v>212</v>
      </c>
      <c r="C30" s="201"/>
      <c r="D30" s="201"/>
    </row>
    <row r="32" spans="2:7" x14ac:dyDescent="0.25">
      <c r="B32" s="21" t="s">
        <v>104</v>
      </c>
      <c r="C32" s="22"/>
      <c r="D32" s="22"/>
      <c r="E32" s="22"/>
      <c r="F32" s="22"/>
    </row>
    <row r="33" spans="2:7" x14ac:dyDescent="0.25">
      <c r="B33" s="8" t="s">
        <v>214</v>
      </c>
      <c r="C33" s="7"/>
      <c r="D33" s="8"/>
      <c r="E33" s="6"/>
      <c r="F33" s="6"/>
    </row>
    <row r="34" spans="2:7" x14ac:dyDescent="0.25">
      <c r="B34" s="8"/>
      <c r="C34" s="7"/>
      <c r="D34" s="8"/>
      <c r="E34" s="6"/>
      <c r="F34" s="6"/>
    </row>
    <row r="35" spans="2:7" x14ac:dyDescent="0.25">
      <c r="B35" s="9"/>
      <c r="C35" s="13">
        <f ca="1">IF(MONTH(TODAY())&lt;5, YEAR(TODAY())-2,YEAR(TODAY())-1)</f>
        <v>2016</v>
      </c>
      <c r="D35" s="9"/>
      <c r="E35" s="10"/>
      <c r="F35" s="9"/>
      <c r="G35" s="3"/>
    </row>
    <row r="36" spans="2:7" x14ac:dyDescent="0.25">
      <c r="B36" s="11" t="s">
        <v>6</v>
      </c>
      <c r="C36" s="33"/>
      <c r="D36" s="23"/>
      <c r="E36" s="10"/>
      <c r="F36" s="9"/>
      <c r="G36" s="3"/>
    </row>
    <row r="37" spans="2:7" x14ac:dyDescent="0.25">
      <c r="B37" s="11" t="s">
        <v>7</v>
      </c>
      <c r="C37" s="33"/>
      <c r="D37" s="23"/>
      <c r="E37" s="10"/>
      <c r="F37" s="9"/>
      <c r="G37" s="3"/>
    </row>
    <row r="38" spans="2:7" x14ac:dyDescent="0.25">
      <c r="B38" s="11" t="s">
        <v>8</v>
      </c>
      <c r="C38" s="33"/>
      <c r="D38" s="23"/>
      <c r="E38" s="10"/>
      <c r="F38" s="9"/>
      <c r="G38" s="3"/>
    </row>
    <row r="39" spans="2:7" x14ac:dyDescent="0.25">
      <c r="B39" s="11" t="s">
        <v>9</v>
      </c>
      <c r="C39" s="33"/>
      <c r="D39" s="23"/>
      <c r="E39" s="10"/>
      <c r="F39" s="9"/>
      <c r="G39" s="3"/>
    </row>
    <row r="40" spans="2:7" x14ac:dyDescent="0.25">
      <c r="B40" s="11" t="s">
        <v>10</v>
      </c>
      <c r="C40" s="33"/>
      <c r="D40" s="23"/>
      <c r="E40" s="10"/>
      <c r="F40" s="9"/>
      <c r="G40" s="3"/>
    </row>
    <row r="41" spans="2:7" x14ac:dyDescent="0.25">
      <c r="B41" s="11" t="s">
        <v>11</v>
      </c>
      <c r="C41" s="33"/>
      <c r="D41" s="23"/>
      <c r="E41" s="10"/>
      <c r="F41" s="9"/>
      <c r="G41" s="3"/>
    </row>
    <row r="42" spans="2:7" x14ac:dyDescent="0.25">
      <c r="B42" s="11" t="s">
        <v>12</v>
      </c>
      <c r="C42" s="33"/>
      <c r="D42" s="23"/>
      <c r="E42" s="10"/>
      <c r="F42" s="9"/>
      <c r="G42" s="3"/>
    </row>
    <row r="43" spans="2:7" x14ac:dyDescent="0.25">
      <c r="B43" s="11" t="s">
        <v>13</v>
      </c>
      <c r="C43" s="33"/>
      <c r="D43" s="23"/>
      <c r="E43" s="10"/>
      <c r="F43" s="9"/>
      <c r="G43" s="3"/>
    </row>
    <row r="44" spans="2:7" x14ac:dyDescent="0.25">
      <c r="B44" s="11" t="s">
        <v>14</v>
      </c>
      <c r="C44" s="33"/>
      <c r="D44" s="23"/>
      <c r="E44" s="10"/>
      <c r="F44" s="9"/>
      <c r="G44" s="3"/>
    </row>
    <row r="45" spans="2:7" x14ac:dyDescent="0.25">
      <c r="B45" s="8"/>
      <c r="C45" s="7"/>
      <c r="D45" s="8"/>
      <c r="E45" s="6"/>
      <c r="F45" s="6"/>
    </row>
    <row r="46" spans="2:7" x14ac:dyDescent="0.25">
      <c r="B46" s="21" t="s">
        <v>100</v>
      </c>
      <c r="C46" s="22"/>
      <c r="D46" s="22"/>
      <c r="E46" s="22"/>
      <c r="F46" s="22"/>
    </row>
    <row r="47" spans="2:7" x14ac:dyDescent="0.25">
      <c r="B47" s="8" t="s">
        <v>189</v>
      </c>
      <c r="C47" s="22"/>
      <c r="D47" s="22"/>
      <c r="E47" s="22"/>
      <c r="F47" s="22"/>
    </row>
    <row r="48" spans="2:7" x14ac:dyDescent="0.25">
      <c r="B48" s="10" t="s">
        <v>47</v>
      </c>
      <c r="C48" s="9"/>
      <c r="D48" s="8" t="s">
        <v>174</v>
      </c>
      <c r="E48" s="10"/>
      <c r="F48" s="9"/>
      <c r="G48" s="3"/>
    </row>
    <row r="49" spans="2:7" x14ac:dyDescent="0.25">
      <c r="B49" s="14" t="s">
        <v>15</v>
      </c>
      <c r="C49" s="17"/>
      <c r="D49" s="202"/>
      <c r="E49" s="202"/>
      <c r="F49" s="202"/>
    </row>
    <row r="50" spans="2:7" x14ac:dyDescent="0.25">
      <c r="B50" s="14" t="s">
        <v>16</v>
      </c>
      <c r="C50" s="17"/>
      <c r="D50" s="202"/>
      <c r="E50" s="202"/>
      <c r="F50" s="202"/>
    </row>
    <row r="51" spans="2:7" x14ac:dyDescent="0.25">
      <c r="B51" s="14" t="s">
        <v>17</v>
      </c>
      <c r="C51" s="17"/>
      <c r="D51" s="202"/>
      <c r="E51" s="202"/>
      <c r="F51" s="202"/>
    </row>
    <row r="52" spans="2:7" x14ac:dyDescent="0.25">
      <c r="B52" s="14" t="s">
        <v>18</v>
      </c>
      <c r="C52" s="17"/>
      <c r="D52" s="202"/>
      <c r="E52" s="202"/>
      <c r="F52" s="202"/>
    </row>
    <row r="53" spans="2:7" x14ac:dyDescent="0.25">
      <c r="B53" s="8"/>
      <c r="C53" s="7"/>
      <c r="D53" s="8"/>
      <c r="E53" s="6"/>
      <c r="F53" s="6"/>
    </row>
    <row r="54" spans="2:7" x14ac:dyDescent="0.25">
      <c r="B54" s="11" t="s">
        <v>25</v>
      </c>
      <c r="C54" s="17"/>
      <c r="D54" s="202"/>
      <c r="E54" s="202"/>
      <c r="F54" s="202"/>
      <c r="G54" s="3"/>
    </row>
    <row r="55" spans="2:7" x14ac:dyDescent="0.25">
      <c r="B55" s="11" t="s">
        <v>26</v>
      </c>
      <c r="C55" s="17"/>
      <c r="D55" s="202"/>
      <c r="E55" s="202"/>
      <c r="F55" s="202"/>
      <c r="G55" s="3"/>
    </row>
    <row r="56" spans="2:7" x14ac:dyDescent="0.25">
      <c r="B56" s="11" t="s">
        <v>36</v>
      </c>
      <c r="C56" s="17"/>
      <c r="D56" s="202"/>
      <c r="E56" s="202"/>
      <c r="F56" s="202"/>
      <c r="G56" s="3"/>
    </row>
    <row r="57" spans="2:7" x14ac:dyDescent="0.25">
      <c r="B57" s="11" t="s">
        <v>185</v>
      </c>
      <c r="C57" s="17"/>
      <c r="D57" s="202"/>
      <c r="E57" s="202"/>
      <c r="F57" s="202"/>
      <c r="G57" s="3"/>
    </row>
    <row r="58" spans="2:7" x14ac:dyDescent="0.25">
      <c r="B58" s="11" t="s">
        <v>51</v>
      </c>
      <c r="C58" s="34"/>
      <c r="D58" s="202"/>
      <c r="E58" s="202"/>
      <c r="F58" s="202"/>
      <c r="G58" s="3"/>
    </row>
    <row r="60" spans="2:7" ht="16.5" customHeight="1" x14ac:dyDescent="0.25">
      <c r="B60" s="20" t="s">
        <v>114</v>
      </c>
      <c r="C60" s="20"/>
      <c r="D60" s="20"/>
      <c r="E60" s="20"/>
      <c r="F60" s="20"/>
    </row>
    <row r="61" spans="2:7" x14ac:dyDescent="0.25">
      <c r="C61" s="7"/>
      <c r="D61" s="7"/>
      <c r="E61" s="6"/>
      <c r="F61" s="6"/>
    </row>
    <row r="62" spans="2:7" x14ac:dyDescent="0.25">
      <c r="B62" s="21" t="s">
        <v>103</v>
      </c>
      <c r="C62" s="22"/>
      <c r="D62" s="22"/>
      <c r="E62" s="22"/>
      <c r="F62" s="22"/>
    </row>
    <row r="63" spans="2:7" x14ac:dyDescent="0.25">
      <c r="B63" s="8" t="s">
        <v>20</v>
      </c>
      <c r="C63" s="9"/>
      <c r="D63" s="7"/>
      <c r="E63" s="10"/>
      <c r="F63" s="9"/>
      <c r="G63" s="3"/>
    </row>
    <row r="64" spans="2:7" x14ac:dyDescent="0.25">
      <c r="B64" s="8"/>
      <c r="C64" s="9"/>
      <c r="D64" s="7"/>
      <c r="E64" s="10"/>
      <c r="F64" s="9"/>
      <c r="G64" s="3"/>
    </row>
    <row r="65" spans="2:7" x14ac:dyDescent="0.25">
      <c r="B65" s="13" t="s">
        <v>41</v>
      </c>
      <c r="C65" s="13" t="s">
        <v>21</v>
      </c>
      <c r="D65" s="13" t="s">
        <v>22</v>
      </c>
      <c r="E65" s="10"/>
      <c r="F65" s="9"/>
      <c r="G65" s="3"/>
    </row>
    <row r="66" spans="2:7" x14ac:dyDescent="0.25">
      <c r="B66" s="15">
        <f t="shared" ref="B66:B69" si="0">B67-30</f>
        <v>-210</v>
      </c>
      <c r="C66" s="17"/>
      <c r="D66" s="17"/>
      <c r="E66" s="10"/>
      <c r="F66" s="9"/>
      <c r="G66" s="3"/>
    </row>
    <row r="67" spans="2:7" x14ac:dyDescent="0.25">
      <c r="B67" s="15">
        <f t="shared" si="0"/>
        <v>-180</v>
      </c>
      <c r="C67" s="17"/>
      <c r="D67" s="17"/>
      <c r="E67" s="10"/>
      <c r="F67" s="9"/>
      <c r="G67" s="3"/>
    </row>
    <row r="68" spans="2:7" x14ac:dyDescent="0.25">
      <c r="B68" s="15">
        <f t="shared" si="0"/>
        <v>-150</v>
      </c>
      <c r="C68" s="17"/>
      <c r="D68" s="17"/>
      <c r="E68" s="10"/>
      <c r="F68" s="9"/>
      <c r="G68" s="3"/>
    </row>
    <row r="69" spans="2:7" x14ac:dyDescent="0.25">
      <c r="B69" s="15">
        <f t="shared" si="0"/>
        <v>-120</v>
      </c>
      <c r="C69" s="17"/>
      <c r="D69" s="17"/>
      <c r="E69" s="10"/>
      <c r="F69" s="9"/>
      <c r="G69" s="3"/>
    </row>
    <row r="70" spans="2:7" x14ac:dyDescent="0.25">
      <c r="B70" s="15">
        <f>B71-30</f>
        <v>-90</v>
      </c>
      <c r="C70" s="17"/>
      <c r="D70" s="17"/>
      <c r="E70" s="10"/>
      <c r="F70" s="9"/>
      <c r="G70" s="3"/>
    </row>
    <row r="71" spans="2:7" x14ac:dyDescent="0.25">
      <c r="B71" s="15">
        <f>C11-60</f>
        <v>-60</v>
      </c>
      <c r="C71" s="17"/>
      <c r="D71" s="17"/>
      <c r="E71" s="10"/>
      <c r="F71" s="9"/>
      <c r="G71" s="3"/>
    </row>
    <row r="72" spans="2:7" x14ac:dyDescent="0.25">
      <c r="B72" s="16"/>
      <c r="C72" s="9"/>
      <c r="D72" s="9"/>
      <c r="E72" s="10"/>
      <c r="F72" s="9"/>
      <c r="G72" s="3"/>
    </row>
    <row r="73" spans="2:7" ht="16.5" customHeight="1" x14ac:dyDescent="0.25">
      <c r="B73" s="20" t="s">
        <v>115</v>
      </c>
      <c r="C73" s="20"/>
      <c r="D73" s="20"/>
      <c r="E73" s="20"/>
      <c r="F73" s="20"/>
    </row>
    <row r="74" spans="2:7" x14ac:dyDescent="0.25">
      <c r="B74" s="8" t="s">
        <v>215</v>
      </c>
      <c r="C74" s="7"/>
      <c r="D74" s="7"/>
      <c r="E74" s="10"/>
      <c r="F74" s="9"/>
      <c r="G74" s="3"/>
    </row>
    <row r="75" spans="2:7" x14ac:dyDescent="0.25">
      <c r="B75" s="5"/>
      <c r="C75" s="7"/>
      <c r="D75" s="7"/>
      <c r="E75" s="10"/>
      <c r="F75" s="9"/>
      <c r="G75" s="3"/>
    </row>
    <row r="76" spans="2:7" x14ac:dyDescent="0.25">
      <c r="B76" s="31"/>
      <c r="C76" s="31" t="s">
        <v>5</v>
      </c>
      <c r="D76" s="7"/>
      <c r="E76" s="10"/>
      <c r="F76" s="9"/>
      <c r="G76" s="3"/>
    </row>
    <row r="77" spans="2:7" x14ac:dyDescent="0.25">
      <c r="B77" s="13" t="s">
        <v>188</v>
      </c>
      <c r="C77" s="17"/>
      <c r="D77" s="7"/>
      <c r="E77" s="6"/>
      <c r="F77" s="6"/>
    </row>
    <row r="78" spans="2:7" x14ac:dyDescent="0.25">
      <c r="B78" s="7"/>
      <c r="C78" s="7"/>
      <c r="D78" s="7"/>
      <c r="E78" s="7"/>
      <c r="F78" s="7"/>
    </row>
    <row r="79" spans="2:7" ht="16.5" customHeight="1" x14ac:dyDescent="0.25">
      <c r="B79" s="20" t="s">
        <v>116</v>
      </c>
      <c r="C79" s="20"/>
      <c r="D79" s="20"/>
      <c r="E79" s="20"/>
      <c r="F79" s="20"/>
    </row>
    <row r="80" spans="2:7" x14ac:dyDescent="0.25">
      <c r="D80" s="8" t="s">
        <v>118</v>
      </c>
    </row>
    <row r="81" spans="2:7" x14ac:dyDescent="0.25">
      <c r="B81" s="197" t="s">
        <v>94</v>
      </c>
      <c r="C81" s="17"/>
      <c r="D81" s="202"/>
      <c r="E81" s="202"/>
      <c r="F81" s="202"/>
    </row>
    <row r="82" spans="2:7" x14ac:dyDescent="0.25">
      <c r="B82" s="197" t="s">
        <v>95</v>
      </c>
      <c r="C82" s="17"/>
      <c r="D82" s="202"/>
      <c r="E82" s="202"/>
      <c r="F82" s="202"/>
    </row>
    <row r="83" spans="2:7" x14ac:dyDescent="0.25">
      <c r="B83" s="197" t="s">
        <v>109</v>
      </c>
      <c r="C83" s="17"/>
      <c r="D83" s="202"/>
      <c r="E83" s="202"/>
      <c r="F83" s="202"/>
    </row>
    <row r="84" spans="2:7" x14ac:dyDescent="0.25">
      <c r="B84" s="7"/>
      <c r="C84" s="7"/>
      <c r="D84" s="7"/>
      <c r="E84" s="6"/>
      <c r="F84" s="6"/>
    </row>
    <row r="85" spans="2:7" ht="16.5" customHeight="1" x14ac:dyDescent="0.25">
      <c r="B85" s="20" t="s">
        <v>117</v>
      </c>
      <c r="C85" s="20"/>
      <c r="D85" s="20"/>
      <c r="E85" s="20"/>
      <c r="F85" s="20"/>
    </row>
    <row r="86" spans="2:7" x14ac:dyDescent="0.25">
      <c r="D86" s="8" t="s">
        <v>118</v>
      </c>
    </row>
    <row r="87" spans="2:7" ht="15.75" customHeight="1" x14ac:dyDescent="0.25">
      <c r="B87" s="197" t="s">
        <v>111</v>
      </c>
      <c r="C87" s="17"/>
      <c r="D87" s="202"/>
      <c r="E87" s="202"/>
      <c r="F87" s="202"/>
    </row>
    <row r="88" spans="2:7" x14ac:dyDescent="0.25">
      <c r="B88" s="7"/>
      <c r="C88" s="7"/>
      <c r="D88" s="7"/>
      <c r="E88" s="6"/>
      <c r="F88" s="6"/>
    </row>
    <row r="91" spans="2:7" x14ac:dyDescent="0.25">
      <c r="D91" s="7"/>
      <c r="E91" s="18"/>
      <c r="F91" s="9"/>
      <c r="G91" s="3"/>
    </row>
    <row r="92" spans="2:7" x14ac:dyDescent="0.25">
      <c r="D92" s="7"/>
      <c r="E92" s="10"/>
      <c r="F92" s="9"/>
      <c r="G92" s="3"/>
    </row>
    <row r="93" spans="2:7" x14ac:dyDescent="0.25">
      <c r="D93" s="7"/>
      <c r="E93" s="10"/>
      <c r="F93" s="9"/>
      <c r="G93" s="3"/>
    </row>
    <row r="94" spans="2:7" x14ac:dyDescent="0.25">
      <c r="D94" s="7"/>
      <c r="E94" s="10"/>
      <c r="F94" s="9"/>
      <c r="G94" s="3"/>
    </row>
    <row r="95" spans="2:7" x14ac:dyDescent="0.25">
      <c r="D95" s="7"/>
      <c r="E95" s="10"/>
      <c r="F95" s="9"/>
      <c r="G95" s="3"/>
    </row>
    <row r="96" spans="2:7" x14ac:dyDescent="0.25">
      <c r="D96" s="7"/>
      <c r="E96" s="10"/>
      <c r="F96" s="9"/>
      <c r="G96" s="3"/>
    </row>
    <row r="97" spans="2:6" x14ac:dyDescent="0.25">
      <c r="B97" s="7"/>
      <c r="C97" s="7"/>
      <c r="D97" s="7"/>
      <c r="E97" s="7"/>
      <c r="F97" s="7"/>
    </row>
    <row r="98" spans="2:6" x14ac:dyDescent="0.25">
      <c r="B98" s="9"/>
      <c r="C98" s="19"/>
      <c r="D98" s="19"/>
      <c r="E98" s="19"/>
      <c r="F98" s="19"/>
    </row>
  </sheetData>
  <sheetProtection algorithmName="SHA-512" hashValue="8HFRC4MWjPyud0/PKAiLA1ZQjRapdHJZAAAc1YOBxTKjMW3vVw+YwQI3WHS81e4oN7DEJFzyShW1fAOxRJTs8g==" saltValue="MfU1Tt00uYRJexLGwMswQQ==" spinCount="100000" sheet="1" selectLockedCells="1"/>
  <mergeCells count="26">
    <mergeCell ref="D21:F21"/>
    <mergeCell ref="B2:B3"/>
    <mergeCell ref="C5:D5"/>
    <mergeCell ref="C6:D6"/>
    <mergeCell ref="C7:D7"/>
    <mergeCell ref="C9:D9"/>
    <mergeCell ref="C11:D11"/>
    <mergeCell ref="C8:D8"/>
    <mergeCell ref="C10:D10"/>
    <mergeCell ref="C2:E2"/>
    <mergeCell ref="C3:E3"/>
    <mergeCell ref="B23:F23"/>
    <mergeCell ref="C30:D30"/>
    <mergeCell ref="D87:F87"/>
    <mergeCell ref="D81:F81"/>
    <mergeCell ref="D82:F82"/>
    <mergeCell ref="D83:F83"/>
    <mergeCell ref="D49:F49"/>
    <mergeCell ref="D50:F50"/>
    <mergeCell ref="D51:F51"/>
    <mergeCell ref="D52:F52"/>
    <mergeCell ref="D54:F54"/>
    <mergeCell ref="D55:F55"/>
    <mergeCell ref="D56:F56"/>
    <mergeCell ref="D57:F57"/>
    <mergeCell ref="D58:F58"/>
  </mergeCells>
  <dataValidations count="2">
    <dataValidation type="list" allowBlank="1" showInputMessage="1" showErrorMessage="1" sqref="C19:C20">
      <formula1>$B$6:$B$8</formula1>
    </dataValidation>
    <dataValidation type="list" allowBlank="1" showInputMessage="1" showErrorMessage="1" sqref="C78">
      <formula1>$B$39:$B$40</formula1>
    </dataValidation>
  </dataValidations>
  <pageMargins left="0.70866141732283472" right="0.70866141732283472" top="0.74803149606299213" bottom="0.74803149606299213" header="0.31496062992125984" footer="0.31496062992125984"/>
  <pageSetup paperSize="9" scale="46" fitToHeight="0" orientation="landscape" r:id="rId1"/>
  <rowBreaks count="2" manualBreakCount="2">
    <brk id="59" max="6" man="1"/>
    <brk id="78" max="6" man="1"/>
  </rowBreaks>
  <drawing r:id="rId2"/>
  <extLst>
    <ext xmlns:x14="http://schemas.microsoft.com/office/spreadsheetml/2009/9/main" uri="{CCE6A557-97BC-4b89-ADB6-D9C93CAAB3DF}">
      <x14:dataValidations xmlns:xm="http://schemas.microsoft.com/office/excel/2006/main" count="8">
        <x14:dataValidation type="list" allowBlank="1" showInputMessage="1" showErrorMessage="1">
          <x14:formula1>
            <xm:f>Datos!$B$3:$B$4</xm:f>
          </x14:formula1>
          <xm:sqref>C17</xm:sqref>
        </x14:dataValidation>
        <x14:dataValidation type="list" allowBlank="1" showInputMessage="1" showErrorMessage="1">
          <x14:formula1>
            <xm:f>Datos!$B$7:$B$9</xm:f>
          </x14:formula1>
          <xm:sqref>C63:C64 C18</xm:sqref>
        </x14:dataValidation>
        <x14:dataValidation type="list" allowBlank="1" showInputMessage="1" showErrorMessage="1">
          <x14:formula1>
            <xm:f>Datos!$B$12:$B$13</xm:f>
          </x14:formula1>
          <xm:sqref>C54</xm:sqref>
        </x14:dataValidation>
        <x14:dataValidation type="list" allowBlank="1" showInputMessage="1" showErrorMessage="1">
          <x14:formula1>
            <xm:f>Datos!$B$16:$B$17</xm:f>
          </x14:formula1>
          <xm:sqref>C55</xm:sqref>
        </x14:dataValidation>
        <x14:dataValidation type="list" allowBlank="1" showInputMessage="1" showErrorMessage="1">
          <x14:formula1>
            <xm:f>Datos!$B$20:$B$23</xm:f>
          </x14:formula1>
          <xm:sqref>C56:C57</xm:sqref>
        </x14:dataValidation>
        <x14:dataValidation type="list" allowBlank="1" showInputMessage="1" showErrorMessage="1">
          <x14:formula1>
            <xm:f>Datos!$B$33:$B$34</xm:f>
          </x14:formula1>
          <xm:sqref>C49:C52 C81:C83 C87 C21</xm:sqref>
        </x14:dataValidation>
        <x14:dataValidation type="list" allowBlank="1" showInputMessage="1" showErrorMessage="1">
          <x14:formula1>
            <xm:f>Datos!$B$44:$B$49</xm:f>
          </x14:formula1>
          <xm:sqref>C77</xm:sqref>
        </x14:dataValidation>
        <x14:dataValidation type="list" allowBlank="1" showInputMessage="1" showErrorMessage="1">
          <x14:formula1>
            <xm:f>Datos!$B$53:$B$64</xm:f>
          </x14:formula1>
          <xm:sqref>C9:D9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156"/>
  <sheetViews>
    <sheetView zoomScale="80" zoomScaleNormal="80" zoomScaleSheetLayoutView="55" workbookViewId="0">
      <selection activeCell="H4" sqref="H4"/>
    </sheetView>
  </sheetViews>
  <sheetFormatPr baseColWidth="10" defaultRowHeight="12.75" outlineLevelCol="1" x14ac:dyDescent="0.2"/>
  <cols>
    <col min="1" max="1" width="3.140625" style="39" customWidth="1"/>
    <col min="2" max="3" width="13.85546875" style="39" customWidth="1"/>
    <col min="4" max="4" width="69.42578125" style="39" customWidth="1"/>
    <col min="5" max="5" width="5.85546875" style="39" customWidth="1"/>
    <col min="6" max="6" width="20.140625" style="39" customWidth="1"/>
    <col min="7" max="7" width="19.140625" style="39" customWidth="1"/>
    <col min="8" max="8" width="33.5703125" style="39" customWidth="1"/>
    <col min="9" max="10" width="6.28515625" style="39" customWidth="1"/>
    <col min="11" max="15" width="15.140625" style="56" hidden="1" customWidth="1" outlineLevel="1"/>
    <col min="16" max="17" width="11.42578125" style="39" hidden="1" customWidth="1" outlineLevel="1"/>
    <col min="18" max="18" width="11.42578125" style="39" collapsed="1"/>
    <col min="19" max="16384" width="11.42578125" style="39"/>
  </cols>
  <sheetData>
    <row r="1" spans="1:8" x14ac:dyDescent="0.2">
      <c r="A1" s="55"/>
      <c r="B1" s="191" t="s">
        <v>208</v>
      </c>
      <c r="C1" s="55"/>
      <c r="D1" s="55"/>
      <c r="E1" s="55"/>
      <c r="F1" s="55"/>
      <c r="G1" s="55"/>
      <c r="H1" s="55"/>
    </row>
    <row r="2" spans="1:8" ht="23.25" customHeight="1" x14ac:dyDescent="0.2">
      <c r="A2" s="55"/>
      <c r="B2" s="208"/>
      <c r="C2" s="208"/>
      <c r="D2" s="222" t="s">
        <v>57</v>
      </c>
      <c r="E2" s="223"/>
      <c r="F2" s="223"/>
      <c r="G2" s="223"/>
      <c r="H2" s="57" t="s">
        <v>223</v>
      </c>
    </row>
    <row r="3" spans="1:8" ht="23.25" customHeight="1" x14ac:dyDescent="0.2">
      <c r="A3" s="55"/>
      <c r="B3" s="208"/>
      <c r="C3" s="208"/>
      <c r="D3" s="224"/>
      <c r="E3" s="225"/>
      <c r="F3" s="225"/>
      <c r="G3" s="225"/>
      <c r="H3" s="199" t="s">
        <v>224</v>
      </c>
    </row>
    <row r="4" spans="1:8" x14ac:dyDescent="0.2">
      <c r="A4" s="55"/>
      <c r="B4" s="58"/>
      <c r="C4" s="58"/>
      <c r="D4" s="58"/>
      <c r="E4" s="58"/>
      <c r="F4" s="58"/>
      <c r="G4" s="58"/>
      <c r="H4" s="58"/>
    </row>
    <row r="5" spans="1:8" x14ac:dyDescent="0.2">
      <c r="A5" s="55"/>
      <c r="B5" s="209" t="s">
        <v>0</v>
      </c>
      <c r="C5" s="209"/>
      <c r="D5" s="59">
        <f>+'COG-F-011'!C5</f>
        <v>0</v>
      </c>
      <c r="E5" s="59"/>
      <c r="F5" s="55"/>
      <c r="G5" s="55"/>
      <c r="H5" s="55"/>
    </row>
    <row r="6" spans="1:8" x14ac:dyDescent="0.2">
      <c r="A6" s="55"/>
      <c r="B6" s="60" t="s">
        <v>1</v>
      </c>
      <c r="C6" s="59"/>
      <c r="D6" s="59">
        <f>+'COG-F-011'!C6</f>
        <v>0</v>
      </c>
      <c r="E6" s="59"/>
      <c r="F6" s="55"/>
      <c r="G6" s="55"/>
      <c r="H6" s="55"/>
    </row>
    <row r="7" spans="1:8" x14ac:dyDescent="0.2">
      <c r="A7" s="55"/>
      <c r="B7" s="60" t="s">
        <v>2</v>
      </c>
      <c r="C7" s="59"/>
      <c r="D7" s="59">
        <f>+'COG-F-011'!C7</f>
        <v>0</v>
      </c>
      <c r="E7" s="59"/>
      <c r="F7" s="55"/>
      <c r="G7" s="55"/>
      <c r="H7" s="55"/>
    </row>
    <row r="8" spans="1:8" x14ac:dyDescent="0.2">
      <c r="A8" s="55"/>
      <c r="B8" s="60" t="s">
        <v>19</v>
      </c>
      <c r="C8" s="59"/>
      <c r="D8" s="59">
        <f>+'COG-F-011'!C9</f>
        <v>0</v>
      </c>
      <c r="E8" s="59"/>
      <c r="F8" s="55"/>
      <c r="G8" s="55"/>
      <c r="H8" s="55"/>
    </row>
    <row r="9" spans="1:8" x14ac:dyDescent="0.2">
      <c r="A9" s="55"/>
      <c r="B9" s="61" t="s">
        <v>168</v>
      </c>
      <c r="C9" s="55"/>
      <c r="D9" s="59">
        <f>+'COG-F-011'!C10</f>
        <v>0</v>
      </c>
      <c r="E9" s="59"/>
      <c r="F9" s="55"/>
      <c r="G9" s="55"/>
      <c r="H9" s="55"/>
    </row>
    <row r="10" spans="1:8" ht="13.5" thickBot="1" x14ac:dyDescent="0.25">
      <c r="A10" s="55"/>
      <c r="B10" s="55"/>
      <c r="C10" s="55"/>
      <c r="D10" s="55"/>
      <c r="E10" s="55"/>
      <c r="F10" s="55"/>
      <c r="G10" s="55"/>
      <c r="H10" s="55"/>
    </row>
    <row r="11" spans="1:8" ht="25.5" customHeight="1" thickBot="1" x14ac:dyDescent="0.25">
      <c r="B11" s="228" t="s">
        <v>153</v>
      </c>
      <c r="C11" s="229"/>
      <c r="D11" s="229"/>
      <c r="E11" s="229"/>
      <c r="F11" s="229"/>
      <c r="G11" s="229"/>
      <c r="H11" s="230"/>
    </row>
    <row r="12" spans="1:8" ht="13.5" thickBot="1" x14ac:dyDescent="0.25"/>
    <row r="13" spans="1:8" x14ac:dyDescent="0.2">
      <c r="B13" s="233" t="s">
        <v>82</v>
      </c>
      <c r="C13" s="234"/>
      <c r="D13" s="234"/>
      <c r="E13" s="234"/>
      <c r="F13" s="234"/>
      <c r="G13" s="216" t="e">
        <f>G24</f>
        <v>#N/A</v>
      </c>
      <c r="H13" s="217"/>
    </row>
    <row r="14" spans="1:8" ht="13.5" thickBot="1" x14ac:dyDescent="0.25">
      <c r="B14" s="218" t="s">
        <v>83</v>
      </c>
      <c r="C14" s="219"/>
      <c r="D14" s="219"/>
      <c r="E14" s="219"/>
      <c r="F14" s="219"/>
      <c r="G14" s="220" t="e">
        <f>IF(H24&lt;G29,B29,IF(H24&lt;G31,B30,IF(H24&lt;G32,B31,IF(H24&lt;G33,B32,B33))))</f>
        <v>#N/A</v>
      </c>
      <c r="H14" s="221"/>
    </row>
    <row r="16" spans="1:8" ht="15" customHeight="1" x14ac:dyDescent="0.2">
      <c r="B16" s="232" t="s">
        <v>160</v>
      </c>
      <c r="C16" s="232"/>
      <c r="D16" s="232"/>
      <c r="E16" s="62" t="s">
        <v>170</v>
      </c>
      <c r="F16" s="63" t="s">
        <v>158</v>
      </c>
      <c r="G16" s="63" t="s">
        <v>159</v>
      </c>
      <c r="H16" s="63" t="s">
        <v>172</v>
      </c>
    </row>
    <row r="17" spans="2:8" x14ac:dyDescent="0.2">
      <c r="B17" s="46" t="s">
        <v>101</v>
      </c>
      <c r="C17" s="231" t="str">
        <f>+C37</f>
        <v>COMERCIAL</v>
      </c>
      <c r="D17" s="231"/>
      <c r="E17" s="64" t="e">
        <f>VLOOKUP(C17,Puntajes!$B$7:$N$41,HLOOKUP($D$8,Puntajes!$C$7:$N$8,2,0),0)</f>
        <v>#N/A</v>
      </c>
      <c r="F17" s="65" t="e">
        <f>+F37</f>
        <v>#N/A</v>
      </c>
      <c r="G17" s="66">
        <f>+IFERROR(H37,0)</f>
        <v>0</v>
      </c>
      <c r="H17" s="48">
        <f>+IFERROR(G17/F17,0)</f>
        <v>0</v>
      </c>
    </row>
    <row r="18" spans="2:8" x14ac:dyDescent="0.2">
      <c r="B18" s="46" t="s">
        <v>102</v>
      </c>
      <c r="C18" s="231" t="str">
        <f>+C53</f>
        <v>INFORMACIÓN FINANCIERA Y OBLIGACIONES LEGALES</v>
      </c>
      <c r="D18" s="231"/>
      <c r="E18" s="64" t="e">
        <f>VLOOKUP(C18,Puntajes!$B$7:$N$41,HLOOKUP($D$8,Puntajes!$C$7:$N$8,2,0),0)</f>
        <v>#N/A</v>
      </c>
      <c r="F18" s="65" t="e">
        <f>+F53</f>
        <v>#N/A</v>
      </c>
      <c r="G18" s="66">
        <f>+IFERROR(H53,0)</f>
        <v>0</v>
      </c>
      <c r="H18" s="48">
        <f t="shared" ref="H18:H22" si="0">+IFERROR(G18/F18,0)</f>
        <v>0</v>
      </c>
    </row>
    <row r="19" spans="2:8" ht="12.75" customHeight="1" x14ac:dyDescent="0.2">
      <c r="B19" s="46" t="s">
        <v>106</v>
      </c>
      <c r="C19" s="231" t="str">
        <f>+C109</f>
        <v>CAPACIDAD OPERATIVA</v>
      </c>
      <c r="D19" s="231"/>
      <c r="E19" s="64" t="e">
        <f>VLOOKUP(C19,Puntajes!$B$7:$N$41,HLOOKUP($D$8,Puntajes!$C$7:$N$8,2,0),0)</f>
        <v>#N/A</v>
      </c>
      <c r="F19" s="65" t="e">
        <f>+F109</f>
        <v>#N/A</v>
      </c>
      <c r="G19" s="66">
        <f>+IFERROR(H109,0)</f>
        <v>0</v>
      </c>
      <c r="H19" s="48">
        <f t="shared" si="0"/>
        <v>0</v>
      </c>
    </row>
    <row r="20" spans="2:8" ht="12.75" customHeight="1" x14ac:dyDescent="0.2">
      <c r="B20" s="46" t="s">
        <v>107</v>
      </c>
      <c r="C20" s="231" t="str">
        <f>+C120</f>
        <v>GESTIÓN DE LA CALIDAD</v>
      </c>
      <c r="D20" s="231"/>
      <c r="E20" s="64" t="e">
        <f>VLOOKUP(C20,Puntajes!$B$7:$N$41,HLOOKUP($D$8,Puntajes!$C$7:$N$8,2,0),0)</f>
        <v>#N/A</v>
      </c>
      <c r="F20" s="65" t="e">
        <f>+F120</f>
        <v>#N/A</v>
      </c>
      <c r="G20" s="66">
        <f>+IFERROR(H120,0)</f>
        <v>0</v>
      </c>
      <c r="H20" s="48">
        <f t="shared" si="0"/>
        <v>0</v>
      </c>
    </row>
    <row r="21" spans="2:8" ht="12.75" customHeight="1" x14ac:dyDescent="0.2">
      <c r="B21" s="46" t="s">
        <v>157</v>
      </c>
      <c r="C21" s="231" t="str">
        <f>+C128</f>
        <v>SUSTENTABILIDAD</v>
      </c>
      <c r="D21" s="231"/>
      <c r="E21" s="64" t="e">
        <f>VLOOKUP(C21,Puntajes!$B$7:$N$41,HLOOKUP($D$8,Puntajes!$C$7:$N$8,2,0),0)</f>
        <v>#N/A</v>
      </c>
      <c r="F21" s="65" t="e">
        <f>+F128</f>
        <v>#N/A</v>
      </c>
      <c r="G21" s="66">
        <f>+IFERROR(H128,0)</f>
        <v>0</v>
      </c>
      <c r="H21" s="48">
        <f t="shared" si="0"/>
        <v>0</v>
      </c>
    </row>
    <row r="22" spans="2:8" x14ac:dyDescent="0.2">
      <c r="B22" s="46" t="s">
        <v>156</v>
      </c>
      <c r="C22" s="231" t="str">
        <f>+C138</f>
        <v>BASC</v>
      </c>
      <c r="D22" s="231"/>
      <c r="E22" s="64" t="e">
        <f>VLOOKUP(C22,Puntajes!$B$7:$N$41,HLOOKUP($D$8,Puntajes!$C$7:$N$8,2,0),0)</f>
        <v>#N/A</v>
      </c>
      <c r="F22" s="65" t="e">
        <f>+F138</f>
        <v>#N/A</v>
      </c>
      <c r="G22" s="66">
        <f>+IFERROR(H138,0)</f>
        <v>0</v>
      </c>
      <c r="H22" s="48">
        <f t="shared" si="0"/>
        <v>0</v>
      </c>
    </row>
    <row r="23" spans="2:8" x14ac:dyDescent="0.2">
      <c r="B23" s="67"/>
      <c r="C23" s="68"/>
      <c r="D23" s="68"/>
      <c r="E23" s="69"/>
      <c r="F23" s="70"/>
      <c r="G23" s="70"/>
      <c r="H23" s="58"/>
    </row>
    <row r="24" spans="2:8" x14ac:dyDescent="0.2">
      <c r="B24" s="67"/>
      <c r="C24" s="68"/>
      <c r="D24" s="68"/>
      <c r="E24" s="71"/>
      <c r="F24" s="65" t="e">
        <f>+SUMPRODUCT(E17:E22,F17:F22)</f>
        <v>#N/A</v>
      </c>
      <c r="G24" s="66" t="e">
        <f>+IF(G43=D45,0,SUMPRODUCT(E17:E22,G17:G22))</f>
        <v>#N/A</v>
      </c>
      <c r="H24" s="48" t="e">
        <f>+IF(G43=D45,0,SUMPRODUCT(E17:E22,H17:H22))</f>
        <v>#N/A</v>
      </c>
    </row>
    <row r="25" spans="2:8" ht="13.5" thickBot="1" x14ac:dyDescent="0.25"/>
    <row r="26" spans="2:8" ht="24.75" customHeight="1" thickBot="1" x14ac:dyDescent="0.25">
      <c r="B26" s="228" t="s">
        <v>154</v>
      </c>
      <c r="C26" s="229"/>
      <c r="D26" s="229"/>
      <c r="E26" s="229"/>
      <c r="F26" s="229"/>
      <c r="G26" s="229"/>
      <c r="H26" s="230"/>
    </row>
    <row r="28" spans="2:8" x14ac:dyDescent="0.2">
      <c r="B28" s="210" t="s">
        <v>173</v>
      </c>
      <c r="C28" s="211"/>
      <c r="D28" s="211"/>
      <c r="E28" s="211"/>
      <c r="F28" s="212"/>
      <c r="G28" s="212"/>
      <c r="H28" s="213"/>
    </row>
    <row r="29" spans="2:8" x14ac:dyDescent="0.2">
      <c r="B29" s="214" t="s">
        <v>60</v>
      </c>
      <c r="C29" s="215"/>
      <c r="D29" s="215"/>
      <c r="E29" s="72"/>
      <c r="F29" s="73" t="s">
        <v>62</v>
      </c>
      <c r="G29" s="74">
        <v>0.5</v>
      </c>
      <c r="H29" s="75"/>
    </row>
    <row r="30" spans="2:8" x14ac:dyDescent="0.2">
      <c r="B30" s="214" t="s">
        <v>61</v>
      </c>
      <c r="C30" s="215"/>
      <c r="D30" s="215"/>
      <c r="E30" s="72"/>
      <c r="F30" s="73" t="s">
        <v>66</v>
      </c>
      <c r="G30" s="74">
        <v>0.5</v>
      </c>
      <c r="H30" s="75"/>
    </row>
    <row r="31" spans="2:8" x14ac:dyDescent="0.2">
      <c r="B31" s="214" t="s">
        <v>63</v>
      </c>
      <c r="C31" s="215"/>
      <c r="D31" s="215"/>
      <c r="E31" s="72"/>
      <c r="F31" s="73" t="s">
        <v>66</v>
      </c>
      <c r="G31" s="74">
        <v>0.65</v>
      </c>
      <c r="H31" s="75"/>
    </row>
    <row r="32" spans="2:8" x14ac:dyDescent="0.2">
      <c r="B32" s="214" t="s">
        <v>64</v>
      </c>
      <c r="C32" s="215"/>
      <c r="D32" s="215"/>
      <c r="E32" s="72"/>
      <c r="F32" s="73" t="s">
        <v>66</v>
      </c>
      <c r="G32" s="74">
        <v>0.8</v>
      </c>
      <c r="H32" s="75"/>
    </row>
    <row r="33" spans="2:16" x14ac:dyDescent="0.2">
      <c r="B33" s="214" t="s">
        <v>65</v>
      </c>
      <c r="C33" s="215"/>
      <c r="D33" s="215"/>
      <c r="E33" s="72"/>
      <c r="F33" s="73" t="s">
        <v>66</v>
      </c>
      <c r="G33" s="74">
        <v>0.95</v>
      </c>
      <c r="H33" s="75"/>
    </row>
    <row r="34" spans="2:16" ht="13.5" thickBot="1" x14ac:dyDescent="0.25"/>
    <row r="35" spans="2:16" x14ac:dyDescent="0.2">
      <c r="B35" s="235" t="s">
        <v>67</v>
      </c>
      <c r="C35" s="237" t="s">
        <v>68</v>
      </c>
      <c r="D35" s="237"/>
      <c r="E35" s="254" t="s">
        <v>170</v>
      </c>
      <c r="F35" s="254" t="s">
        <v>69</v>
      </c>
      <c r="G35" s="226" t="s">
        <v>70</v>
      </c>
      <c r="H35" s="227"/>
    </row>
    <row r="36" spans="2:16" ht="13.5" thickBot="1" x14ac:dyDescent="0.25">
      <c r="B36" s="236"/>
      <c r="C36" s="238"/>
      <c r="D36" s="238"/>
      <c r="E36" s="255"/>
      <c r="F36" s="255"/>
      <c r="G36" s="76" t="s">
        <v>71</v>
      </c>
      <c r="H36" s="77" t="s">
        <v>155</v>
      </c>
    </row>
    <row r="37" spans="2:16" ht="16.5" customHeight="1" thickBot="1" x14ac:dyDescent="0.25">
      <c r="B37" s="78" t="s">
        <v>101</v>
      </c>
      <c r="C37" s="247" t="s">
        <v>97</v>
      </c>
      <c r="D37" s="247"/>
      <c r="E37" s="79"/>
      <c r="F37" s="79" t="e">
        <f>+E38*F42+E50*F51</f>
        <v>#N/A</v>
      </c>
      <c r="G37" s="80"/>
      <c r="H37" s="81" t="e">
        <f>+IF(G43=D45,0,SUMPRODUCT(E38:E52,H38:H52))</f>
        <v>#N/A</v>
      </c>
      <c r="K37" s="82" t="s">
        <v>201</v>
      </c>
      <c r="L37" s="46" t="s">
        <v>190</v>
      </c>
      <c r="M37" s="46" t="s">
        <v>199</v>
      </c>
      <c r="N37" s="46" t="s">
        <v>191</v>
      </c>
      <c r="O37" s="46" t="s">
        <v>169</v>
      </c>
    </row>
    <row r="38" spans="2:16" x14ac:dyDescent="0.2">
      <c r="B38" s="244">
        <v>1</v>
      </c>
      <c r="C38" s="246" t="s">
        <v>72</v>
      </c>
      <c r="D38" s="246"/>
      <c r="E38" s="83" t="e">
        <f>VLOOKUP(C38,Puntajes!$B$9:$N$41,HLOOKUP($D$8,Puntajes!$C$7:$N$8,2,0),0)</f>
        <v>#N/A</v>
      </c>
      <c r="F38" s="84"/>
      <c r="G38" s="85">
        <f>YEAR('COG-F-011'!C11)-YEAR('COG-F-011'!C16)</f>
        <v>0</v>
      </c>
      <c r="H38" s="86">
        <f>+IF(G38="","-",IF(G38&lt;$D$39,$F$39,IF(G38&lt;$D$40,$F$40,IF(G38&lt;$D$41,$F$41,$F$42))))</f>
        <v>10</v>
      </c>
    </row>
    <row r="39" spans="2:16" s="55" customFormat="1" x14ac:dyDescent="0.2">
      <c r="B39" s="245"/>
      <c r="C39" s="87" t="s">
        <v>62</v>
      </c>
      <c r="D39" s="88">
        <f>+IF('COG-F-011'!$C$9='COP-F-012'!$K$37,'COP-F-012'!K39,IF('COG-F-011'!$C$9='COP-F-012'!$L$37,'COP-F-012'!L39,IF('COG-F-011'!$C$9='COP-F-012'!$M$37,'COP-F-012'!M39,IF('COG-F-011'!$C$9='COP-F-012'!$N$37,'COP-F-012'!N39,IF('COG-F-011'!$C$9='COP-F-012'!$O$37,'COP-F-012'!O39,'COP-F-012'!P39)))))</f>
        <v>5</v>
      </c>
      <c r="E39" s="89"/>
      <c r="F39" s="90">
        <v>10</v>
      </c>
      <c r="G39" s="67"/>
      <c r="H39" s="91"/>
      <c r="K39" s="92">
        <v>5</v>
      </c>
      <c r="L39" s="92">
        <v>3</v>
      </c>
      <c r="M39" s="92">
        <v>1</v>
      </c>
      <c r="N39" s="92">
        <v>1</v>
      </c>
      <c r="O39" s="92">
        <v>5</v>
      </c>
      <c r="P39" s="55">
        <v>5</v>
      </c>
    </row>
    <row r="40" spans="2:16" s="55" customFormat="1" x14ac:dyDescent="0.2">
      <c r="B40" s="245"/>
      <c r="C40" s="93" t="s">
        <v>62</v>
      </c>
      <c r="D40" s="94">
        <f>+IF('COG-F-011'!$C$9='COP-F-012'!$K$37,'COP-F-012'!K40,IF('COG-F-011'!$C$9='COP-F-012'!$L$37,'COP-F-012'!L40,IF('COG-F-011'!$C$9='COP-F-012'!$M$37,'COP-F-012'!M40,IF('COG-F-011'!$C$9='COP-F-012'!$N$37,'COP-F-012'!N40,IF('COG-F-011'!$C$9='COP-F-012'!$O$37,'COP-F-012'!O40,'COP-F-012'!P40)))))</f>
        <v>10</v>
      </c>
      <c r="E40" s="95"/>
      <c r="F40" s="96">
        <v>30</v>
      </c>
      <c r="G40" s="67"/>
      <c r="H40" s="91"/>
      <c r="K40" s="92">
        <v>10</v>
      </c>
      <c r="L40" s="92">
        <v>5</v>
      </c>
      <c r="M40" s="92">
        <v>3</v>
      </c>
      <c r="N40" s="92">
        <v>3</v>
      </c>
      <c r="O40" s="92">
        <v>10</v>
      </c>
      <c r="P40" s="55">
        <v>10</v>
      </c>
    </row>
    <row r="41" spans="2:16" s="55" customFormat="1" x14ac:dyDescent="0.2">
      <c r="B41" s="245"/>
      <c r="C41" s="93" t="s">
        <v>62</v>
      </c>
      <c r="D41" s="94">
        <f>+IF('COG-F-011'!$C$9='COP-F-012'!$K$37,'COP-F-012'!K41,IF('COG-F-011'!$C$9='COP-F-012'!$L$37,'COP-F-012'!L41,IF('COG-F-011'!$C$9='COP-F-012'!$M$37,'COP-F-012'!M41,IF('COG-F-011'!$C$9='COP-F-012'!$N$37,'COP-F-012'!N41,IF('COG-F-011'!$C$9='COP-F-012'!$O$37,'COP-F-012'!O41,'COP-F-012'!P41)))))</f>
        <v>20</v>
      </c>
      <c r="E41" s="95"/>
      <c r="F41" s="96">
        <v>70</v>
      </c>
      <c r="G41" s="67"/>
      <c r="H41" s="91"/>
      <c r="K41" s="92">
        <v>20</v>
      </c>
      <c r="L41" s="92">
        <v>10</v>
      </c>
      <c r="M41" s="92">
        <v>5</v>
      </c>
      <c r="N41" s="92">
        <v>5</v>
      </c>
      <c r="O41" s="92">
        <v>20</v>
      </c>
      <c r="P41" s="55">
        <v>20</v>
      </c>
    </row>
    <row r="42" spans="2:16" s="55" customFormat="1" x14ac:dyDescent="0.2">
      <c r="B42" s="245"/>
      <c r="C42" s="97" t="s">
        <v>66</v>
      </c>
      <c r="D42" s="98">
        <f>+IF('COG-F-011'!$C$9='COP-F-012'!$K$37,'COP-F-012'!K42,IF('COG-F-011'!$C$9='COP-F-012'!$L$37,'COP-F-012'!L42,IF('COG-F-011'!$C$9='COP-F-012'!$M$37,'COP-F-012'!M42,IF('COG-F-011'!$C$9='COP-F-012'!$N$37,'COP-F-012'!N42,IF('COG-F-011'!$C$9='COP-F-012'!$O$37,'COP-F-012'!O42,'COP-F-012'!P42)))))</f>
        <v>20</v>
      </c>
      <c r="E42" s="95"/>
      <c r="F42" s="96">
        <v>100</v>
      </c>
      <c r="G42" s="67"/>
      <c r="H42" s="91"/>
      <c r="K42" s="92">
        <v>20</v>
      </c>
      <c r="L42" s="92">
        <v>10</v>
      </c>
      <c r="M42" s="92">
        <v>5</v>
      </c>
      <c r="N42" s="92">
        <v>5</v>
      </c>
      <c r="O42" s="92">
        <v>20</v>
      </c>
      <c r="P42" s="55">
        <v>20</v>
      </c>
    </row>
    <row r="43" spans="2:16" x14ac:dyDescent="0.2">
      <c r="B43" s="245">
        <v>2</v>
      </c>
      <c r="C43" s="248" t="s">
        <v>23</v>
      </c>
      <c r="D43" s="249"/>
      <c r="E43" s="99" t="e">
        <f>VLOOKUP(C43,Puntajes!$B$9:$N$41,HLOOKUP($D$8,Puntajes!$C$7:$N$8,2,0),0)</f>
        <v>#N/A</v>
      </c>
      <c r="F43" s="57"/>
      <c r="G43" s="100">
        <f>+'COG-F-011'!C17</f>
        <v>0</v>
      </c>
      <c r="H43" s="101">
        <f>+IF(G43="","-",IF(G43=D44,F44,F45))</f>
        <v>-100</v>
      </c>
      <c r="K43" s="56" t="s">
        <v>192</v>
      </c>
    </row>
    <row r="44" spans="2:16" s="55" customFormat="1" x14ac:dyDescent="0.2">
      <c r="B44" s="245"/>
      <c r="C44" s="102"/>
      <c r="D44" s="88" t="s">
        <v>27</v>
      </c>
      <c r="E44" s="89"/>
      <c r="F44" s="90">
        <v>0</v>
      </c>
      <c r="G44" s="67"/>
      <c r="H44" s="91"/>
      <c r="K44" s="92"/>
      <c r="L44" s="92"/>
      <c r="M44" s="92"/>
      <c r="N44" s="92"/>
      <c r="O44" s="92"/>
    </row>
    <row r="45" spans="2:16" s="55" customFormat="1" x14ac:dyDescent="0.2">
      <c r="B45" s="245"/>
      <c r="C45" s="103"/>
      <c r="D45" s="98" t="s">
        <v>28</v>
      </c>
      <c r="E45" s="104"/>
      <c r="F45" s="105">
        <v>-100</v>
      </c>
      <c r="G45" s="106"/>
      <c r="H45" s="107"/>
      <c r="K45" s="92"/>
      <c r="L45" s="92"/>
      <c r="M45" s="92"/>
      <c r="N45" s="92"/>
      <c r="O45" s="92"/>
    </row>
    <row r="46" spans="2:16" x14ac:dyDescent="0.2">
      <c r="B46" s="245">
        <v>3</v>
      </c>
      <c r="C46" s="260" t="s">
        <v>24</v>
      </c>
      <c r="D46" s="249"/>
      <c r="E46" s="99" t="e">
        <f>VLOOKUP(C46,Puntajes!$B$9:$N$41,HLOOKUP($D$8,Puntajes!$C$7:$N$8,2,0),0)</f>
        <v>#N/A</v>
      </c>
      <c r="F46" s="108"/>
      <c r="G46" s="109">
        <f>+'COG-F-011'!C18</f>
        <v>0</v>
      </c>
      <c r="H46" s="101">
        <f>+IF(G46="","-",IF(G46=D47,F47,IF(G46=D48,F48,F49)))</f>
        <v>-100</v>
      </c>
    </row>
    <row r="47" spans="2:16" s="55" customFormat="1" x14ac:dyDescent="0.2">
      <c r="B47" s="245"/>
      <c r="C47" s="110"/>
      <c r="D47" s="88" t="s">
        <v>29</v>
      </c>
      <c r="E47" s="89"/>
      <c r="F47" s="90">
        <v>0</v>
      </c>
      <c r="G47" s="67"/>
      <c r="H47" s="91"/>
      <c r="K47" s="92"/>
      <c r="L47" s="92"/>
      <c r="M47" s="92"/>
      <c r="N47" s="92"/>
      <c r="O47" s="92"/>
    </row>
    <row r="48" spans="2:16" s="55" customFormat="1" x14ac:dyDescent="0.2">
      <c r="B48" s="245"/>
      <c r="C48" s="67"/>
      <c r="D48" s="94" t="s">
        <v>30</v>
      </c>
      <c r="E48" s="95"/>
      <c r="F48" s="111">
        <v>-50</v>
      </c>
      <c r="G48" s="112"/>
      <c r="H48" s="91"/>
      <c r="K48" s="92"/>
      <c r="L48" s="92"/>
      <c r="M48" s="92"/>
      <c r="N48" s="92"/>
      <c r="O48" s="92"/>
    </row>
    <row r="49" spans="2:15" s="55" customFormat="1" x14ac:dyDescent="0.2">
      <c r="B49" s="245"/>
      <c r="C49" s="67"/>
      <c r="D49" s="94" t="s">
        <v>207</v>
      </c>
      <c r="E49" s="95"/>
      <c r="F49" s="105">
        <v>-100</v>
      </c>
      <c r="G49" s="67"/>
      <c r="H49" s="91"/>
      <c r="K49" s="92"/>
      <c r="L49" s="92"/>
      <c r="M49" s="92"/>
      <c r="N49" s="92"/>
      <c r="O49" s="92"/>
    </row>
    <row r="50" spans="2:15" x14ac:dyDescent="0.2">
      <c r="B50" s="245">
        <v>4</v>
      </c>
      <c r="C50" s="239" t="s">
        <v>121</v>
      </c>
      <c r="D50" s="240"/>
      <c r="E50" s="99" t="e">
        <f>VLOOKUP(C50,Puntajes!$B$9:$N$41,HLOOKUP($D$8,Puntajes!$C$7:$N$8,2,0),0)</f>
        <v>#N/A</v>
      </c>
      <c r="F50" s="57"/>
      <c r="G50" s="100">
        <f>+'COG-F-011'!C21</f>
        <v>0</v>
      </c>
      <c r="H50" s="113">
        <f>+IF(G50="","-",IF(G50=D51,F51,F52))</f>
        <v>0</v>
      </c>
    </row>
    <row r="51" spans="2:15" s="55" customFormat="1" x14ac:dyDescent="0.2">
      <c r="B51" s="245"/>
      <c r="C51" s="102"/>
      <c r="D51" s="88" t="s">
        <v>4</v>
      </c>
      <c r="E51" s="89"/>
      <c r="F51" s="90">
        <v>100</v>
      </c>
      <c r="G51" s="67"/>
      <c r="H51" s="91"/>
      <c r="K51" s="92"/>
      <c r="L51" s="92"/>
      <c r="M51" s="92"/>
      <c r="N51" s="92"/>
      <c r="O51" s="92"/>
    </row>
    <row r="52" spans="2:15" s="55" customFormat="1" ht="13.5" thickBot="1" x14ac:dyDescent="0.25">
      <c r="B52" s="261"/>
      <c r="C52" s="114"/>
      <c r="D52" s="115" t="s">
        <v>3</v>
      </c>
      <c r="E52" s="116"/>
      <c r="F52" s="117">
        <v>0</v>
      </c>
      <c r="G52" s="118"/>
      <c r="H52" s="119"/>
      <c r="K52" s="92"/>
      <c r="L52" s="92"/>
      <c r="M52" s="92"/>
      <c r="N52" s="92"/>
      <c r="O52" s="92"/>
    </row>
    <row r="53" spans="2:15" ht="16.5" customHeight="1" thickBot="1" x14ac:dyDescent="0.25">
      <c r="B53" s="78" t="s">
        <v>102</v>
      </c>
      <c r="C53" s="247" t="s">
        <v>98</v>
      </c>
      <c r="D53" s="247"/>
      <c r="E53" s="79"/>
      <c r="F53" s="79" t="e">
        <f>+E57*F58+E60*F61+E63*F64+E66*F67+E69*F70+E72*F73+E103*F108</f>
        <v>#N/A</v>
      </c>
      <c r="G53" s="120"/>
      <c r="H53" s="81" t="e">
        <f>+SUMPRODUCT(E54:E108,H54:H108)</f>
        <v>#N/A</v>
      </c>
    </row>
    <row r="54" spans="2:15" s="55" customFormat="1" x14ac:dyDescent="0.2">
      <c r="B54" s="263">
        <v>1</v>
      </c>
      <c r="C54" s="248" t="s">
        <v>216</v>
      </c>
      <c r="D54" s="249"/>
      <c r="E54" s="99" t="e">
        <f>VLOOKUP(C54,Puntajes!$B$9:$N$41,HLOOKUP($D$8,Puntajes!$C$7:$N$8,2,0),0)</f>
        <v>#N/A</v>
      </c>
      <c r="F54" s="192"/>
      <c r="G54" s="100" t="str">
        <f>+'COG-F-011'!C25</f>
        <v>Datos incompletos</v>
      </c>
      <c r="H54" s="101">
        <f>+IF(G54="","-",IF(G54=D55,F55,F56))</f>
        <v>-100</v>
      </c>
      <c r="K54" s="92" t="s">
        <v>193</v>
      </c>
      <c r="L54" s="92" t="s">
        <v>193</v>
      </c>
      <c r="M54" s="92" t="s">
        <v>194</v>
      </c>
      <c r="N54" s="92" t="s">
        <v>193</v>
      </c>
      <c r="O54" s="92" t="s">
        <v>193</v>
      </c>
    </row>
    <row r="55" spans="2:15" s="55" customFormat="1" x14ac:dyDescent="0.2">
      <c r="B55" s="264"/>
      <c r="C55" s="102"/>
      <c r="D55" s="88" t="s">
        <v>217</v>
      </c>
      <c r="E55" s="89"/>
      <c r="F55" s="90">
        <v>0</v>
      </c>
      <c r="G55" s="67"/>
      <c r="H55" s="91"/>
      <c r="K55" s="92"/>
      <c r="L55" s="92"/>
      <c r="M55" s="92"/>
      <c r="N55" s="92"/>
      <c r="O55" s="92"/>
    </row>
    <row r="56" spans="2:15" s="55" customFormat="1" x14ac:dyDescent="0.2">
      <c r="B56" s="264"/>
      <c r="C56" s="103"/>
      <c r="D56" s="98" t="s">
        <v>218</v>
      </c>
      <c r="E56" s="104"/>
      <c r="F56" s="105">
        <v>-100</v>
      </c>
      <c r="G56" s="106"/>
      <c r="H56" s="107"/>
      <c r="K56" s="92"/>
      <c r="L56" s="92"/>
      <c r="M56" s="92"/>
      <c r="N56" s="92"/>
      <c r="O56" s="92"/>
    </row>
    <row r="57" spans="2:15" s="55" customFormat="1" x14ac:dyDescent="0.2">
      <c r="B57" s="243">
        <v>2</v>
      </c>
      <c r="C57" s="262" t="s">
        <v>122</v>
      </c>
      <c r="D57" s="262"/>
      <c r="E57" s="131" t="e">
        <f>VLOOKUP(C57,Puntajes!$B$9:$N$41,HLOOKUP($D$8,Puntajes!$C$7:$N$8,2,0),0)</f>
        <v>#N/A</v>
      </c>
      <c r="F57" s="132"/>
      <c r="G57" s="133" t="str">
        <f>IFERROR('COG-F-011'!C36/'COG-F-011'!C38,"")</f>
        <v/>
      </c>
      <c r="H57" s="134" t="str">
        <f>+IF(G57="","-",IF(G57&lt;1,F59,IF(G57&gt;2,F59,F58)))</f>
        <v>-</v>
      </c>
      <c r="K57" s="92" t="s">
        <v>193</v>
      </c>
      <c r="L57" s="92" t="s">
        <v>193</v>
      </c>
      <c r="M57" s="92" t="s">
        <v>194</v>
      </c>
      <c r="N57" s="92" t="s">
        <v>193</v>
      </c>
      <c r="O57" s="92" t="s">
        <v>193</v>
      </c>
    </row>
    <row r="58" spans="2:15" s="55" customFormat="1" x14ac:dyDescent="0.2">
      <c r="B58" s="251"/>
      <c r="C58" s="121" t="s">
        <v>74</v>
      </c>
      <c r="D58" s="122" t="s">
        <v>123</v>
      </c>
      <c r="E58" s="123"/>
      <c r="F58" s="124">
        <v>100</v>
      </c>
      <c r="G58" s="125"/>
      <c r="H58" s="91"/>
      <c r="K58" s="92"/>
      <c r="L58" s="92"/>
      <c r="M58" s="92"/>
      <c r="N58" s="92"/>
      <c r="O58" s="92"/>
    </row>
    <row r="59" spans="2:15" s="55" customFormat="1" x14ac:dyDescent="0.2">
      <c r="B59" s="251"/>
      <c r="C59" s="126" t="s">
        <v>73</v>
      </c>
      <c r="D59" s="127" t="s">
        <v>124</v>
      </c>
      <c r="E59" s="128"/>
      <c r="F59" s="129">
        <v>50</v>
      </c>
      <c r="G59" s="130"/>
      <c r="H59" s="107"/>
      <c r="K59" s="92"/>
      <c r="L59" s="92"/>
      <c r="M59" s="92"/>
      <c r="N59" s="92"/>
      <c r="O59" s="92"/>
    </row>
    <row r="60" spans="2:15" s="55" customFormat="1" x14ac:dyDescent="0.2">
      <c r="B60" s="243">
        <v>3</v>
      </c>
      <c r="C60" s="262" t="s">
        <v>125</v>
      </c>
      <c r="D60" s="262"/>
      <c r="E60" s="131" t="e">
        <f>VLOOKUP(C60,Puntajes!$B$9:$N$41,HLOOKUP($D$8,Puntajes!$C$7:$N$8,2,0),0)</f>
        <v>#N/A</v>
      </c>
      <c r="F60" s="132"/>
      <c r="G60" s="133" t="str">
        <f>IFERROR('COG-F-011'!C41/'COG-F-011'!C37,"")</f>
        <v/>
      </c>
      <c r="H60" s="134" t="str">
        <f>+IF(G60="","-",IF(G60&gt;=0.6,F61,F62))</f>
        <v>-</v>
      </c>
      <c r="K60" s="92" t="s">
        <v>193</v>
      </c>
      <c r="L60" s="92" t="s">
        <v>193</v>
      </c>
      <c r="M60" s="92" t="s">
        <v>194</v>
      </c>
      <c r="N60" s="92" t="s">
        <v>193</v>
      </c>
      <c r="O60" s="92" t="s">
        <v>193</v>
      </c>
    </row>
    <row r="61" spans="2:15" s="55" customFormat="1" x14ac:dyDescent="0.2">
      <c r="B61" s="251"/>
      <c r="C61" s="121" t="s">
        <v>74</v>
      </c>
      <c r="D61" s="122" t="s">
        <v>126</v>
      </c>
      <c r="E61" s="123"/>
      <c r="F61" s="124">
        <v>100</v>
      </c>
      <c r="G61" s="125"/>
      <c r="H61" s="91"/>
      <c r="K61" s="92"/>
      <c r="L61" s="92"/>
      <c r="M61" s="92"/>
      <c r="N61" s="92"/>
      <c r="O61" s="92"/>
    </row>
    <row r="62" spans="2:15" s="55" customFormat="1" x14ac:dyDescent="0.2">
      <c r="B62" s="241"/>
      <c r="C62" s="135" t="s">
        <v>73</v>
      </c>
      <c r="D62" s="136" t="s">
        <v>127</v>
      </c>
      <c r="E62" s="137"/>
      <c r="F62" s="138">
        <v>50</v>
      </c>
      <c r="G62" s="125"/>
      <c r="H62" s="91"/>
      <c r="K62" s="92"/>
      <c r="L62" s="92"/>
      <c r="M62" s="92"/>
      <c r="N62" s="92"/>
      <c r="O62" s="92"/>
    </row>
    <row r="63" spans="2:15" s="55" customFormat="1" x14ac:dyDescent="0.2">
      <c r="B63" s="251">
        <v>4</v>
      </c>
      <c r="C63" s="250" t="s">
        <v>128</v>
      </c>
      <c r="D63" s="250"/>
      <c r="E63" s="99" t="e">
        <f>VLOOKUP(C63,Puntajes!$B$9:$N$41,HLOOKUP($D$8,Puntajes!$C$7:$N$8,2,0),0)</f>
        <v>#N/A</v>
      </c>
      <c r="F63" s="139"/>
      <c r="G63" s="140" t="str">
        <f>IFERROR('COG-F-011'!C41/'COG-F-011'!C42,"")</f>
        <v/>
      </c>
      <c r="H63" s="101" t="str">
        <f>+IF(G63="","-",IF(G63&gt;=2,F64,F65))</f>
        <v>-</v>
      </c>
      <c r="K63" s="92" t="s">
        <v>193</v>
      </c>
      <c r="L63" s="92" t="s">
        <v>193</v>
      </c>
      <c r="M63" s="92" t="s">
        <v>194</v>
      </c>
      <c r="N63" s="92" t="s">
        <v>193</v>
      </c>
      <c r="O63" s="92" t="s">
        <v>193</v>
      </c>
    </row>
    <row r="64" spans="2:15" s="55" customFormat="1" x14ac:dyDescent="0.2">
      <c r="B64" s="251"/>
      <c r="C64" s="124" t="s">
        <v>74</v>
      </c>
      <c r="D64" s="122" t="s">
        <v>129</v>
      </c>
      <c r="E64" s="123"/>
      <c r="F64" s="124">
        <v>100</v>
      </c>
      <c r="G64" s="125"/>
      <c r="H64" s="91"/>
      <c r="K64" s="92"/>
      <c r="L64" s="92"/>
      <c r="M64" s="92"/>
      <c r="N64" s="92"/>
      <c r="O64" s="92"/>
    </row>
    <row r="65" spans="2:15" s="55" customFormat="1" x14ac:dyDescent="0.2">
      <c r="B65" s="251"/>
      <c r="C65" s="129" t="s">
        <v>73</v>
      </c>
      <c r="D65" s="127" t="s">
        <v>130</v>
      </c>
      <c r="E65" s="128"/>
      <c r="F65" s="129">
        <v>50</v>
      </c>
      <c r="G65" s="130"/>
      <c r="H65" s="107"/>
      <c r="K65" s="92"/>
      <c r="L65" s="92"/>
      <c r="M65" s="92"/>
      <c r="N65" s="92"/>
      <c r="O65" s="92"/>
    </row>
    <row r="66" spans="2:15" s="55" customFormat="1" x14ac:dyDescent="0.2">
      <c r="B66" s="243">
        <v>5</v>
      </c>
      <c r="C66" s="256" t="s">
        <v>131</v>
      </c>
      <c r="D66" s="257"/>
      <c r="E66" s="131" t="e">
        <f>VLOOKUP(C66,Puntajes!$B$9:$N$41,HLOOKUP($D$8,Puntajes!$C$7:$N$8,2,0),0)</f>
        <v>#N/A</v>
      </c>
      <c r="F66" s="132"/>
      <c r="G66" s="133" t="str">
        <f>IFERROR('COG-F-011'!C39/'COG-F-011'!C37,"")</f>
        <v/>
      </c>
      <c r="H66" s="134" t="str">
        <f>+IF(G66="","-",IF(G66&gt;0.5,F68,F67))</f>
        <v>-</v>
      </c>
      <c r="K66" s="92" t="s">
        <v>193</v>
      </c>
      <c r="L66" s="92" t="s">
        <v>193</v>
      </c>
      <c r="M66" s="92" t="s">
        <v>194</v>
      </c>
      <c r="N66" s="92" t="s">
        <v>193</v>
      </c>
      <c r="O66" s="92" t="s">
        <v>193</v>
      </c>
    </row>
    <row r="67" spans="2:15" s="55" customFormat="1" x14ac:dyDescent="0.2">
      <c r="B67" s="251"/>
      <c r="C67" s="121" t="s">
        <v>74</v>
      </c>
      <c r="D67" s="141" t="s">
        <v>132</v>
      </c>
      <c r="E67" s="142"/>
      <c r="F67" s="124">
        <v>100</v>
      </c>
      <c r="G67" s="125"/>
      <c r="H67" s="91"/>
      <c r="K67" s="92"/>
      <c r="L67" s="92"/>
      <c r="M67" s="92"/>
      <c r="N67" s="92"/>
      <c r="O67" s="92"/>
    </row>
    <row r="68" spans="2:15" s="55" customFormat="1" x14ac:dyDescent="0.2">
      <c r="B68" s="241"/>
      <c r="C68" s="135" t="s">
        <v>73</v>
      </c>
      <c r="D68" s="143" t="s">
        <v>133</v>
      </c>
      <c r="E68" s="144"/>
      <c r="F68" s="138">
        <v>50</v>
      </c>
      <c r="G68" s="125"/>
      <c r="H68" s="91"/>
      <c r="K68" s="92"/>
      <c r="L68" s="92"/>
      <c r="M68" s="92"/>
      <c r="N68" s="92"/>
      <c r="O68" s="92"/>
    </row>
    <row r="69" spans="2:15" s="55" customFormat="1" x14ac:dyDescent="0.2">
      <c r="B69" s="251">
        <v>6</v>
      </c>
      <c r="C69" s="258" t="s">
        <v>134</v>
      </c>
      <c r="D69" s="259"/>
      <c r="E69" s="99" t="e">
        <f>VLOOKUP(C69,Puntajes!$B$9:$N$41,HLOOKUP($D$8,Puntajes!$C$7:$N$8,2,0),0)</f>
        <v>#N/A</v>
      </c>
      <c r="F69" s="139"/>
      <c r="G69" s="48" t="str">
        <f>IFERROR('COG-F-011'!C43/'COG-F-011'!C37,"")</f>
        <v/>
      </c>
      <c r="H69" s="101" t="str">
        <f>+IF(G69="","-",IF(G69&gt;=0.1,F70,F71))</f>
        <v>-</v>
      </c>
      <c r="K69" s="92" t="s">
        <v>193</v>
      </c>
      <c r="L69" s="92" t="s">
        <v>193</v>
      </c>
      <c r="M69" s="92" t="s">
        <v>194</v>
      </c>
      <c r="N69" s="92" t="s">
        <v>193</v>
      </c>
      <c r="O69" s="92" t="s">
        <v>193</v>
      </c>
    </row>
    <row r="70" spans="2:15" s="55" customFormat="1" x14ac:dyDescent="0.2">
      <c r="B70" s="251"/>
      <c r="C70" s="121" t="s">
        <v>74</v>
      </c>
      <c r="D70" s="141" t="s">
        <v>135</v>
      </c>
      <c r="E70" s="142"/>
      <c r="F70" s="124">
        <v>100</v>
      </c>
      <c r="G70" s="125"/>
      <c r="H70" s="91"/>
      <c r="K70" s="92"/>
      <c r="L70" s="92"/>
      <c r="M70" s="92"/>
      <c r="N70" s="92"/>
      <c r="O70" s="92"/>
    </row>
    <row r="71" spans="2:15" s="55" customFormat="1" x14ac:dyDescent="0.2">
      <c r="B71" s="251"/>
      <c r="C71" s="126" t="s">
        <v>73</v>
      </c>
      <c r="D71" s="145" t="s">
        <v>136</v>
      </c>
      <c r="E71" s="146"/>
      <c r="F71" s="129">
        <v>50</v>
      </c>
      <c r="G71" s="130"/>
      <c r="H71" s="107"/>
      <c r="K71" s="92"/>
      <c r="L71" s="92"/>
      <c r="M71" s="92"/>
      <c r="N71" s="92"/>
      <c r="O71" s="92"/>
    </row>
    <row r="72" spans="2:15" s="55" customFormat="1" x14ac:dyDescent="0.2">
      <c r="B72" s="241">
        <v>7</v>
      </c>
      <c r="C72" s="250" t="s">
        <v>137</v>
      </c>
      <c r="D72" s="250"/>
      <c r="E72" s="99" t="e">
        <f>VLOOKUP(C72,Puntajes!$B$9:$N$41,HLOOKUP($D$8,Puntajes!$C$7:$N$8,2,0),0)</f>
        <v>#N/A</v>
      </c>
      <c r="F72" s="139"/>
      <c r="G72" s="48" t="str">
        <f>IFERROR('COG-F-011'!C44/'COG-F-011'!C40,"")</f>
        <v/>
      </c>
      <c r="H72" s="101" t="str">
        <f>+IF(G72="","-",IF(G72&gt;=0.14,F73,F74))</f>
        <v>-</v>
      </c>
      <c r="K72" s="92" t="s">
        <v>193</v>
      </c>
      <c r="L72" s="92" t="s">
        <v>193</v>
      </c>
      <c r="M72" s="92" t="s">
        <v>194</v>
      </c>
      <c r="N72" s="92" t="s">
        <v>193</v>
      </c>
      <c r="O72" s="92" t="s">
        <v>193</v>
      </c>
    </row>
    <row r="73" spans="2:15" s="55" customFormat="1" x14ac:dyDescent="0.2">
      <c r="B73" s="242"/>
      <c r="C73" s="124" t="s">
        <v>74</v>
      </c>
      <c r="D73" s="122" t="s">
        <v>138</v>
      </c>
      <c r="E73" s="123"/>
      <c r="F73" s="124">
        <v>100</v>
      </c>
      <c r="G73" s="125"/>
      <c r="H73" s="91"/>
      <c r="K73" s="92"/>
      <c r="L73" s="92"/>
      <c r="M73" s="92"/>
      <c r="N73" s="92"/>
      <c r="O73" s="92"/>
    </row>
    <row r="74" spans="2:15" s="55" customFormat="1" x14ac:dyDescent="0.2">
      <c r="B74" s="243"/>
      <c r="C74" s="129" t="s">
        <v>73</v>
      </c>
      <c r="D74" s="127" t="s">
        <v>139</v>
      </c>
      <c r="E74" s="128"/>
      <c r="F74" s="129">
        <v>50</v>
      </c>
      <c r="G74" s="130"/>
      <c r="H74" s="107"/>
      <c r="K74" s="92"/>
      <c r="L74" s="92"/>
      <c r="M74" s="92"/>
      <c r="N74" s="92"/>
      <c r="O74" s="92"/>
    </row>
    <row r="75" spans="2:15" x14ac:dyDescent="0.2">
      <c r="B75" s="241">
        <v>13</v>
      </c>
      <c r="C75" s="239" t="s">
        <v>89</v>
      </c>
      <c r="D75" s="240"/>
      <c r="E75" s="99" t="e">
        <f>VLOOKUP(C75,Puntajes!$B$9:$N$41,HLOOKUP($D$8,Puntajes!$C$7:$N$8,2,0),0)</f>
        <v>#N/A</v>
      </c>
      <c r="F75" s="147"/>
      <c r="G75" s="100">
        <f>+'COG-F-011'!C49</f>
        <v>0</v>
      </c>
      <c r="H75" s="101">
        <f>+IF(G75="","-",IF(G75=D76,F76,F77))</f>
        <v>-100</v>
      </c>
      <c r="K75" s="92" t="s">
        <v>193</v>
      </c>
      <c r="L75" s="92" t="s">
        <v>193</v>
      </c>
      <c r="M75" s="92" t="s">
        <v>193</v>
      </c>
      <c r="N75" s="92" t="s">
        <v>193</v>
      </c>
      <c r="O75" s="92" t="s">
        <v>193</v>
      </c>
    </row>
    <row r="76" spans="2:15" s="55" customFormat="1" x14ac:dyDescent="0.2">
      <c r="B76" s="242"/>
      <c r="C76" s="102"/>
      <c r="D76" s="88" t="s">
        <v>93</v>
      </c>
      <c r="E76" s="89"/>
      <c r="F76" s="102">
        <v>0</v>
      </c>
      <c r="G76" s="148"/>
      <c r="H76" s="91"/>
      <c r="K76" s="92"/>
      <c r="L76" s="92"/>
      <c r="M76" s="92"/>
      <c r="N76" s="92"/>
      <c r="O76" s="92"/>
    </row>
    <row r="77" spans="2:15" s="55" customFormat="1" x14ac:dyDescent="0.2">
      <c r="B77" s="243"/>
      <c r="C77" s="103"/>
      <c r="D77" s="98" t="s">
        <v>92</v>
      </c>
      <c r="E77" s="104"/>
      <c r="F77" s="103">
        <v>-100</v>
      </c>
      <c r="G77" s="103"/>
      <c r="H77" s="107"/>
      <c r="K77" s="92"/>
      <c r="L77" s="92"/>
      <c r="M77" s="92"/>
      <c r="N77" s="92"/>
      <c r="O77" s="92"/>
    </row>
    <row r="78" spans="2:15" x14ac:dyDescent="0.2">
      <c r="B78" s="241">
        <v>14</v>
      </c>
      <c r="C78" s="239" t="s">
        <v>88</v>
      </c>
      <c r="D78" s="240"/>
      <c r="E78" s="99" t="e">
        <f>VLOOKUP(C78,Puntajes!$B$9:$N$41,HLOOKUP($D$8,Puntajes!$C$7:$N$8,2,0),0)</f>
        <v>#N/A</v>
      </c>
      <c r="F78" s="147"/>
      <c r="G78" s="100">
        <f>+'COG-F-011'!C50</f>
        <v>0</v>
      </c>
      <c r="H78" s="149">
        <f>+IF(G78="","-",IF(G78=D79,F79,F80))</f>
        <v>-100</v>
      </c>
      <c r="K78" s="92" t="s">
        <v>193</v>
      </c>
      <c r="L78" s="92" t="s">
        <v>193</v>
      </c>
      <c r="M78" s="92" t="s">
        <v>193</v>
      </c>
      <c r="N78" s="92" t="s">
        <v>193</v>
      </c>
      <c r="O78" s="92" t="s">
        <v>193</v>
      </c>
    </row>
    <row r="79" spans="2:15" s="55" customFormat="1" x14ac:dyDescent="0.2">
      <c r="B79" s="242"/>
      <c r="C79" s="102"/>
      <c r="D79" s="88" t="s">
        <v>93</v>
      </c>
      <c r="E79" s="89"/>
      <c r="F79" s="102">
        <v>0</v>
      </c>
      <c r="G79" s="148"/>
      <c r="H79" s="91"/>
      <c r="K79" s="92"/>
      <c r="L79" s="92"/>
      <c r="M79" s="92"/>
      <c r="N79" s="92"/>
      <c r="O79" s="92"/>
    </row>
    <row r="80" spans="2:15" s="55" customFormat="1" x14ac:dyDescent="0.2">
      <c r="B80" s="243"/>
      <c r="C80" s="103"/>
      <c r="D80" s="98" t="s">
        <v>92</v>
      </c>
      <c r="E80" s="104"/>
      <c r="F80" s="103">
        <v>-100</v>
      </c>
      <c r="G80" s="103"/>
      <c r="H80" s="107"/>
      <c r="K80" s="92"/>
      <c r="L80" s="92"/>
      <c r="M80" s="92"/>
      <c r="N80" s="92"/>
      <c r="O80" s="92"/>
    </row>
    <row r="81" spans="2:15" x14ac:dyDescent="0.2">
      <c r="B81" s="241">
        <v>15</v>
      </c>
      <c r="C81" s="239" t="s">
        <v>90</v>
      </c>
      <c r="D81" s="240"/>
      <c r="E81" s="99" t="e">
        <f>VLOOKUP(C81,Puntajes!$B$9:$N$41,HLOOKUP($D$8,Puntajes!$C$7:$N$8,2,0),0)</f>
        <v>#N/A</v>
      </c>
      <c r="F81" s="147"/>
      <c r="G81" s="100">
        <f>+'COG-F-011'!C51</f>
        <v>0</v>
      </c>
      <c r="H81" s="149">
        <f>+IF(G81="","-",IF(G81=D82,F82,F83))</f>
        <v>-100</v>
      </c>
      <c r="K81" s="92" t="s">
        <v>193</v>
      </c>
      <c r="L81" s="92" t="s">
        <v>193</v>
      </c>
      <c r="M81" s="92" t="s">
        <v>193</v>
      </c>
      <c r="N81" s="92" t="s">
        <v>193</v>
      </c>
      <c r="O81" s="92" t="s">
        <v>193</v>
      </c>
    </row>
    <row r="82" spans="2:15" s="55" customFormat="1" x14ac:dyDescent="0.2">
      <c r="B82" s="242"/>
      <c r="C82" s="102"/>
      <c r="D82" s="88" t="s">
        <v>93</v>
      </c>
      <c r="E82" s="89"/>
      <c r="F82" s="102">
        <v>0</v>
      </c>
      <c r="G82" s="148"/>
      <c r="H82" s="91"/>
      <c r="K82" s="92"/>
      <c r="L82" s="92"/>
      <c r="M82" s="92"/>
      <c r="N82" s="92"/>
      <c r="O82" s="92"/>
    </row>
    <row r="83" spans="2:15" s="55" customFormat="1" x14ac:dyDescent="0.2">
      <c r="B83" s="243"/>
      <c r="C83" s="103"/>
      <c r="D83" s="98" t="s">
        <v>92</v>
      </c>
      <c r="E83" s="104"/>
      <c r="F83" s="103">
        <v>-100</v>
      </c>
      <c r="G83" s="103"/>
      <c r="H83" s="107"/>
      <c r="K83" s="92"/>
      <c r="L83" s="92"/>
      <c r="M83" s="92"/>
      <c r="N83" s="92"/>
      <c r="O83" s="92"/>
    </row>
    <row r="84" spans="2:15" x14ac:dyDescent="0.2">
      <c r="B84" s="241">
        <v>16</v>
      </c>
      <c r="C84" s="239" t="s">
        <v>91</v>
      </c>
      <c r="D84" s="240"/>
      <c r="E84" s="99" t="e">
        <f>VLOOKUP(C84,Puntajes!$B$9:$N$41,HLOOKUP($D$8,Puntajes!$C$7:$N$8,2,0),0)</f>
        <v>#N/A</v>
      </c>
      <c r="F84" s="147"/>
      <c r="G84" s="100">
        <f>+'COG-F-011'!C52</f>
        <v>0</v>
      </c>
      <c r="H84" s="149">
        <f>+IF(G84="","-",IF(G84=D85,F85,F86))</f>
        <v>-100</v>
      </c>
      <c r="K84" s="92" t="s">
        <v>193</v>
      </c>
      <c r="L84" s="92" t="s">
        <v>193</v>
      </c>
      <c r="M84" s="92" t="s">
        <v>193</v>
      </c>
      <c r="N84" s="92" t="s">
        <v>193</v>
      </c>
      <c r="O84" s="92" t="s">
        <v>193</v>
      </c>
    </row>
    <row r="85" spans="2:15" s="55" customFormat="1" x14ac:dyDescent="0.2">
      <c r="B85" s="242"/>
      <c r="C85" s="102"/>
      <c r="D85" s="88" t="s">
        <v>93</v>
      </c>
      <c r="E85" s="89"/>
      <c r="F85" s="102">
        <v>0</v>
      </c>
      <c r="G85" s="148"/>
      <c r="H85" s="91"/>
      <c r="K85" s="92"/>
      <c r="L85" s="92"/>
      <c r="M85" s="92"/>
      <c r="N85" s="92"/>
      <c r="O85" s="92"/>
    </row>
    <row r="86" spans="2:15" s="55" customFormat="1" x14ac:dyDescent="0.2">
      <c r="B86" s="243"/>
      <c r="C86" s="103"/>
      <c r="D86" s="98" t="s">
        <v>92</v>
      </c>
      <c r="E86" s="104"/>
      <c r="F86" s="103">
        <v>-100</v>
      </c>
      <c r="G86" s="103"/>
      <c r="H86" s="107"/>
      <c r="K86" s="92"/>
      <c r="L86" s="92"/>
      <c r="M86" s="92"/>
      <c r="N86" s="92"/>
      <c r="O86" s="92"/>
    </row>
    <row r="87" spans="2:15" x14ac:dyDescent="0.2">
      <c r="B87" s="241">
        <v>17</v>
      </c>
      <c r="C87" s="239" t="s">
        <v>25</v>
      </c>
      <c r="D87" s="240"/>
      <c r="E87" s="99" t="e">
        <f>VLOOKUP(C87,Puntajes!$B$9:$N$41,HLOOKUP($D$8,Puntajes!$C$7:$N$8,2,0),0)</f>
        <v>#N/A</v>
      </c>
      <c r="F87" s="147"/>
      <c r="G87" s="100">
        <f>+'COG-F-011'!C54</f>
        <v>0</v>
      </c>
      <c r="H87" s="149">
        <f>+IF(G87="","-",IF(G87=D88,F88,F89))</f>
        <v>-100</v>
      </c>
      <c r="K87" s="92" t="s">
        <v>193</v>
      </c>
      <c r="L87" s="92" t="s">
        <v>193</v>
      </c>
      <c r="M87" s="92" t="s">
        <v>193</v>
      </c>
      <c r="N87" s="92" t="s">
        <v>193</v>
      </c>
      <c r="O87" s="92" t="s">
        <v>193</v>
      </c>
    </row>
    <row r="88" spans="2:15" s="55" customFormat="1" x14ac:dyDescent="0.2">
      <c r="B88" s="242"/>
      <c r="C88" s="102"/>
      <c r="D88" s="88" t="s">
        <v>31</v>
      </c>
      <c r="E88" s="89"/>
      <c r="F88" s="102">
        <v>0</v>
      </c>
      <c r="G88" s="148"/>
      <c r="H88" s="91"/>
      <c r="K88" s="92"/>
      <c r="L88" s="92"/>
      <c r="M88" s="92"/>
      <c r="N88" s="92"/>
      <c r="O88" s="92"/>
    </row>
    <row r="89" spans="2:15" s="55" customFormat="1" x14ac:dyDescent="0.2">
      <c r="B89" s="243"/>
      <c r="C89" s="103"/>
      <c r="D89" s="98" t="s">
        <v>32</v>
      </c>
      <c r="E89" s="104"/>
      <c r="F89" s="103">
        <v>-100</v>
      </c>
      <c r="G89" s="103"/>
      <c r="H89" s="107"/>
      <c r="K89" s="92"/>
      <c r="L89" s="92"/>
      <c r="M89" s="92"/>
      <c r="N89" s="92"/>
      <c r="O89" s="92"/>
    </row>
    <row r="90" spans="2:15" x14ac:dyDescent="0.2">
      <c r="B90" s="241">
        <v>18</v>
      </c>
      <c r="C90" s="239" t="s">
        <v>26</v>
      </c>
      <c r="D90" s="240"/>
      <c r="E90" s="99" t="e">
        <f>VLOOKUP(C90,Puntajes!$B$9:$N$41,HLOOKUP($D$8,Puntajes!$C$7:$N$8,2,0),0)</f>
        <v>#N/A</v>
      </c>
      <c r="F90" s="147"/>
      <c r="G90" s="100">
        <f>+'COG-F-011'!C55</f>
        <v>0</v>
      </c>
      <c r="H90" s="149">
        <f>+IF(G90="","-",IF(G90=D91,F91,F92))</f>
        <v>-100</v>
      </c>
      <c r="K90" s="92" t="s">
        <v>193</v>
      </c>
      <c r="L90" s="92" t="s">
        <v>193</v>
      </c>
      <c r="M90" s="92" t="s">
        <v>193</v>
      </c>
      <c r="N90" s="92" t="s">
        <v>193</v>
      </c>
      <c r="O90" s="92" t="s">
        <v>193</v>
      </c>
    </row>
    <row r="91" spans="2:15" s="55" customFormat="1" x14ac:dyDescent="0.2">
      <c r="B91" s="242"/>
      <c r="C91" s="102"/>
      <c r="D91" s="88" t="s">
        <v>33</v>
      </c>
      <c r="E91" s="89"/>
      <c r="F91" s="102">
        <v>0</v>
      </c>
      <c r="G91" s="148"/>
      <c r="H91" s="91"/>
      <c r="K91" s="92"/>
      <c r="L91" s="92"/>
      <c r="M91" s="92"/>
      <c r="N91" s="92"/>
      <c r="O91" s="92"/>
    </row>
    <row r="92" spans="2:15" s="55" customFormat="1" x14ac:dyDescent="0.2">
      <c r="B92" s="243"/>
      <c r="C92" s="103"/>
      <c r="D92" s="98" t="s">
        <v>34</v>
      </c>
      <c r="E92" s="104"/>
      <c r="F92" s="103">
        <v>-100</v>
      </c>
      <c r="G92" s="103"/>
      <c r="H92" s="107"/>
      <c r="K92" s="92"/>
      <c r="L92" s="92"/>
      <c r="M92" s="92"/>
      <c r="N92" s="92"/>
      <c r="O92" s="92"/>
    </row>
    <row r="93" spans="2:15" x14ac:dyDescent="0.2">
      <c r="B93" s="241">
        <v>19</v>
      </c>
      <c r="C93" s="239" t="s">
        <v>198</v>
      </c>
      <c r="D93" s="240"/>
      <c r="E93" s="99" t="e">
        <f>VLOOKUP(C93,Puntajes!$B$9:$N$41,HLOOKUP($D$8,Puntajes!$C$7:$N$8,2,0),0)</f>
        <v>#N/A</v>
      </c>
      <c r="F93" s="147"/>
      <c r="G93" s="100">
        <f>+'COG-F-011'!C56</f>
        <v>0</v>
      </c>
      <c r="H93" s="149">
        <f>+IF(G93="","-",IF(G93=$D$94,$F$94,IF(G93=$D$95,$F$95,IF(G93=$D$96,$F$96,$F$97))))</f>
        <v>0</v>
      </c>
      <c r="K93" s="92" t="s">
        <v>193</v>
      </c>
      <c r="L93" s="92" t="s">
        <v>193</v>
      </c>
      <c r="M93" s="92" t="s">
        <v>193</v>
      </c>
      <c r="N93" s="92" t="s">
        <v>193</v>
      </c>
      <c r="O93" s="92" t="s">
        <v>193</v>
      </c>
    </row>
    <row r="94" spans="2:15" s="55" customFormat="1" x14ac:dyDescent="0.2">
      <c r="B94" s="242"/>
      <c r="C94" s="87"/>
      <c r="D94" s="150" t="s">
        <v>37</v>
      </c>
      <c r="E94" s="151"/>
      <c r="F94" s="102">
        <v>-100</v>
      </c>
      <c r="G94" s="148"/>
      <c r="H94" s="91"/>
      <c r="K94" s="92"/>
      <c r="L94" s="92"/>
      <c r="M94" s="92"/>
      <c r="N94" s="92"/>
      <c r="O94" s="92"/>
    </row>
    <row r="95" spans="2:15" s="55" customFormat="1" x14ac:dyDescent="0.2">
      <c r="B95" s="242"/>
      <c r="C95" s="93"/>
      <c r="D95" s="152" t="s">
        <v>38</v>
      </c>
      <c r="E95" s="153"/>
      <c r="F95" s="148">
        <v>-70</v>
      </c>
      <c r="G95" s="148"/>
      <c r="H95" s="91"/>
      <c r="K95" s="92"/>
      <c r="L95" s="92"/>
      <c r="M95" s="92"/>
      <c r="N95" s="92"/>
      <c r="O95" s="92"/>
    </row>
    <row r="96" spans="2:15" s="55" customFormat="1" x14ac:dyDescent="0.2">
      <c r="B96" s="242"/>
      <c r="C96" s="93"/>
      <c r="D96" s="152" t="s">
        <v>39</v>
      </c>
      <c r="E96" s="153"/>
      <c r="F96" s="148">
        <v>-1</v>
      </c>
      <c r="G96" s="148"/>
      <c r="H96" s="91"/>
      <c r="K96" s="92"/>
      <c r="L96" s="92"/>
      <c r="M96" s="92"/>
      <c r="N96" s="92"/>
      <c r="O96" s="92"/>
    </row>
    <row r="97" spans="2:16" s="55" customFormat="1" x14ac:dyDescent="0.2">
      <c r="B97" s="243"/>
      <c r="C97" s="97"/>
      <c r="D97" s="154" t="s">
        <v>40</v>
      </c>
      <c r="E97" s="155"/>
      <c r="F97" s="103">
        <v>0</v>
      </c>
      <c r="G97" s="103"/>
      <c r="H97" s="107"/>
      <c r="K97" s="92"/>
      <c r="L97" s="92"/>
      <c r="M97" s="92"/>
      <c r="N97" s="92"/>
      <c r="O97" s="92"/>
    </row>
    <row r="98" spans="2:16" x14ac:dyDescent="0.2">
      <c r="B98" s="241">
        <v>20</v>
      </c>
      <c r="C98" s="239" t="str">
        <f>+'COG-F-011'!B57</f>
        <v>Evaluación Sentinel de Empresas relacionadas</v>
      </c>
      <c r="D98" s="240"/>
      <c r="E98" s="99" t="e">
        <f>VLOOKUP(C98,Puntajes!$B$9:$N$41,HLOOKUP($D$8,Puntajes!$C$7:$N$8,2,0),0)</f>
        <v>#N/A</v>
      </c>
      <c r="F98" s="147"/>
      <c r="G98" s="100">
        <f>+'COG-F-011'!C57</f>
        <v>0</v>
      </c>
      <c r="H98" s="149">
        <f>+IF(G98="","-",IF(G98=$D$99,$F$99,IF(G98=$D$100,$F$100,IF(G98=$D$101,$F$101,$F$102))))</f>
        <v>0</v>
      </c>
      <c r="K98" s="92" t="s">
        <v>193</v>
      </c>
      <c r="L98" s="92" t="s">
        <v>193</v>
      </c>
      <c r="M98" s="92" t="s">
        <v>193</v>
      </c>
      <c r="N98" s="92" t="s">
        <v>193</v>
      </c>
      <c r="O98" s="92" t="s">
        <v>193</v>
      </c>
    </row>
    <row r="99" spans="2:16" s="55" customFormat="1" x14ac:dyDescent="0.2">
      <c r="B99" s="242"/>
      <c r="C99" s="87"/>
      <c r="D99" s="150" t="s">
        <v>37</v>
      </c>
      <c r="E99" s="151"/>
      <c r="F99" s="102">
        <v>-100</v>
      </c>
      <c r="G99" s="148"/>
      <c r="H99" s="91"/>
      <c r="K99" s="92"/>
      <c r="L99" s="92"/>
      <c r="M99" s="92"/>
      <c r="N99" s="92"/>
      <c r="O99" s="92"/>
    </row>
    <row r="100" spans="2:16" s="55" customFormat="1" x14ac:dyDescent="0.2">
      <c r="B100" s="242"/>
      <c r="C100" s="93"/>
      <c r="D100" s="152" t="s">
        <v>38</v>
      </c>
      <c r="E100" s="153"/>
      <c r="F100" s="148">
        <v>-70</v>
      </c>
      <c r="G100" s="148"/>
      <c r="H100" s="91"/>
      <c r="K100" s="92"/>
      <c r="L100" s="92"/>
      <c r="M100" s="92"/>
      <c r="N100" s="92"/>
      <c r="O100" s="92"/>
    </row>
    <row r="101" spans="2:16" s="55" customFormat="1" x14ac:dyDescent="0.2">
      <c r="B101" s="242"/>
      <c r="C101" s="93"/>
      <c r="D101" s="152" t="s">
        <v>39</v>
      </c>
      <c r="E101" s="153"/>
      <c r="F101" s="148">
        <v>-1</v>
      </c>
      <c r="G101" s="148"/>
      <c r="H101" s="91"/>
      <c r="K101" s="92"/>
      <c r="L101" s="92"/>
      <c r="M101" s="92"/>
      <c r="N101" s="92"/>
      <c r="O101" s="92"/>
    </row>
    <row r="102" spans="2:16" s="55" customFormat="1" x14ac:dyDescent="0.2">
      <c r="B102" s="243"/>
      <c r="C102" s="97"/>
      <c r="D102" s="154" t="s">
        <v>40</v>
      </c>
      <c r="E102" s="155"/>
      <c r="F102" s="103">
        <v>0</v>
      </c>
      <c r="G102" s="103"/>
      <c r="H102" s="107"/>
      <c r="K102" s="92"/>
      <c r="L102" s="92"/>
      <c r="M102" s="92"/>
      <c r="N102" s="92"/>
      <c r="O102" s="92"/>
    </row>
    <row r="103" spans="2:16" s="55" customFormat="1" x14ac:dyDescent="0.2">
      <c r="B103" s="269">
        <v>21</v>
      </c>
      <c r="C103" s="250" t="s">
        <v>87</v>
      </c>
      <c r="D103" s="250"/>
      <c r="E103" s="99" t="e">
        <f>VLOOKUP(C103,Puntajes!$B$9:$N$41,HLOOKUP($D$8,Puntajes!$C$7:$N$8,2,0),0)</f>
        <v>#N/A</v>
      </c>
      <c r="F103" s="156"/>
      <c r="G103" s="157" t="str">
        <f>IFERROR(+F104/F105,"")</f>
        <v/>
      </c>
      <c r="H103" s="158" t="str">
        <f>+IF(G103="","-",IF(G103&gt;$C$106,$F$106,IF(G103&gt;$C$107,$F$106,$F$108)))</f>
        <v>-</v>
      </c>
      <c r="K103" s="92" t="s">
        <v>193</v>
      </c>
      <c r="L103" s="92" t="s">
        <v>193</v>
      </c>
      <c r="M103" s="92" t="s">
        <v>194</v>
      </c>
      <c r="N103" s="92" t="s">
        <v>193</v>
      </c>
      <c r="O103" s="92" t="s">
        <v>193</v>
      </c>
    </row>
    <row r="104" spans="2:16" s="55" customFormat="1" x14ac:dyDescent="0.2">
      <c r="B104" s="270"/>
      <c r="C104" s="121" t="s">
        <v>75</v>
      </c>
      <c r="D104" s="122" t="s">
        <v>76</v>
      </c>
      <c r="E104" s="159"/>
      <c r="F104" s="160">
        <f>+'COG-F-011'!C58</f>
        <v>0</v>
      </c>
      <c r="G104" s="138"/>
      <c r="H104" s="161"/>
      <c r="K104" s="92"/>
      <c r="L104" s="92"/>
      <c r="M104" s="92"/>
      <c r="N104" s="92"/>
      <c r="O104" s="92"/>
    </row>
    <row r="105" spans="2:16" s="55" customFormat="1" x14ac:dyDescent="0.2">
      <c r="B105" s="270"/>
      <c r="C105" s="135" t="s">
        <v>77</v>
      </c>
      <c r="D105" s="136" t="s">
        <v>78</v>
      </c>
      <c r="E105" s="162"/>
      <c r="F105" s="163" t="e">
        <f>+#REF!</f>
        <v>#REF!</v>
      </c>
      <c r="G105" s="138"/>
      <c r="H105" s="164"/>
      <c r="K105" s="92"/>
      <c r="L105" s="92"/>
      <c r="M105" s="92"/>
      <c r="N105" s="92"/>
      <c r="O105" s="92"/>
    </row>
    <row r="106" spans="2:16" s="55" customFormat="1" x14ac:dyDescent="0.2">
      <c r="B106" s="270"/>
      <c r="C106" s="135">
        <v>5</v>
      </c>
      <c r="D106" s="136" t="s">
        <v>79</v>
      </c>
      <c r="E106" s="162"/>
      <c r="F106" s="138">
        <v>10</v>
      </c>
      <c r="G106" s="138"/>
      <c r="H106" s="164"/>
      <c r="K106" s="92"/>
      <c r="L106" s="92"/>
      <c r="M106" s="92"/>
      <c r="N106" s="92"/>
      <c r="O106" s="92"/>
    </row>
    <row r="107" spans="2:16" s="55" customFormat="1" x14ac:dyDescent="0.2">
      <c r="B107" s="270"/>
      <c r="C107" s="135">
        <v>1</v>
      </c>
      <c r="D107" s="136" t="s">
        <v>80</v>
      </c>
      <c r="E107" s="162"/>
      <c r="F107" s="138">
        <v>50</v>
      </c>
      <c r="G107" s="138"/>
      <c r="H107" s="164"/>
      <c r="K107" s="92"/>
      <c r="L107" s="92"/>
      <c r="M107" s="92"/>
      <c r="N107" s="92"/>
      <c r="O107" s="92"/>
    </row>
    <row r="108" spans="2:16" s="55" customFormat="1" ht="13.5" thickBot="1" x14ac:dyDescent="0.25">
      <c r="B108" s="271"/>
      <c r="C108" s="165"/>
      <c r="D108" s="166" t="s">
        <v>81</v>
      </c>
      <c r="E108" s="167"/>
      <c r="F108" s="168">
        <v>100</v>
      </c>
      <c r="G108" s="168"/>
      <c r="H108" s="169"/>
      <c r="K108" s="92"/>
      <c r="L108" s="92"/>
      <c r="M108" s="92"/>
      <c r="N108" s="92"/>
      <c r="O108" s="92"/>
    </row>
    <row r="109" spans="2:16" ht="16.5" customHeight="1" thickBot="1" x14ac:dyDescent="0.25">
      <c r="B109" s="78" t="s">
        <v>106</v>
      </c>
      <c r="C109" s="247" t="s">
        <v>99</v>
      </c>
      <c r="D109" s="247"/>
      <c r="E109" s="79"/>
      <c r="F109" s="79" t="e">
        <f>E110*F114</f>
        <v>#N/A</v>
      </c>
      <c r="G109" s="120"/>
      <c r="H109" s="81" t="e">
        <f>+SUMPRODUCT(E110:E119,H110:H119)</f>
        <v>#N/A</v>
      </c>
    </row>
    <row r="110" spans="2:16" x14ac:dyDescent="0.2">
      <c r="B110" s="242">
        <v>4</v>
      </c>
      <c r="C110" s="248" t="s">
        <v>84</v>
      </c>
      <c r="D110" s="249"/>
      <c r="E110" s="131" t="e">
        <f>VLOOKUP(C110,Puntajes!$B$9:$N$41,HLOOKUP($D$8,Puntajes!$C$7:$N$8,2,0),0)</f>
        <v>#N/A</v>
      </c>
      <c r="F110" s="173"/>
      <c r="G110" s="174" t="str">
        <f>IFERROR(AVERAGE('COG-F-011'!C66:C71),"")</f>
        <v/>
      </c>
      <c r="H110" s="134" t="str">
        <f>+IF(G110="","-",IF(G110&lt;$D$111,$F$111,IF(G110&lt;$D$112,$F$112,IF(G110&lt;$D$113,$F$113,$F$114))))</f>
        <v>-</v>
      </c>
      <c r="K110" s="92" t="s">
        <v>193</v>
      </c>
      <c r="L110" s="92" t="s">
        <v>193</v>
      </c>
      <c r="M110" s="92" t="s">
        <v>193</v>
      </c>
      <c r="N110" s="92" t="s">
        <v>193</v>
      </c>
      <c r="O110" s="92" t="s">
        <v>193</v>
      </c>
    </row>
    <row r="111" spans="2:16" s="55" customFormat="1" x14ac:dyDescent="0.2">
      <c r="B111" s="242"/>
      <c r="C111" s="87" t="s">
        <v>62</v>
      </c>
      <c r="D111" s="88">
        <f>+IF('COG-F-011'!$C$9='COP-F-012'!$K$37,'COP-F-012'!K111,IF('COG-F-011'!$C$9='COP-F-012'!$L$37,'COP-F-012'!L111,IF('COG-F-011'!$C$9='COP-F-012'!$M$37,'COP-F-012'!M111,IF('COG-F-011'!$C$9='COP-F-012'!$N$37,'COP-F-012'!N111,IF('COG-F-011'!$C$9='COP-F-012'!$O$37,'COP-F-012'!O111,'COP-F-012'!P111)))))</f>
        <v>10</v>
      </c>
      <c r="E111" s="89"/>
      <c r="F111" s="90">
        <v>10</v>
      </c>
      <c r="G111" s="67"/>
      <c r="H111" s="91"/>
      <c r="K111" s="92">
        <v>10</v>
      </c>
      <c r="L111" s="92">
        <v>10</v>
      </c>
      <c r="M111" s="92">
        <v>3</v>
      </c>
      <c r="N111" s="92">
        <v>5</v>
      </c>
      <c r="O111" s="92">
        <v>10</v>
      </c>
      <c r="P111" s="92">
        <v>10</v>
      </c>
    </row>
    <row r="112" spans="2:16" s="55" customFormat="1" x14ac:dyDescent="0.2">
      <c r="B112" s="242"/>
      <c r="C112" s="93" t="s">
        <v>62</v>
      </c>
      <c r="D112" s="94">
        <f>+IF('COG-F-011'!$C$9='COP-F-012'!$K$37,'COP-F-012'!K112,IF('COG-F-011'!$C$9='COP-F-012'!$L$37,'COP-F-012'!L112,IF('COG-F-011'!$C$9='COP-F-012'!$M$37,'COP-F-012'!M112,IF('COG-F-011'!$C$9='COP-F-012'!$N$37,'COP-F-012'!N112,IF('COG-F-011'!$C$9='COP-F-012'!$O$37,'COP-F-012'!O112,'COP-F-012'!P112)))))</f>
        <v>30</v>
      </c>
      <c r="E112" s="95"/>
      <c r="F112" s="96">
        <v>30</v>
      </c>
      <c r="G112" s="67"/>
      <c r="H112" s="91"/>
      <c r="K112" s="92">
        <v>30</v>
      </c>
      <c r="L112" s="92">
        <v>30</v>
      </c>
      <c r="M112" s="92">
        <v>5</v>
      </c>
      <c r="N112" s="92">
        <v>10</v>
      </c>
      <c r="O112" s="92">
        <v>30</v>
      </c>
      <c r="P112" s="92">
        <v>30</v>
      </c>
    </row>
    <row r="113" spans="2:16" s="55" customFormat="1" x14ac:dyDescent="0.2">
      <c r="B113" s="242"/>
      <c r="C113" s="93" t="s">
        <v>62</v>
      </c>
      <c r="D113" s="94">
        <f>+IF('COG-F-011'!$C$9='COP-F-012'!$K$37,'COP-F-012'!K113,IF('COG-F-011'!$C$9='COP-F-012'!$L$37,'COP-F-012'!L113,IF('COG-F-011'!$C$9='COP-F-012'!$M$37,'COP-F-012'!M113,IF('COG-F-011'!$C$9='COP-F-012'!$N$37,'COP-F-012'!N113,IF('COG-F-011'!$C$9='COP-F-012'!$O$37,'COP-F-012'!O113,'COP-F-012'!P113)))))</f>
        <v>50</v>
      </c>
      <c r="E113" s="95"/>
      <c r="F113" s="96">
        <v>70</v>
      </c>
      <c r="G113" s="67"/>
      <c r="H113" s="91"/>
      <c r="K113" s="92">
        <v>50</v>
      </c>
      <c r="L113" s="92">
        <v>50</v>
      </c>
      <c r="M113" s="92">
        <v>10</v>
      </c>
      <c r="N113" s="92">
        <v>15</v>
      </c>
      <c r="O113" s="92">
        <v>50</v>
      </c>
      <c r="P113" s="92">
        <v>50</v>
      </c>
    </row>
    <row r="114" spans="2:16" s="55" customFormat="1" x14ac:dyDescent="0.2">
      <c r="B114" s="243"/>
      <c r="C114" s="97" t="s">
        <v>66</v>
      </c>
      <c r="D114" s="98">
        <f>+IF('COG-F-011'!$C$9='COP-F-012'!$K$37,'COP-F-012'!K114,IF('COG-F-011'!$C$9='COP-F-012'!$L$37,'COP-F-012'!L114,IF('COG-F-011'!$C$9='COP-F-012'!$M$37,'COP-F-012'!M114,IF('COG-F-011'!$C$9='COP-F-012'!$N$37,'COP-F-012'!N114,IF('COG-F-011'!$C$9='COP-F-012'!$O$37,'COP-F-012'!O114,'COP-F-012'!P114)))))</f>
        <v>50</v>
      </c>
      <c r="E114" s="104"/>
      <c r="F114" s="105">
        <v>100</v>
      </c>
      <c r="G114" s="106"/>
      <c r="H114" s="107"/>
      <c r="K114" s="92">
        <v>50</v>
      </c>
      <c r="L114" s="92">
        <v>50</v>
      </c>
      <c r="M114" s="92">
        <v>10</v>
      </c>
      <c r="N114" s="92">
        <v>15</v>
      </c>
      <c r="O114" s="92">
        <v>50</v>
      </c>
      <c r="P114" s="92">
        <v>50</v>
      </c>
    </row>
    <row r="115" spans="2:16" x14ac:dyDescent="0.2">
      <c r="B115" s="241">
        <v>5</v>
      </c>
      <c r="C115" s="272" t="s">
        <v>85</v>
      </c>
      <c r="D115" s="272"/>
      <c r="E115" s="99" t="e">
        <f>VLOOKUP(C115,Puntajes!$B$9:$N$41,HLOOKUP($D$8,Puntajes!$C$7:$N$8,2,0),0)</f>
        <v>#N/A</v>
      </c>
      <c r="F115" s="57"/>
      <c r="G115" s="175" t="str">
        <f>IFERROR(AVERAGE('COG-F-011'!D66:D71)/(G110+AVERAGE('COG-F-011'!D66:D71)),"")</f>
        <v/>
      </c>
      <c r="H115" s="149" t="str">
        <f>+IF(G115="","-",IF(G115&gt;$D$116,$F$116,IF(G115&gt;$D$117,$F$117,IF(G115&gt;$D$118,$F$118,$F$119))))</f>
        <v>-</v>
      </c>
      <c r="K115" s="92" t="s">
        <v>193</v>
      </c>
      <c r="L115" s="92" t="s">
        <v>193</v>
      </c>
      <c r="M115" s="92" t="s">
        <v>193</v>
      </c>
      <c r="N115" s="92" t="s">
        <v>193</v>
      </c>
      <c r="O115" s="92" t="s">
        <v>193</v>
      </c>
    </row>
    <row r="116" spans="2:16" s="55" customFormat="1" x14ac:dyDescent="0.2">
      <c r="B116" s="242"/>
      <c r="C116" s="87" t="s">
        <v>86</v>
      </c>
      <c r="D116" s="170">
        <v>0.7</v>
      </c>
      <c r="E116" s="176"/>
      <c r="F116" s="90">
        <v>-100</v>
      </c>
      <c r="G116" s="67"/>
      <c r="H116" s="91"/>
      <c r="J116" s="177"/>
      <c r="K116" s="92"/>
      <c r="L116" s="92"/>
      <c r="M116" s="92"/>
      <c r="N116" s="92"/>
      <c r="O116" s="92"/>
    </row>
    <row r="117" spans="2:16" s="55" customFormat="1" x14ac:dyDescent="0.2">
      <c r="B117" s="242"/>
      <c r="C117" s="93" t="s">
        <v>86</v>
      </c>
      <c r="D117" s="171">
        <v>0.5</v>
      </c>
      <c r="E117" s="178"/>
      <c r="F117" s="96">
        <v>-70</v>
      </c>
      <c r="G117" s="67"/>
      <c r="H117" s="91"/>
      <c r="J117" s="177"/>
      <c r="K117" s="92"/>
      <c r="L117" s="92"/>
      <c r="M117" s="92"/>
      <c r="N117" s="92"/>
      <c r="O117" s="92"/>
    </row>
    <row r="118" spans="2:16" s="55" customFormat="1" x14ac:dyDescent="0.2">
      <c r="B118" s="242"/>
      <c r="C118" s="93" t="s">
        <v>86</v>
      </c>
      <c r="D118" s="171">
        <v>0.3</v>
      </c>
      <c r="E118" s="178"/>
      <c r="F118" s="96">
        <v>-30</v>
      </c>
      <c r="G118" s="67"/>
      <c r="H118" s="91"/>
      <c r="K118" s="92"/>
      <c r="L118" s="92"/>
      <c r="M118" s="92"/>
      <c r="N118" s="92"/>
      <c r="O118" s="92"/>
    </row>
    <row r="119" spans="2:16" s="55" customFormat="1" ht="13.5" thickBot="1" x14ac:dyDescent="0.25">
      <c r="B119" s="243"/>
      <c r="C119" s="97" t="s">
        <v>186</v>
      </c>
      <c r="D119" s="172">
        <v>0.3</v>
      </c>
      <c r="E119" s="179"/>
      <c r="F119" s="105">
        <v>0</v>
      </c>
      <c r="G119" s="106"/>
      <c r="H119" s="107"/>
      <c r="K119" s="92"/>
      <c r="L119" s="92"/>
      <c r="M119" s="92"/>
      <c r="N119" s="92"/>
      <c r="O119" s="92"/>
    </row>
    <row r="120" spans="2:16" ht="16.5" customHeight="1" thickBot="1" x14ac:dyDescent="0.25">
      <c r="B120" s="78" t="s">
        <v>107</v>
      </c>
      <c r="C120" s="247" t="s">
        <v>105</v>
      </c>
      <c r="D120" s="247"/>
      <c r="E120" s="79"/>
      <c r="F120" s="79" t="e">
        <f>+E121*F123</f>
        <v>#N/A</v>
      </c>
      <c r="G120" s="120"/>
      <c r="H120" s="81" t="e">
        <f>+SUMPRODUCT(E121:E127,H121:H127)</f>
        <v>#N/A</v>
      </c>
    </row>
    <row r="121" spans="2:16" x14ac:dyDescent="0.2">
      <c r="B121" s="241">
        <v>5</v>
      </c>
      <c r="C121" s="239" t="s">
        <v>147</v>
      </c>
      <c r="D121" s="240"/>
      <c r="E121" s="99" t="e">
        <f>VLOOKUP(C121,Puntajes!$B$9:$N$41,HLOOKUP($D$8,Puntajes!$C$7:$N$8,2,0),0)</f>
        <v>#N/A</v>
      </c>
      <c r="F121" s="57"/>
      <c r="G121" s="100">
        <f>'COG-F-011'!C77</f>
        <v>0</v>
      </c>
      <c r="H121" s="185">
        <f>IFERROR(VLOOKUP(G121,D122:F127,3,0),0)</f>
        <v>0</v>
      </c>
    </row>
    <row r="122" spans="2:16" s="55" customFormat="1" x14ac:dyDescent="0.2">
      <c r="B122" s="242"/>
      <c r="C122" s="102"/>
      <c r="D122" s="88" t="s">
        <v>93</v>
      </c>
      <c r="E122" s="90"/>
      <c r="F122" s="90">
        <v>0</v>
      </c>
      <c r="G122" s="67"/>
      <c r="H122" s="91"/>
      <c r="K122" s="92"/>
      <c r="L122" s="92"/>
      <c r="M122" s="92"/>
      <c r="N122" s="92"/>
      <c r="O122" s="92"/>
    </row>
    <row r="123" spans="2:16" s="55" customFormat="1" x14ac:dyDescent="0.2">
      <c r="B123" s="242"/>
      <c r="C123" s="148"/>
      <c r="D123" s="180" t="s">
        <v>148</v>
      </c>
      <c r="E123" s="181"/>
      <c r="F123" s="96">
        <v>100</v>
      </c>
      <c r="G123" s="67"/>
      <c r="H123" s="91"/>
      <c r="K123" s="92"/>
      <c r="L123" s="92"/>
      <c r="M123" s="92"/>
      <c r="N123" s="92"/>
      <c r="O123" s="92"/>
    </row>
    <row r="124" spans="2:16" s="55" customFormat="1" x14ac:dyDescent="0.2">
      <c r="B124" s="242"/>
      <c r="C124" s="148"/>
      <c r="D124" s="180" t="s">
        <v>149</v>
      </c>
      <c r="E124" s="181"/>
      <c r="F124" s="96">
        <v>90</v>
      </c>
      <c r="G124" s="67"/>
      <c r="H124" s="91"/>
      <c r="K124" s="92"/>
      <c r="L124" s="92"/>
      <c r="M124" s="92"/>
      <c r="N124" s="92"/>
      <c r="O124" s="92"/>
    </row>
    <row r="125" spans="2:16" s="55" customFormat="1" x14ac:dyDescent="0.2">
      <c r="B125" s="242"/>
      <c r="C125" s="148"/>
      <c r="D125" s="180" t="s">
        <v>150</v>
      </c>
      <c r="E125" s="181"/>
      <c r="F125" s="96">
        <v>70</v>
      </c>
      <c r="G125" s="67"/>
      <c r="H125" s="91"/>
      <c r="K125" s="92"/>
      <c r="L125" s="92"/>
      <c r="M125" s="92"/>
      <c r="N125" s="92"/>
      <c r="O125" s="92"/>
    </row>
    <row r="126" spans="2:16" s="55" customFormat="1" x14ac:dyDescent="0.2">
      <c r="B126" s="242"/>
      <c r="C126" s="148"/>
      <c r="D126" s="180" t="s">
        <v>151</v>
      </c>
      <c r="E126" s="181"/>
      <c r="F126" s="96">
        <v>30</v>
      </c>
      <c r="G126" s="67"/>
      <c r="H126" s="91"/>
      <c r="K126" s="92"/>
      <c r="L126" s="92"/>
      <c r="M126" s="92"/>
      <c r="N126" s="92"/>
      <c r="O126" s="92"/>
    </row>
    <row r="127" spans="2:16" s="55" customFormat="1" ht="13.5" thickBot="1" x14ac:dyDescent="0.25">
      <c r="B127" s="243"/>
      <c r="C127" s="103"/>
      <c r="D127" s="186" t="s">
        <v>152</v>
      </c>
      <c r="E127" s="182"/>
      <c r="F127" s="105">
        <v>10</v>
      </c>
      <c r="G127" s="106"/>
      <c r="H127" s="107"/>
      <c r="K127" s="92"/>
      <c r="L127" s="92"/>
      <c r="M127" s="92"/>
      <c r="N127" s="92"/>
      <c r="O127" s="92"/>
    </row>
    <row r="128" spans="2:16" ht="16.5" customHeight="1" thickBot="1" x14ac:dyDescent="0.25">
      <c r="B128" s="78" t="s">
        <v>157</v>
      </c>
      <c r="C128" s="247" t="s">
        <v>108</v>
      </c>
      <c r="D128" s="247"/>
      <c r="E128" s="79"/>
      <c r="F128" s="79" t="e">
        <f>E129*F130+E132*F133+E135*F136</f>
        <v>#N/A</v>
      </c>
      <c r="G128" s="120"/>
      <c r="H128" s="81" t="e">
        <f>SUMPRODUCT(E129:E137,H129:H137)</f>
        <v>#N/A</v>
      </c>
    </row>
    <row r="129" spans="2:15" x14ac:dyDescent="0.2">
      <c r="B129" s="241">
        <v>6</v>
      </c>
      <c r="C129" s="239" t="str">
        <f>+'COG-F-011'!B81</f>
        <v>Acepta las normas de Seguridad de Exsa</v>
      </c>
      <c r="D129" s="240"/>
      <c r="E129" s="99" t="e">
        <f>VLOOKUP(C129,Puntajes!$B$9:$N$41,HLOOKUP($D$8,Puntajes!$C$7:$N$8,2,0),0)</f>
        <v>#N/A</v>
      </c>
      <c r="F129" s="57"/>
      <c r="G129" s="100">
        <f>'COG-F-011'!C81</f>
        <v>0</v>
      </c>
      <c r="H129" s="101">
        <f>+IF(G129="","-",IF(G129=D130,F130,F131))</f>
        <v>0</v>
      </c>
    </row>
    <row r="130" spans="2:15" s="55" customFormat="1" x14ac:dyDescent="0.2">
      <c r="B130" s="242"/>
      <c r="C130" s="102"/>
      <c r="D130" s="88" t="s">
        <v>92</v>
      </c>
      <c r="E130" s="89"/>
      <c r="F130" s="90">
        <v>100</v>
      </c>
      <c r="G130" s="67"/>
      <c r="H130" s="91"/>
      <c r="K130" s="92"/>
      <c r="L130" s="92"/>
      <c r="M130" s="92"/>
      <c r="N130" s="92"/>
      <c r="O130" s="92"/>
    </row>
    <row r="131" spans="2:15" s="55" customFormat="1" x14ac:dyDescent="0.2">
      <c r="B131" s="243"/>
      <c r="C131" s="103"/>
      <c r="D131" s="98" t="s">
        <v>93</v>
      </c>
      <c r="E131" s="104"/>
      <c r="F131" s="105">
        <v>0</v>
      </c>
      <c r="G131" s="106"/>
      <c r="H131" s="107"/>
      <c r="K131" s="92"/>
      <c r="L131" s="92"/>
      <c r="M131" s="92"/>
      <c r="N131" s="92"/>
      <c r="O131" s="92"/>
    </row>
    <row r="132" spans="2:15" x14ac:dyDescent="0.2">
      <c r="B132" s="241">
        <v>7</v>
      </c>
      <c r="C132" s="239" t="str">
        <f>+'COG-F-011'!B82</f>
        <v>Acepta las normas de Medio Ambiente de Exsa</v>
      </c>
      <c r="D132" s="240"/>
      <c r="E132" s="99" t="e">
        <f>VLOOKUP(C132,Puntajes!$B$9:$N$41,HLOOKUP($D$8,Puntajes!$C$7:$N$8,2,0),0)</f>
        <v>#N/A</v>
      </c>
      <c r="F132" s="57"/>
      <c r="G132" s="100">
        <f>'COG-F-011'!C82</f>
        <v>0</v>
      </c>
      <c r="H132" s="101">
        <f>+IF(G132="","-",IF(G132=D133,F133,F134))</f>
        <v>0</v>
      </c>
    </row>
    <row r="133" spans="2:15" s="55" customFormat="1" x14ac:dyDescent="0.2">
      <c r="B133" s="242"/>
      <c r="C133" s="102"/>
      <c r="D133" s="88" t="s">
        <v>92</v>
      </c>
      <c r="E133" s="89"/>
      <c r="F133" s="90">
        <v>100</v>
      </c>
      <c r="G133" s="67"/>
      <c r="H133" s="91"/>
      <c r="K133" s="92"/>
      <c r="L133" s="92"/>
      <c r="M133" s="92"/>
      <c r="N133" s="92"/>
      <c r="O133" s="92"/>
    </row>
    <row r="134" spans="2:15" s="55" customFormat="1" x14ac:dyDescent="0.2">
      <c r="B134" s="243"/>
      <c r="C134" s="103"/>
      <c r="D134" s="98" t="s">
        <v>93</v>
      </c>
      <c r="E134" s="104"/>
      <c r="F134" s="105">
        <v>0</v>
      </c>
      <c r="G134" s="106"/>
      <c r="H134" s="107"/>
      <c r="K134" s="92"/>
      <c r="L134" s="92"/>
      <c r="M134" s="92"/>
      <c r="N134" s="92"/>
      <c r="O134" s="92"/>
    </row>
    <row r="135" spans="2:15" x14ac:dyDescent="0.2">
      <c r="B135" s="241">
        <v>8</v>
      </c>
      <c r="C135" s="239" t="str">
        <f>+'COG-F-011'!B83</f>
        <v>Acepta Código de ética y conducta de Exsa</v>
      </c>
      <c r="D135" s="240"/>
      <c r="E135" s="99" t="e">
        <f>VLOOKUP(C135,Puntajes!$B$9:$N$41,HLOOKUP($D$8,Puntajes!$C$7:$N$8,2,0),0)</f>
        <v>#N/A</v>
      </c>
      <c r="F135" s="57"/>
      <c r="G135" s="100">
        <f>'COG-F-011'!C83</f>
        <v>0</v>
      </c>
      <c r="H135" s="101">
        <f>+IF(G135="","-",IF(G135=D136,F136,F137))</f>
        <v>0</v>
      </c>
    </row>
    <row r="136" spans="2:15" s="55" customFormat="1" x14ac:dyDescent="0.2">
      <c r="B136" s="242"/>
      <c r="C136" s="102"/>
      <c r="D136" s="88" t="s">
        <v>92</v>
      </c>
      <c r="E136" s="89"/>
      <c r="F136" s="90">
        <v>100</v>
      </c>
      <c r="G136" s="67"/>
      <c r="H136" s="91"/>
      <c r="K136" s="92"/>
      <c r="L136" s="92"/>
      <c r="M136" s="92"/>
      <c r="N136" s="92"/>
      <c r="O136" s="92"/>
    </row>
    <row r="137" spans="2:15" s="55" customFormat="1" ht="13.5" thickBot="1" x14ac:dyDescent="0.25">
      <c r="B137" s="266"/>
      <c r="C137" s="114"/>
      <c r="D137" s="115" t="s">
        <v>93</v>
      </c>
      <c r="E137" s="116"/>
      <c r="F137" s="117">
        <v>0</v>
      </c>
      <c r="G137" s="118"/>
      <c r="H137" s="119"/>
      <c r="K137" s="92"/>
      <c r="L137" s="92"/>
      <c r="M137" s="92"/>
      <c r="N137" s="92"/>
      <c r="O137" s="92"/>
    </row>
    <row r="138" spans="2:15" ht="16.5" customHeight="1" thickBot="1" x14ac:dyDescent="0.25">
      <c r="B138" s="78" t="s">
        <v>156</v>
      </c>
      <c r="C138" s="247" t="s">
        <v>110</v>
      </c>
      <c r="D138" s="247"/>
      <c r="E138" s="79"/>
      <c r="F138" s="79" t="e">
        <f>E139*F140</f>
        <v>#N/A</v>
      </c>
      <c r="G138" s="120"/>
      <c r="H138" s="81" t="e">
        <f>+SUMPRODUCT(E139:E141,H139:H141)</f>
        <v>#N/A</v>
      </c>
    </row>
    <row r="139" spans="2:15" x14ac:dyDescent="0.2">
      <c r="B139" s="242">
        <v>2</v>
      </c>
      <c r="C139" s="267" t="str">
        <f>+'COG-F-011'!B87</f>
        <v>Acepta la política BASC de EXSA</v>
      </c>
      <c r="D139" s="268"/>
      <c r="E139" s="131" t="e">
        <f>VLOOKUP(C139,Puntajes!$B$9:$N$41,HLOOKUP($D$8,Puntajes!$C$7:$N$8,2,0),0)</f>
        <v>#N/A</v>
      </c>
      <c r="F139" s="173"/>
      <c r="G139" s="183">
        <f>'COG-F-011'!C87</f>
        <v>0</v>
      </c>
      <c r="H139" s="184">
        <f>+IF(G139="","-",IF(G139=D140,F140,F141))</f>
        <v>10</v>
      </c>
    </row>
    <row r="140" spans="2:15" s="55" customFormat="1" x14ac:dyDescent="0.2">
      <c r="B140" s="242"/>
      <c r="C140" s="102"/>
      <c r="D140" s="88" t="s">
        <v>92</v>
      </c>
      <c r="E140" s="89"/>
      <c r="F140" s="90">
        <v>100</v>
      </c>
      <c r="G140" s="67"/>
      <c r="H140" s="91"/>
      <c r="K140" s="92"/>
      <c r="L140" s="92"/>
      <c r="M140" s="92"/>
      <c r="N140" s="92"/>
      <c r="O140" s="92"/>
    </row>
    <row r="141" spans="2:15" s="55" customFormat="1" ht="13.5" thickBot="1" x14ac:dyDescent="0.25">
      <c r="B141" s="266"/>
      <c r="C141" s="114"/>
      <c r="D141" s="115" t="s">
        <v>93</v>
      </c>
      <c r="E141" s="115"/>
      <c r="F141" s="117">
        <v>10</v>
      </c>
      <c r="G141" s="118"/>
      <c r="H141" s="187"/>
      <c r="K141" s="92"/>
      <c r="L141" s="92"/>
      <c r="M141" s="92"/>
      <c r="N141" s="92"/>
      <c r="O141" s="92"/>
    </row>
    <row r="143" spans="2:15" x14ac:dyDescent="0.2">
      <c r="B143" s="188" t="s">
        <v>140</v>
      </c>
      <c r="C143" s="188"/>
      <c r="D143" s="188"/>
      <c r="E143" s="188"/>
      <c r="H143" s="56"/>
    </row>
    <row r="144" spans="2:15" x14ac:dyDescent="0.2">
      <c r="B144" s="189" t="s">
        <v>141</v>
      </c>
      <c r="C144" s="189"/>
      <c r="D144" s="189"/>
      <c r="E144" s="189"/>
      <c r="H144" s="56"/>
    </row>
    <row r="145" spans="2:8" x14ac:dyDescent="0.2">
      <c r="B145" s="189" t="s">
        <v>175</v>
      </c>
      <c r="C145" s="189"/>
      <c r="D145" s="189"/>
      <c r="E145" s="189"/>
      <c r="H145" s="56"/>
    </row>
    <row r="146" spans="2:8" ht="27.75" customHeight="1" x14ac:dyDescent="0.2">
      <c r="B146" s="252" t="s">
        <v>176</v>
      </c>
      <c r="C146" s="252"/>
      <c r="D146" s="252"/>
      <c r="E146" s="252"/>
      <c r="F146" s="252"/>
      <c r="G146" s="252"/>
      <c r="H146" s="252"/>
    </row>
    <row r="147" spans="2:8" x14ac:dyDescent="0.2">
      <c r="B147" s="189" t="s">
        <v>177</v>
      </c>
      <c r="C147" s="189"/>
      <c r="D147" s="189"/>
      <c r="E147" s="189"/>
      <c r="H147" s="56"/>
    </row>
    <row r="148" spans="2:8" x14ac:dyDescent="0.2">
      <c r="B148" s="253" t="s">
        <v>142</v>
      </c>
      <c r="C148" s="253"/>
      <c r="D148" s="253"/>
      <c r="E148" s="253"/>
      <c r="F148" s="253"/>
      <c r="G148" s="253"/>
      <c r="H148" s="253"/>
    </row>
    <row r="149" spans="2:8" ht="38.25" customHeight="1" x14ac:dyDescent="0.2">
      <c r="B149" s="265" t="s">
        <v>181</v>
      </c>
      <c r="C149" s="265"/>
      <c r="D149" s="265"/>
      <c r="E149" s="265"/>
      <c r="F149" s="265"/>
      <c r="G149" s="265"/>
      <c r="H149" s="265"/>
    </row>
    <row r="150" spans="2:8" ht="39.75" customHeight="1" x14ac:dyDescent="0.2">
      <c r="B150" s="252" t="s">
        <v>180</v>
      </c>
      <c r="C150" s="252"/>
      <c r="D150" s="252"/>
      <c r="E150" s="252"/>
      <c r="F150" s="252"/>
      <c r="G150" s="252"/>
      <c r="H150" s="252"/>
    </row>
    <row r="151" spans="2:8" x14ac:dyDescent="0.2">
      <c r="B151" s="253" t="s">
        <v>143</v>
      </c>
      <c r="C151" s="253"/>
      <c r="D151" s="253"/>
      <c r="E151" s="253"/>
      <c r="F151" s="253"/>
      <c r="G151" s="253"/>
      <c r="H151" s="253"/>
    </row>
    <row r="152" spans="2:8" x14ac:dyDescent="0.2">
      <c r="B152" s="189" t="s">
        <v>178</v>
      </c>
      <c r="C152" s="189"/>
      <c r="D152" s="189"/>
      <c r="E152" s="189"/>
    </row>
    <row r="153" spans="2:8" x14ac:dyDescent="0.2">
      <c r="B153" s="190" t="s">
        <v>144</v>
      </c>
      <c r="D153" s="189"/>
      <c r="E153" s="189"/>
    </row>
    <row r="154" spans="2:8" x14ac:dyDescent="0.2">
      <c r="B154" s="189" t="s">
        <v>179</v>
      </c>
      <c r="C154" s="189"/>
      <c r="D154" s="189"/>
      <c r="E154" s="189"/>
    </row>
    <row r="155" spans="2:8" x14ac:dyDescent="0.2">
      <c r="B155" s="190" t="s">
        <v>145</v>
      </c>
      <c r="D155" s="189"/>
      <c r="E155" s="189"/>
    </row>
    <row r="156" spans="2:8" x14ac:dyDescent="0.2">
      <c r="B156" s="190" t="s">
        <v>146</v>
      </c>
      <c r="D156" s="189"/>
      <c r="E156" s="189"/>
    </row>
  </sheetData>
  <mergeCells count="92">
    <mergeCell ref="C103:D103"/>
    <mergeCell ref="B90:B92"/>
    <mergeCell ref="C90:D90"/>
    <mergeCell ref="B121:B127"/>
    <mergeCell ref="C121:D121"/>
    <mergeCell ref="C120:D120"/>
    <mergeCell ref="C110:D110"/>
    <mergeCell ref="C93:D93"/>
    <mergeCell ref="C98:D98"/>
    <mergeCell ref="B103:B108"/>
    <mergeCell ref="B93:B97"/>
    <mergeCell ref="B98:B102"/>
    <mergeCell ref="C115:D115"/>
    <mergeCell ref="B115:B119"/>
    <mergeCell ref="C109:D109"/>
    <mergeCell ref="B110:B114"/>
    <mergeCell ref="C128:D128"/>
    <mergeCell ref="B146:H146"/>
    <mergeCell ref="B148:H148"/>
    <mergeCell ref="B149:H149"/>
    <mergeCell ref="B129:B131"/>
    <mergeCell ref="C129:D129"/>
    <mergeCell ref="C138:D138"/>
    <mergeCell ref="B139:B141"/>
    <mergeCell ref="C139:D139"/>
    <mergeCell ref="B132:B134"/>
    <mergeCell ref="C132:D132"/>
    <mergeCell ref="B135:B137"/>
    <mergeCell ref="C135:D135"/>
    <mergeCell ref="B150:H150"/>
    <mergeCell ref="B151:H151"/>
    <mergeCell ref="E35:E36"/>
    <mergeCell ref="F35:F36"/>
    <mergeCell ref="C63:D63"/>
    <mergeCell ref="C66:D66"/>
    <mergeCell ref="C69:D69"/>
    <mergeCell ref="C46:D46"/>
    <mergeCell ref="B84:B86"/>
    <mergeCell ref="C84:D84"/>
    <mergeCell ref="B50:B52"/>
    <mergeCell ref="C50:D50"/>
    <mergeCell ref="C57:D57"/>
    <mergeCell ref="C60:D60"/>
    <mergeCell ref="C53:D53"/>
    <mergeCell ref="B54:B56"/>
    <mergeCell ref="C37:D37"/>
    <mergeCell ref="B43:B45"/>
    <mergeCell ref="C43:D43"/>
    <mergeCell ref="C78:D78"/>
    <mergeCell ref="C72:D72"/>
    <mergeCell ref="B57:B59"/>
    <mergeCell ref="B60:B62"/>
    <mergeCell ref="C75:D75"/>
    <mergeCell ref="B78:B80"/>
    <mergeCell ref="B46:B49"/>
    <mergeCell ref="C54:D54"/>
    <mergeCell ref="B63:B65"/>
    <mergeCell ref="B66:B68"/>
    <mergeCell ref="B69:B71"/>
    <mergeCell ref="B72:B74"/>
    <mergeCell ref="B75:B77"/>
    <mergeCell ref="C87:D87"/>
    <mergeCell ref="B81:B83"/>
    <mergeCell ref="C81:D81"/>
    <mergeCell ref="B38:B42"/>
    <mergeCell ref="C38:D38"/>
    <mergeCell ref="B87:B89"/>
    <mergeCell ref="G35:H35"/>
    <mergeCell ref="B11:H11"/>
    <mergeCell ref="B26:H26"/>
    <mergeCell ref="C17:D17"/>
    <mergeCell ref="C18:D18"/>
    <mergeCell ref="C19:D19"/>
    <mergeCell ref="C20:D20"/>
    <mergeCell ref="C21:D21"/>
    <mergeCell ref="C22:D22"/>
    <mergeCell ref="B16:D16"/>
    <mergeCell ref="B13:F13"/>
    <mergeCell ref="B33:D33"/>
    <mergeCell ref="B31:D31"/>
    <mergeCell ref="B32:D32"/>
    <mergeCell ref="B35:B36"/>
    <mergeCell ref="C35:D36"/>
    <mergeCell ref="B2:C3"/>
    <mergeCell ref="B5:C5"/>
    <mergeCell ref="B28:H28"/>
    <mergeCell ref="B29:D29"/>
    <mergeCell ref="B30:D30"/>
    <mergeCell ref="G13:H13"/>
    <mergeCell ref="B14:F14"/>
    <mergeCell ref="G14:H14"/>
    <mergeCell ref="D2:G3"/>
  </mergeCells>
  <conditionalFormatting sqref="H43">
    <cfRule type="cellIs" dxfId="12" priority="28" operator="lessThan">
      <formula>0</formula>
    </cfRule>
  </conditionalFormatting>
  <conditionalFormatting sqref="H84">
    <cfRule type="cellIs" dxfId="11" priority="27" operator="lessThan">
      <formula>0</formula>
    </cfRule>
  </conditionalFormatting>
  <conditionalFormatting sqref="H46">
    <cfRule type="cellIs" dxfId="10" priority="26" operator="lessThan">
      <formula>0</formula>
    </cfRule>
  </conditionalFormatting>
  <conditionalFormatting sqref="H75">
    <cfRule type="cellIs" dxfId="9" priority="24" operator="lessThan">
      <formula>0</formula>
    </cfRule>
  </conditionalFormatting>
  <conditionalFormatting sqref="H78">
    <cfRule type="cellIs" dxfId="8" priority="23" operator="lessThan">
      <formula>0</formula>
    </cfRule>
  </conditionalFormatting>
  <conditionalFormatting sqref="H81">
    <cfRule type="cellIs" dxfId="7" priority="22" operator="lessThan">
      <formula>0</formula>
    </cfRule>
  </conditionalFormatting>
  <conditionalFormatting sqref="H87">
    <cfRule type="cellIs" dxfId="6" priority="21" operator="lessThan">
      <formula>0</formula>
    </cfRule>
  </conditionalFormatting>
  <conditionalFormatting sqref="H90">
    <cfRule type="cellIs" dxfId="5" priority="20" operator="lessThan">
      <formula>0</formula>
    </cfRule>
  </conditionalFormatting>
  <conditionalFormatting sqref="H93">
    <cfRule type="cellIs" dxfId="4" priority="19" operator="lessThan">
      <formula>0</formula>
    </cfRule>
  </conditionalFormatting>
  <conditionalFormatting sqref="H98">
    <cfRule type="cellIs" dxfId="3" priority="18" operator="lessThan">
      <formula>0</formula>
    </cfRule>
  </conditionalFormatting>
  <conditionalFormatting sqref="H115">
    <cfRule type="cellIs" dxfId="2" priority="17" operator="lessThan">
      <formula>0</formula>
    </cfRule>
  </conditionalFormatting>
  <conditionalFormatting sqref="H139">
    <cfRule type="cellIs" dxfId="1" priority="6" operator="greaterThan">
      <formula>0</formula>
    </cfRule>
  </conditionalFormatting>
  <conditionalFormatting sqref="H54">
    <cfRule type="cellIs" dxfId="0" priority="1" operator="lessThan">
      <formula>0</formula>
    </cfRule>
  </conditionalFormatting>
  <pageMargins left="0.7" right="0.7" top="0.75" bottom="0.75" header="0.3" footer="0.3"/>
  <pageSetup paperSize="9" scale="53" fitToHeight="0" orientation="portrait" r:id="rId1"/>
  <rowBreaks count="1" manualBreakCount="1">
    <brk id="86" max="7"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44"/>
  <sheetViews>
    <sheetView topLeftCell="A7" zoomScaleNormal="100" workbookViewId="0">
      <pane xSplit="5" ySplit="1" topLeftCell="F8" activePane="bottomRight" state="frozen"/>
      <selection activeCell="A7" sqref="A7"/>
      <selection pane="topRight" activeCell="F7" sqref="F7"/>
      <selection pane="bottomLeft" activeCell="A8" sqref="A8"/>
      <selection pane="bottomRight" activeCell="N40" sqref="N40"/>
    </sheetView>
  </sheetViews>
  <sheetFormatPr baseColWidth="10" defaultColWidth="39.42578125" defaultRowHeight="12.75" outlineLevelRow="1" outlineLevelCol="1" x14ac:dyDescent="0.2"/>
  <cols>
    <col min="1" max="1" width="5.85546875" style="36" customWidth="1"/>
    <col min="2" max="2" width="27.7109375" style="36" customWidth="1"/>
    <col min="3" max="5" width="17" style="36" hidden="1" customWidth="1" outlineLevel="1"/>
    <col min="6" max="6" width="11" style="36" customWidth="1" collapsed="1"/>
    <col min="7" max="9" width="11" style="36" customWidth="1"/>
    <col min="10" max="10" width="11" style="36" hidden="1" customWidth="1" outlineLevel="1"/>
    <col min="11" max="11" width="11" style="36" customWidth="1" collapsed="1"/>
    <col min="12" max="14" width="11" style="36" customWidth="1"/>
    <col min="15" max="16384" width="39.42578125" style="36"/>
  </cols>
  <sheetData>
    <row r="1" spans="1:14" ht="15" customHeight="1" x14ac:dyDescent="0.2">
      <c r="A1" s="35"/>
      <c r="B1" s="279" t="s">
        <v>57</v>
      </c>
      <c r="C1" s="280"/>
      <c r="D1" s="280"/>
      <c r="E1" s="280"/>
      <c r="F1" s="280"/>
      <c r="G1" s="280"/>
      <c r="H1" s="281"/>
      <c r="I1" s="273" t="s">
        <v>58</v>
      </c>
      <c r="J1" s="274"/>
    </row>
    <row r="2" spans="1:14" ht="15" customHeight="1" x14ac:dyDescent="0.2">
      <c r="A2" s="37"/>
      <c r="B2" s="282"/>
      <c r="C2" s="283"/>
      <c r="D2" s="283"/>
      <c r="E2" s="283"/>
      <c r="F2" s="283"/>
      <c r="G2" s="283"/>
      <c r="H2" s="284"/>
      <c r="I2" s="275" t="s">
        <v>59</v>
      </c>
      <c r="J2" s="276"/>
    </row>
    <row r="3" spans="1:14" ht="15" customHeight="1" x14ac:dyDescent="0.2">
      <c r="A3" s="38"/>
      <c r="B3" s="285"/>
      <c r="C3" s="286"/>
      <c r="D3" s="286"/>
      <c r="E3" s="286"/>
      <c r="F3" s="286"/>
      <c r="G3" s="286"/>
      <c r="H3" s="287"/>
      <c r="I3" s="277" t="s">
        <v>119</v>
      </c>
      <c r="J3" s="278"/>
    </row>
    <row r="5" spans="1:14" s="39" customFormat="1" ht="25.5" customHeight="1" x14ac:dyDescent="0.2">
      <c r="A5" s="288" t="s">
        <v>182</v>
      </c>
      <c r="B5" s="288"/>
      <c r="C5" s="288"/>
      <c r="D5" s="288"/>
      <c r="E5" s="288"/>
      <c r="F5" s="288"/>
      <c r="G5" s="288"/>
      <c r="H5" s="288"/>
      <c r="I5" s="288"/>
      <c r="J5" s="288"/>
    </row>
    <row r="7" spans="1:14" s="42" customFormat="1" ht="65.25" customHeight="1" x14ac:dyDescent="0.25">
      <c r="A7" s="40" t="s">
        <v>184</v>
      </c>
      <c r="B7" s="41" t="s">
        <v>183</v>
      </c>
      <c r="C7" s="40" t="s">
        <v>162</v>
      </c>
      <c r="D7" s="40" t="s">
        <v>163</v>
      </c>
      <c r="E7" s="40" t="s">
        <v>165</v>
      </c>
      <c r="F7" s="40" t="s">
        <v>201</v>
      </c>
      <c r="G7" s="40" t="s">
        <v>200</v>
      </c>
      <c r="H7" s="40" t="s">
        <v>169</v>
      </c>
      <c r="I7" s="40" t="s">
        <v>164</v>
      </c>
      <c r="J7" s="40" t="s">
        <v>166</v>
      </c>
      <c r="K7" s="40" t="s">
        <v>190</v>
      </c>
      <c r="L7" s="40" t="s">
        <v>191</v>
      </c>
      <c r="M7" s="40" t="s">
        <v>199</v>
      </c>
      <c r="N7" s="40" t="s">
        <v>206</v>
      </c>
    </row>
    <row r="8" spans="1:14" s="42" customFormat="1" ht="16.5" customHeight="1" x14ac:dyDescent="0.25">
      <c r="A8" s="40"/>
      <c r="B8" s="40" t="s">
        <v>171</v>
      </c>
      <c r="C8" s="40">
        <v>2</v>
      </c>
      <c r="D8" s="40">
        <v>3</v>
      </c>
      <c r="E8" s="40">
        <v>4</v>
      </c>
      <c r="F8" s="40">
        <v>5</v>
      </c>
      <c r="G8" s="40">
        <v>6</v>
      </c>
      <c r="H8" s="40">
        <v>7</v>
      </c>
      <c r="I8" s="40">
        <v>8</v>
      </c>
      <c r="J8" s="40">
        <v>9</v>
      </c>
      <c r="K8" s="40">
        <v>10</v>
      </c>
      <c r="L8" s="40">
        <v>11</v>
      </c>
      <c r="M8" s="40">
        <v>12</v>
      </c>
      <c r="N8" s="40">
        <v>13</v>
      </c>
    </row>
    <row r="9" spans="1:14" x14ac:dyDescent="0.2">
      <c r="A9" s="43" t="s">
        <v>101</v>
      </c>
      <c r="B9" s="44" t="s">
        <v>97</v>
      </c>
      <c r="C9" s="45">
        <v>0</v>
      </c>
      <c r="D9" s="45">
        <v>0</v>
      </c>
      <c r="E9" s="45">
        <v>0</v>
      </c>
      <c r="F9" s="45">
        <f>+F10+F13</f>
        <v>0.15000000000000002</v>
      </c>
      <c r="G9" s="45">
        <f>+G10+G13</f>
        <v>0.25</v>
      </c>
      <c r="H9" s="45">
        <f>+H10+H13</f>
        <v>0.15000000000000002</v>
      </c>
      <c r="I9" s="45">
        <f>+I10+I13</f>
        <v>0.25</v>
      </c>
      <c r="J9" s="45">
        <v>0</v>
      </c>
      <c r="K9" s="45">
        <f>+K10+K13</f>
        <v>0.15000000000000002</v>
      </c>
      <c r="L9" s="45">
        <f>+L10+L13</f>
        <v>0.15000000000000002</v>
      </c>
      <c r="M9" s="45">
        <f>+M10+M13</f>
        <v>0.25</v>
      </c>
      <c r="N9" s="45">
        <f>+N10+N13</f>
        <v>0.4</v>
      </c>
    </row>
    <row r="10" spans="1:14" outlineLevel="1" x14ac:dyDescent="0.2">
      <c r="A10" s="46">
        <v>1</v>
      </c>
      <c r="B10" s="47" t="s">
        <v>72</v>
      </c>
      <c r="C10" s="48"/>
      <c r="D10" s="48"/>
      <c r="E10" s="48"/>
      <c r="F10" s="48">
        <v>0.1</v>
      </c>
      <c r="G10" s="48">
        <v>0.15</v>
      </c>
      <c r="H10" s="48">
        <v>0.1</v>
      </c>
      <c r="I10" s="48">
        <v>0.15</v>
      </c>
      <c r="J10" s="48">
        <v>0.1</v>
      </c>
      <c r="K10" s="48">
        <v>0.1</v>
      </c>
      <c r="L10" s="48">
        <v>0.1</v>
      </c>
      <c r="M10" s="48">
        <v>0.15</v>
      </c>
      <c r="N10" s="48">
        <v>0.15</v>
      </c>
    </row>
    <row r="11" spans="1:14" outlineLevel="1" x14ac:dyDescent="0.2">
      <c r="A11" s="46">
        <v>2</v>
      </c>
      <c r="B11" s="47" t="s">
        <v>23</v>
      </c>
      <c r="C11" s="48"/>
      <c r="D11" s="48"/>
      <c r="E11" s="48"/>
      <c r="F11" s="49">
        <v>1</v>
      </c>
      <c r="G11" s="49">
        <v>1</v>
      </c>
      <c r="H11" s="49">
        <v>1</v>
      </c>
      <c r="I11" s="49">
        <v>1</v>
      </c>
      <c r="J11" s="49">
        <v>1</v>
      </c>
      <c r="K11" s="49">
        <v>1</v>
      </c>
      <c r="L11" s="49">
        <v>1</v>
      </c>
      <c r="M11" s="49">
        <v>1</v>
      </c>
      <c r="N11" s="49">
        <v>1</v>
      </c>
    </row>
    <row r="12" spans="1:14" outlineLevel="1" x14ac:dyDescent="0.2">
      <c r="A12" s="46">
        <v>3</v>
      </c>
      <c r="B12" s="47" t="s">
        <v>24</v>
      </c>
      <c r="C12" s="48"/>
      <c r="D12" s="48"/>
      <c r="E12" s="48"/>
      <c r="F12" s="49">
        <v>1</v>
      </c>
      <c r="G12" s="49">
        <v>1</v>
      </c>
      <c r="H12" s="49">
        <v>1</v>
      </c>
      <c r="I12" s="49">
        <v>1</v>
      </c>
      <c r="J12" s="49">
        <v>1</v>
      </c>
      <c r="K12" s="49">
        <v>1</v>
      </c>
      <c r="L12" s="49">
        <v>1</v>
      </c>
      <c r="M12" s="49">
        <v>1</v>
      </c>
      <c r="N12" s="49">
        <v>1</v>
      </c>
    </row>
    <row r="13" spans="1:14" outlineLevel="1" x14ac:dyDescent="0.2">
      <c r="A13" s="46">
        <v>4</v>
      </c>
      <c r="B13" s="47" t="s">
        <v>121</v>
      </c>
      <c r="C13" s="48"/>
      <c r="D13" s="48"/>
      <c r="E13" s="48"/>
      <c r="F13" s="48">
        <v>0.05</v>
      </c>
      <c r="G13" s="48">
        <v>0.1</v>
      </c>
      <c r="H13" s="48">
        <v>0.05</v>
      </c>
      <c r="I13" s="48">
        <v>0.1</v>
      </c>
      <c r="J13" s="48"/>
      <c r="K13" s="48">
        <v>0.05</v>
      </c>
      <c r="L13" s="48">
        <v>0.05</v>
      </c>
      <c r="M13" s="48">
        <v>0.1</v>
      </c>
      <c r="N13" s="48">
        <v>0.25</v>
      </c>
    </row>
    <row r="14" spans="1:14" ht="27.75" customHeight="1" x14ac:dyDescent="0.2">
      <c r="A14" s="43" t="s">
        <v>102</v>
      </c>
      <c r="B14" s="44" t="s">
        <v>98</v>
      </c>
      <c r="C14" s="45">
        <v>0</v>
      </c>
      <c r="D14" s="45">
        <v>0</v>
      </c>
      <c r="E14" s="45">
        <v>0</v>
      </c>
      <c r="F14" s="45">
        <f>+SUM(F16:F21)+F30</f>
        <v>0.3</v>
      </c>
      <c r="G14" s="45">
        <f>+SUM(G16:G21)+G30</f>
        <v>0.3</v>
      </c>
      <c r="H14" s="45">
        <f>+SUM(H16:H21)+H30</f>
        <v>0.3</v>
      </c>
      <c r="I14" s="45">
        <f>+SUM(I16:I21)+I30</f>
        <v>0.3</v>
      </c>
      <c r="J14" s="45">
        <v>0</v>
      </c>
      <c r="K14" s="45">
        <f>+SUM(K16:K21)+K30</f>
        <v>0.3</v>
      </c>
      <c r="L14" s="45">
        <f>+SUM(L16:L21)+L30</f>
        <v>0.3</v>
      </c>
      <c r="M14" s="45">
        <f>+SUM(M16:M21)+M30</f>
        <v>0.3</v>
      </c>
      <c r="N14" s="45">
        <f>+SUM(N16:N21)+N30</f>
        <v>0</v>
      </c>
    </row>
    <row r="15" spans="1:14" outlineLevel="1" x14ac:dyDescent="0.2">
      <c r="A15" s="46">
        <v>1</v>
      </c>
      <c r="B15" s="50" t="s">
        <v>216</v>
      </c>
      <c r="C15" s="48"/>
      <c r="D15" s="48"/>
      <c r="E15" s="48"/>
      <c r="F15" s="49">
        <v>1</v>
      </c>
      <c r="G15" s="49">
        <v>1</v>
      </c>
      <c r="H15" s="49">
        <v>1</v>
      </c>
      <c r="I15" s="49">
        <v>1</v>
      </c>
      <c r="J15" s="49">
        <v>1</v>
      </c>
      <c r="K15" s="49">
        <v>1</v>
      </c>
      <c r="L15" s="49">
        <v>1</v>
      </c>
      <c r="M15" s="49">
        <v>1</v>
      </c>
      <c r="N15" s="49">
        <v>1</v>
      </c>
    </row>
    <row r="16" spans="1:14" outlineLevel="1" x14ac:dyDescent="0.2">
      <c r="A16" s="46">
        <v>1</v>
      </c>
      <c r="B16" s="50" t="s">
        <v>122</v>
      </c>
      <c r="C16" s="48"/>
      <c r="D16" s="48"/>
      <c r="E16" s="48"/>
      <c r="F16" s="48">
        <v>0.06</v>
      </c>
      <c r="G16" s="48">
        <v>0.06</v>
      </c>
      <c r="H16" s="48">
        <v>0.06</v>
      </c>
      <c r="I16" s="48">
        <v>0.06</v>
      </c>
      <c r="J16" s="48">
        <v>0.06</v>
      </c>
      <c r="K16" s="48">
        <v>0.06</v>
      </c>
      <c r="L16" s="48">
        <v>0.06</v>
      </c>
      <c r="M16" s="48">
        <v>0.06</v>
      </c>
      <c r="N16" s="51">
        <v>0</v>
      </c>
    </row>
    <row r="17" spans="1:14" outlineLevel="1" x14ac:dyDescent="0.2">
      <c r="A17" s="46">
        <v>2</v>
      </c>
      <c r="B17" s="50" t="s">
        <v>125</v>
      </c>
      <c r="C17" s="48"/>
      <c r="D17" s="48"/>
      <c r="E17" s="48"/>
      <c r="F17" s="48">
        <v>0.05</v>
      </c>
      <c r="G17" s="48">
        <v>0.05</v>
      </c>
      <c r="H17" s="48">
        <v>0.05</v>
      </c>
      <c r="I17" s="48">
        <v>0.05</v>
      </c>
      <c r="J17" s="48">
        <v>0.05</v>
      </c>
      <c r="K17" s="48">
        <v>0.05</v>
      </c>
      <c r="L17" s="48">
        <v>0.05</v>
      </c>
      <c r="M17" s="48">
        <v>0.05</v>
      </c>
      <c r="N17" s="51">
        <v>0</v>
      </c>
    </row>
    <row r="18" spans="1:14" outlineLevel="1" x14ac:dyDescent="0.2">
      <c r="A18" s="46">
        <v>3</v>
      </c>
      <c r="B18" s="50" t="s">
        <v>128</v>
      </c>
      <c r="C18" s="48"/>
      <c r="D18" s="48"/>
      <c r="E18" s="48"/>
      <c r="F18" s="48">
        <v>0.05</v>
      </c>
      <c r="G18" s="48">
        <v>0.05</v>
      </c>
      <c r="H18" s="48">
        <v>0.05</v>
      </c>
      <c r="I18" s="48">
        <v>0.05</v>
      </c>
      <c r="J18" s="48">
        <v>0.05</v>
      </c>
      <c r="K18" s="48">
        <v>0.05</v>
      </c>
      <c r="L18" s="48">
        <v>0.05</v>
      </c>
      <c r="M18" s="48">
        <v>0.05</v>
      </c>
      <c r="N18" s="51">
        <v>0</v>
      </c>
    </row>
    <row r="19" spans="1:14" outlineLevel="1" x14ac:dyDescent="0.2">
      <c r="A19" s="46">
        <v>4</v>
      </c>
      <c r="B19" s="50" t="s">
        <v>131</v>
      </c>
      <c r="C19" s="48"/>
      <c r="D19" s="48"/>
      <c r="E19" s="48"/>
      <c r="F19" s="48">
        <v>0.03</v>
      </c>
      <c r="G19" s="48">
        <v>0.03</v>
      </c>
      <c r="H19" s="48">
        <v>0.03</v>
      </c>
      <c r="I19" s="48">
        <v>0.03</v>
      </c>
      <c r="J19" s="48">
        <v>0.03</v>
      </c>
      <c r="K19" s="48">
        <v>0.03</v>
      </c>
      <c r="L19" s="48">
        <v>0.03</v>
      </c>
      <c r="M19" s="48">
        <v>0.03</v>
      </c>
      <c r="N19" s="51">
        <v>0</v>
      </c>
    </row>
    <row r="20" spans="1:14" outlineLevel="1" x14ac:dyDescent="0.2">
      <c r="A20" s="46">
        <v>5</v>
      </c>
      <c r="B20" s="50" t="s">
        <v>134</v>
      </c>
      <c r="C20" s="48"/>
      <c r="D20" s="48"/>
      <c r="E20" s="48"/>
      <c r="F20" s="48">
        <v>0.03</v>
      </c>
      <c r="G20" s="48">
        <v>0.03</v>
      </c>
      <c r="H20" s="48">
        <v>0.03</v>
      </c>
      <c r="I20" s="48">
        <v>0.03</v>
      </c>
      <c r="J20" s="48">
        <v>0.03</v>
      </c>
      <c r="K20" s="48">
        <v>0.03</v>
      </c>
      <c r="L20" s="48">
        <v>0.03</v>
      </c>
      <c r="M20" s="48">
        <v>0.03</v>
      </c>
      <c r="N20" s="51">
        <v>0</v>
      </c>
    </row>
    <row r="21" spans="1:14" outlineLevel="1" x14ac:dyDescent="0.2">
      <c r="A21" s="46">
        <v>6</v>
      </c>
      <c r="B21" s="50" t="s">
        <v>137</v>
      </c>
      <c r="C21" s="48"/>
      <c r="D21" s="48"/>
      <c r="E21" s="48"/>
      <c r="F21" s="48">
        <v>0.03</v>
      </c>
      <c r="G21" s="48">
        <v>0.03</v>
      </c>
      <c r="H21" s="48">
        <v>0.03</v>
      </c>
      <c r="I21" s="48">
        <v>0.03</v>
      </c>
      <c r="J21" s="48">
        <v>0.03</v>
      </c>
      <c r="K21" s="48">
        <v>0.03</v>
      </c>
      <c r="L21" s="48">
        <v>0.03</v>
      </c>
      <c r="M21" s="48">
        <v>0.03</v>
      </c>
      <c r="N21" s="51">
        <v>0</v>
      </c>
    </row>
    <row r="22" spans="1:14" outlineLevel="1" x14ac:dyDescent="0.2">
      <c r="A22" s="46">
        <v>12</v>
      </c>
      <c r="B22" s="47" t="s">
        <v>89</v>
      </c>
      <c r="C22" s="48"/>
      <c r="D22" s="48"/>
      <c r="E22" s="48"/>
      <c r="F22" s="49">
        <v>0.1</v>
      </c>
      <c r="G22" s="49">
        <v>0.1</v>
      </c>
      <c r="H22" s="49">
        <v>0.1</v>
      </c>
      <c r="I22" s="49">
        <v>0.1</v>
      </c>
      <c r="J22" s="49">
        <v>0.1</v>
      </c>
      <c r="K22" s="49">
        <v>0.1</v>
      </c>
      <c r="L22" s="49">
        <v>0.1</v>
      </c>
      <c r="M22" s="49">
        <v>0.1</v>
      </c>
      <c r="N22" s="49">
        <v>0.1</v>
      </c>
    </row>
    <row r="23" spans="1:14" outlineLevel="1" x14ac:dyDescent="0.2">
      <c r="A23" s="46">
        <v>13</v>
      </c>
      <c r="B23" s="47" t="s">
        <v>88</v>
      </c>
      <c r="C23" s="48"/>
      <c r="D23" s="48"/>
      <c r="E23" s="48"/>
      <c r="F23" s="49">
        <v>0.1</v>
      </c>
      <c r="G23" s="49">
        <v>0.1</v>
      </c>
      <c r="H23" s="49">
        <v>0.1</v>
      </c>
      <c r="I23" s="49">
        <v>0.1</v>
      </c>
      <c r="J23" s="49">
        <v>0.1</v>
      </c>
      <c r="K23" s="49">
        <v>0.1</v>
      </c>
      <c r="L23" s="49">
        <v>0.1</v>
      </c>
      <c r="M23" s="49">
        <v>0.1</v>
      </c>
      <c r="N23" s="49">
        <v>0.1</v>
      </c>
    </row>
    <row r="24" spans="1:14" outlineLevel="1" x14ac:dyDescent="0.2">
      <c r="A24" s="46">
        <v>14</v>
      </c>
      <c r="B24" s="47" t="s">
        <v>90</v>
      </c>
      <c r="C24" s="48"/>
      <c r="D24" s="48"/>
      <c r="E24" s="48"/>
      <c r="F24" s="49">
        <v>0.1</v>
      </c>
      <c r="G24" s="49">
        <v>0.1</v>
      </c>
      <c r="H24" s="49">
        <v>0.1</v>
      </c>
      <c r="I24" s="49">
        <v>0.1</v>
      </c>
      <c r="J24" s="49">
        <v>0.1</v>
      </c>
      <c r="K24" s="49">
        <v>0.1</v>
      </c>
      <c r="L24" s="49">
        <v>0.1</v>
      </c>
      <c r="M24" s="49">
        <v>0.1</v>
      </c>
      <c r="N24" s="49">
        <v>0.1</v>
      </c>
    </row>
    <row r="25" spans="1:14" outlineLevel="1" x14ac:dyDescent="0.2">
      <c r="A25" s="46">
        <v>15</v>
      </c>
      <c r="B25" s="47" t="s">
        <v>91</v>
      </c>
      <c r="C25" s="48"/>
      <c r="D25" s="48"/>
      <c r="E25" s="48"/>
      <c r="F25" s="49">
        <v>0.1</v>
      </c>
      <c r="G25" s="49">
        <v>0.1</v>
      </c>
      <c r="H25" s="49">
        <v>0.1</v>
      </c>
      <c r="I25" s="49">
        <v>0.1</v>
      </c>
      <c r="J25" s="49">
        <v>0.1</v>
      </c>
      <c r="K25" s="49">
        <v>0.1</v>
      </c>
      <c r="L25" s="49">
        <v>0.1</v>
      </c>
      <c r="M25" s="49">
        <v>0.1</v>
      </c>
      <c r="N25" s="49">
        <v>0.1</v>
      </c>
    </row>
    <row r="26" spans="1:14" outlineLevel="1" x14ac:dyDescent="0.2">
      <c r="A26" s="46">
        <v>16</v>
      </c>
      <c r="B26" s="47" t="s">
        <v>25</v>
      </c>
      <c r="C26" s="48"/>
      <c r="D26" s="48"/>
      <c r="E26" s="48"/>
      <c r="F26" s="49">
        <v>0.1</v>
      </c>
      <c r="G26" s="49">
        <v>0.1</v>
      </c>
      <c r="H26" s="49">
        <v>0.1</v>
      </c>
      <c r="I26" s="49">
        <v>0.1</v>
      </c>
      <c r="J26" s="49">
        <v>0.1</v>
      </c>
      <c r="K26" s="49">
        <v>0.1</v>
      </c>
      <c r="L26" s="49">
        <v>0.1</v>
      </c>
      <c r="M26" s="49">
        <v>0.1</v>
      </c>
      <c r="N26" s="49">
        <v>0.1</v>
      </c>
    </row>
    <row r="27" spans="1:14" outlineLevel="1" x14ac:dyDescent="0.2">
      <c r="A27" s="46">
        <v>17</v>
      </c>
      <c r="B27" s="47" t="s">
        <v>26</v>
      </c>
      <c r="C27" s="48"/>
      <c r="D27" s="48"/>
      <c r="E27" s="48"/>
      <c r="F27" s="49">
        <v>0.1</v>
      </c>
      <c r="G27" s="49">
        <v>0.1</v>
      </c>
      <c r="H27" s="49">
        <v>0.1</v>
      </c>
      <c r="I27" s="49">
        <v>0.1</v>
      </c>
      <c r="J27" s="49">
        <v>0.1</v>
      </c>
      <c r="K27" s="49">
        <v>0.1</v>
      </c>
      <c r="L27" s="49">
        <v>0.1</v>
      </c>
      <c r="M27" s="49">
        <v>0.1</v>
      </c>
      <c r="N27" s="49">
        <v>0.1</v>
      </c>
    </row>
    <row r="28" spans="1:14" outlineLevel="1" x14ac:dyDescent="0.2">
      <c r="A28" s="46">
        <v>18</v>
      </c>
      <c r="B28" s="47" t="s">
        <v>198</v>
      </c>
      <c r="C28" s="48"/>
      <c r="D28" s="48"/>
      <c r="E28" s="48"/>
      <c r="F28" s="49">
        <v>0.1</v>
      </c>
      <c r="G28" s="49">
        <v>0.1</v>
      </c>
      <c r="H28" s="49">
        <v>0.1</v>
      </c>
      <c r="I28" s="49">
        <v>0.1</v>
      </c>
      <c r="J28" s="49">
        <v>0.1</v>
      </c>
      <c r="K28" s="49">
        <v>0.1</v>
      </c>
      <c r="L28" s="49">
        <v>0.1</v>
      </c>
      <c r="M28" s="49">
        <v>0.1</v>
      </c>
      <c r="N28" s="49">
        <v>0.1</v>
      </c>
    </row>
    <row r="29" spans="1:14" outlineLevel="1" x14ac:dyDescent="0.2">
      <c r="A29" s="46">
        <v>19</v>
      </c>
      <c r="B29" s="47" t="s">
        <v>185</v>
      </c>
      <c r="C29" s="48"/>
      <c r="D29" s="48"/>
      <c r="E29" s="48"/>
      <c r="F29" s="49">
        <v>0.1</v>
      </c>
      <c r="G29" s="49">
        <v>0.1</v>
      </c>
      <c r="H29" s="49">
        <v>0.1</v>
      </c>
      <c r="I29" s="49">
        <v>0.1</v>
      </c>
      <c r="J29" s="49">
        <v>0.1</v>
      </c>
      <c r="K29" s="49">
        <v>0.1</v>
      </c>
      <c r="L29" s="49">
        <v>0.1</v>
      </c>
      <c r="M29" s="49">
        <v>0.1</v>
      </c>
      <c r="N29" s="49">
        <v>0.1</v>
      </c>
    </row>
    <row r="30" spans="1:14" outlineLevel="1" x14ac:dyDescent="0.2">
      <c r="A30" s="46">
        <v>20</v>
      </c>
      <c r="B30" s="47" t="s">
        <v>87</v>
      </c>
      <c r="C30" s="48"/>
      <c r="D30" s="48"/>
      <c r="E30" s="48"/>
      <c r="F30" s="48">
        <v>0.05</v>
      </c>
      <c r="G30" s="48">
        <v>0.05</v>
      </c>
      <c r="H30" s="48">
        <v>0.05</v>
      </c>
      <c r="I30" s="48">
        <v>0.05</v>
      </c>
      <c r="J30" s="48">
        <v>0.05</v>
      </c>
      <c r="K30" s="48">
        <v>0.05</v>
      </c>
      <c r="L30" s="48">
        <v>0.05</v>
      </c>
      <c r="M30" s="48">
        <v>0.05</v>
      </c>
      <c r="N30" s="51">
        <v>0</v>
      </c>
    </row>
    <row r="31" spans="1:14" x14ac:dyDescent="0.2">
      <c r="A31" s="43" t="s">
        <v>106</v>
      </c>
      <c r="B31" s="44" t="s">
        <v>99</v>
      </c>
      <c r="C31" s="45">
        <v>0</v>
      </c>
      <c r="D31" s="45">
        <v>0</v>
      </c>
      <c r="E31" s="45">
        <v>0</v>
      </c>
      <c r="F31" s="45">
        <f>F32</f>
        <v>0.25</v>
      </c>
      <c r="G31" s="45">
        <f t="shared" ref="G31:N31" si="0">G32</f>
        <v>0.25</v>
      </c>
      <c r="H31" s="45">
        <f t="shared" si="0"/>
        <v>0.25</v>
      </c>
      <c r="I31" s="45">
        <f t="shared" si="0"/>
        <v>0.25</v>
      </c>
      <c r="J31" s="45">
        <f t="shared" si="0"/>
        <v>0.25</v>
      </c>
      <c r="K31" s="45">
        <f t="shared" si="0"/>
        <v>0.25</v>
      </c>
      <c r="L31" s="45">
        <f t="shared" si="0"/>
        <v>0.25</v>
      </c>
      <c r="M31" s="45">
        <f t="shared" si="0"/>
        <v>0.25</v>
      </c>
      <c r="N31" s="45">
        <f t="shared" si="0"/>
        <v>0.25</v>
      </c>
    </row>
    <row r="32" spans="1:14" outlineLevel="1" x14ac:dyDescent="0.2">
      <c r="A32" s="46">
        <v>4</v>
      </c>
      <c r="B32" s="47" t="s">
        <v>84</v>
      </c>
      <c r="C32" s="48"/>
      <c r="D32" s="48"/>
      <c r="E32" s="48"/>
      <c r="F32" s="48">
        <v>0.25</v>
      </c>
      <c r="G32" s="48">
        <v>0.25</v>
      </c>
      <c r="H32" s="48">
        <v>0.25</v>
      </c>
      <c r="I32" s="48">
        <v>0.25</v>
      </c>
      <c r="J32" s="48">
        <v>0.25</v>
      </c>
      <c r="K32" s="48">
        <v>0.25</v>
      </c>
      <c r="L32" s="48">
        <v>0.25</v>
      </c>
      <c r="M32" s="48">
        <v>0.25</v>
      </c>
      <c r="N32" s="48">
        <v>0.25</v>
      </c>
    </row>
    <row r="33" spans="1:14" outlineLevel="1" x14ac:dyDescent="0.2">
      <c r="A33" s="46">
        <v>5</v>
      </c>
      <c r="B33" s="47" t="s">
        <v>85</v>
      </c>
      <c r="C33" s="48"/>
      <c r="D33" s="48"/>
      <c r="E33" s="48"/>
      <c r="F33" s="49">
        <v>0.05</v>
      </c>
      <c r="G33" s="49">
        <v>0.05</v>
      </c>
      <c r="H33" s="49">
        <v>0.05</v>
      </c>
      <c r="I33" s="49">
        <v>0.05</v>
      </c>
      <c r="J33" s="48"/>
      <c r="K33" s="49">
        <v>0.05</v>
      </c>
      <c r="L33" s="49">
        <v>0.05</v>
      </c>
      <c r="M33" s="49">
        <v>0.05</v>
      </c>
      <c r="N33" s="49">
        <v>0.05</v>
      </c>
    </row>
    <row r="34" spans="1:14" x14ac:dyDescent="0.2">
      <c r="A34" s="43" t="s">
        <v>107</v>
      </c>
      <c r="B34" s="44" t="s">
        <v>105</v>
      </c>
      <c r="C34" s="45">
        <v>0</v>
      </c>
      <c r="D34" s="45">
        <v>0</v>
      </c>
      <c r="E34" s="45">
        <v>0</v>
      </c>
      <c r="F34" s="45">
        <v>0</v>
      </c>
      <c r="G34" s="45">
        <v>0</v>
      </c>
      <c r="H34" s="45">
        <v>0</v>
      </c>
      <c r="I34" s="45">
        <v>0</v>
      </c>
      <c r="J34" s="45">
        <v>0</v>
      </c>
      <c r="K34" s="45">
        <v>0</v>
      </c>
      <c r="L34" s="45">
        <v>0</v>
      </c>
      <c r="M34" s="45">
        <v>0</v>
      </c>
      <c r="N34" s="45">
        <v>0</v>
      </c>
    </row>
    <row r="35" spans="1:14" outlineLevel="1" x14ac:dyDescent="0.2">
      <c r="A35" s="46">
        <v>5</v>
      </c>
      <c r="B35" s="52" t="s">
        <v>147</v>
      </c>
      <c r="C35" s="48"/>
      <c r="D35" s="48"/>
      <c r="E35" s="48"/>
      <c r="F35" s="53">
        <v>0.05</v>
      </c>
      <c r="G35" s="53">
        <v>0.05</v>
      </c>
      <c r="H35" s="53">
        <v>0.05</v>
      </c>
      <c r="I35" s="53">
        <v>0.05</v>
      </c>
      <c r="J35" s="53"/>
      <c r="K35" s="53">
        <v>0.05</v>
      </c>
      <c r="L35" s="53">
        <v>0.05</v>
      </c>
      <c r="M35" s="53">
        <v>0.05</v>
      </c>
      <c r="N35" s="53">
        <v>0.05</v>
      </c>
    </row>
    <row r="36" spans="1:14" x14ac:dyDescent="0.2">
      <c r="A36" s="43" t="s">
        <v>157</v>
      </c>
      <c r="B36" s="44" t="s">
        <v>108</v>
      </c>
      <c r="C36" s="45">
        <v>0</v>
      </c>
      <c r="D36" s="45">
        <v>0</v>
      </c>
      <c r="E36" s="45">
        <v>0</v>
      </c>
      <c r="F36" s="45">
        <f>F37+F38+F39</f>
        <v>0.30000000000000004</v>
      </c>
      <c r="G36" s="45">
        <f t="shared" ref="G36:N36" si="1">G37+G38+G39</f>
        <v>0.2</v>
      </c>
      <c r="H36" s="45">
        <f t="shared" si="1"/>
        <v>0.30000000000000004</v>
      </c>
      <c r="I36" s="45">
        <f t="shared" si="1"/>
        <v>0.2</v>
      </c>
      <c r="J36" s="45">
        <f t="shared" si="1"/>
        <v>0.30000000000000004</v>
      </c>
      <c r="K36" s="45">
        <f t="shared" si="1"/>
        <v>0.30000000000000004</v>
      </c>
      <c r="L36" s="45">
        <f t="shared" si="1"/>
        <v>0.30000000000000004</v>
      </c>
      <c r="M36" s="45">
        <f t="shared" si="1"/>
        <v>0.2</v>
      </c>
      <c r="N36" s="45">
        <f t="shared" si="1"/>
        <v>0.35</v>
      </c>
    </row>
    <row r="37" spans="1:14" outlineLevel="1" x14ac:dyDescent="0.2">
      <c r="A37" s="46">
        <v>6</v>
      </c>
      <c r="B37" s="47" t="s">
        <v>94</v>
      </c>
      <c r="C37" s="48"/>
      <c r="D37" s="48"/>
      <c r="E37" s="48"/>
      <c r="F37" s="48">
        <v>0.1</v>
      </c>
      <c r="G37" s="48">
        <v>0.05</v>
      </c>
      <c r="H37" s="48">
        <v>0.1</v>
      </c>
      <c r="I37" s="48">
        <v>0.05</v>
      </c>
      <c r="J37" s="48">
        <v>0.1</v>
      </c>
      <c r="K37" s="48">
        <v>0.1</v>
      </c>
      <c r="L37" s="48">
        <v>0.1</v>
      </c>
      <c r="M37" s="48">
        <v>0.05</v>
      </c>
      <c r="N37" s="48">
        <v>0.1</v>
      </c>
    </row>
    <row r="38" spans="1:14" outlineLevel="1" x14ac:dyDescent="0.2">
      <c r="A38" s="46">
        <v>7</v>
      </c>
      <c r="B38" s="47" t="s">
        <v>95</v>
      </c>
      <c r="C38" s="48"/>
      <c r="D38" s="48"/>
      <c r="E38" s="48"/>
      <c r="F38" s="48">
        <v>0.1</v>
      </c>
      <c r="G38" s="48">
        <v>0.05</v>
      </c>
      <c r="H38" s="48">
        <v>0.1</v>
      </c>
      <c r="I38" s="48">
        <v>0.05</v>
      </c>
      <c r="J38" s="48">
        <v>0.1</v>
      </c>
      <c r="K38" s="48">
        <v>0.1</v>
      </c>
      <c r="L38" s="48">
        <v>0.1</v>
      </c>
      <c r="M38" s="48">
        <v>0.05</v>
      </c>
      <c r="N38" s="48">
        <v>0.1</v>
      </c>
    </row>
    <row r="39" spans="1:14" outlineLevel="1" x14ac:dyDescent="0.2">
      <c r="A39" s="46">
        <v>8</v>
      </c>
      <c r="B39" s="47" t="s">
        <v>109</v>
      </c>
      <c r="C39" s="48"/>
      <c r="D39" s="48"/>
      <c r="E39" s="48"/>
      <c r="F39" s="48">
        <v>0.1</v>
      </c>
      <c r="G39" s="48">
        <v>0.1</v>
      </c>
      <c r="H39" s="48">
        <v>0.1</v>
      </c>
      <c r="I39" s="48">
        <v>0.1</v>
      </c>
      <c r="J39" s="48">
        <v>0.1</v>
      </c>
      <c r="K39" s="48">
        <v>0.1</v>
      </c>
      <c r="L39" s="48">
        <v>0.1</v>
      </c>
      <c r="M39" s="48">
        <v>0.1</v>
      </c>
      <c r="N39" s="48">
        <v>0.15</v>
      </c>
    </row>
    <row r="40" spans="1:14" x14ac:dyDescent="0.2">
      <c r="A40" s="43" t="s">
        <v>156</v>
      </c>
      <c r="B40" s="44" t="s">
        <v>110</v>
      </c>
      <c r="C40" s="45">
        <v>0.05</v>
      </c>
      <c r="D40" s="45">
        <v>0.05</v>
      </c>
      <c r="E40" s="45">
        <v>0</v>
      </c>
      <c r="F40" s="45">
        <v>0</v>
      </c>
      <c r="G40" s="45">
        <v>0</v>
      </c>
      <c r="H40" s="45">
        <v>0</v>
      </c>
      <c r="I40" s="45">
        <v>0</v>
      </c>
      <c r="J40" s="45">
        <v>0</v>
      </c>
      <c r="K40" s="45">
        <v>0</v>
      </c>
      <c r="L40" s="45">
        <v>0</v>
      </c>
      <c r="M40" s="45">
        <v>0</v>
      </c>
      <c r="N40" s="45">
        <v>0</v>
      </c>
    </row>
    <row r="41" spans="1:14" outlineLevel="1" x14ac:dyDescent="0.2">
      <c r="A41" s="46">
        <v>2</v>
      </c>
      <c r="B41" s="47" t="s">
        <v>111</v>
      </c>
      <c r="C41" s="48"/>
      <c r="D41" s="48"/>
      <c r="E41" s="48"/>
      <c r="F41" s="53">
        <v>0.05</v>
      </c>
      <c r="G41" s="53">
        <v>0.05</v>
      </c>
      <c r="H41" s="53">
        <v>0.05</v>
      </c>
      <c r="I41" s="53">
        <v>0.05</v>
      </c>
      <c r="J41" s="48"/>
      <c r="K41" s="53">
        <v>0.05</v>
      </c>
      <c r="L41" s="53">
        <v>0.05</v>
      </c>
      <c r="M41" s="53">
        <v>0.05</v>
      </c>
      <c r="N41" s="53">
        <v>0.05</v>
      </c>
    </row>
    <row r="43" spans="1:14" x14ac:dyDescent="0.2">
      <c r="F43" s="54">
        <f>+F9+F14+F31+F34+F36</f>
        <v>1</v>
      </c>
      <c r="G43" s="54">
        <f>+G9+G14+G31+G34+G36</f>
        <v>1</v>
      </c>
      <c r="H43" s="54">
        <f>+H9+H14+H31+H34+H36</f>
        <v>1</v>
      </c>
      <c r="I43" s="54">
        <f>+I9+I14+I31+I34+I36</f>
        <v>1</v>
      </c>
      <c r="K43" s="54">
        <f>+K9+K14+K31+K34+K36</f>
        <v>1</v>
      </c>
      <c r="L43" s="54">
        <f>+L9+L14+L31+L34+L36</f>
        <v>1</v>
      </c>
      <c r="M43" s="54">
        <f>+M9+M14+M31+M34+M36</f>
        <v>1</v>
      </c>
      <c r="N43" s="54">
        <f>+N9+N14+N31+N34+N36</f>
        <v>1</v>
      </c>
    </row>
    <row r="44" spans="1:14" x14ac:dyDescent="0.2">
      <c r="F44" s="54">
        <f>1-F43</f>
        <v>0</v>
      </c>
      <c r="G44" s="54">
        <f t="shared" ref="G44:N44" si="2">1-G43</f>
        <v>0</v>
      </c>
      <c r="H44" s="54">
        <f t="shared" si="2"/>
        <v>0</v>
      </c>
      <c r="I44" s="54">
        <f t="shared" si="2"/>
        <v>0</v>
      </c>
      <c r="J44" s="54">
        <f t="shared" si="2"/>
        <v>1</v>
      </c>
      <c r="K44" s="54">
        <f t="shared" si="2"/>
        <v>0</v>
      </c>
      <c r="L44" s="54">
        <f t="shared" si="2"/>
        <v>0</v>
      </c>
      <c r="M44" s="54">
        <f t="shared" si="2"/>
        <v>0</v>
      </c>
      <c r="N44" s="54">
        <f t="shared" si="2"/>
        <v>0</v>
      </c>
    </row>
  </sheetData>
  <sheetProtection selectLockedCells="1"/>
  <mergeCells count="5">
    <mergeCell ref="I1:J1"/>
    <mergeCell ref="I2:J2"/>
    <mergeCell ref="I3:J3"/>
    <mergeCell ref="B1:H3"/>
    <mergeCell ref="A5:J5"/>
  </mergeCells>
  <pageMargins left="0.7" right="0.7" top="0.75" bottom="0.75" header="0.3" footer="0.3"/>
  <pageSetup paperSize="9" scale="40"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74"/>
  <sheetViews>
    <sheetView workbookViewId="0">
      <selection activeCell="B14" sqref="B14"/>
    </sheetView>
  </sheetViews>
  <sheetFormatPr baseColWidth="10" defaultRowHeight="15" x14ac:dyDescent="0.25"/>
  <cols>
    <col min="1" max="1" width="11.42578125" style="24"/>
    <col min="2" max="2" width="71.42578125" style="24" customWidth="1"/>
    <col min="3" max="16384" width="11.42578125" style="24"/>
  </cols>
  <sheetData>
    <row r="2" spans="2:2" x14ac:dyDescent="0.25">
      <c r="B2" s="11" t="s">
        <v>23</v>
      </c>
    </row>
    <row r="3" spans="2:2" x14ac:dyDescent="0.25">
      <c r="B3" s="24" t="s">
        <v>27</v>
      </c>
    </row>
    <row r="4" spans="2:2" x14ac:dyDescent="0.25">
      <c r="B4" s="24" t="s">
        <v>28</v>
      </c>
    </row>
    <row r="6" spans="2:2" x14ac:dyDescent="0.25">
      <c r="B6" s="11" t="s">
        <v>24</v>
      </c>
    </row>
    <row r="7" spans="2:2" x14ac:dyDescent="0.25">
      <c r="B7" s="24" t="s">
        <v>29</v>
      </c>
    </row>
    <row r="8" spans="2:2" x14ac:dyDescent="0.25">
      <c r="B8" s="24" t="s">
        <v>30</v>
      </c>
    </row>
    <row r="9" spans="2:2" x14ac:dyDescent="0.25">
      <c r="B9" s="24" t="s">
        <v>207</v>
      </c>
    </row>
    <row r="11" spans="2:2" x14ac:dyDescent="0.25">
      <c r="B11" s="11" t="s">
        <v>25</v>
      </c>
    </row>
    <row r="12" spans="2:2" x14ac:dyDescent="0.25">
      <c r="B12" s="24" t="s">
        <v>31</v>
      </c>
    </row>
    <row r="13" spans="2:2" x14ac:dyDescent="0.25">
      <c r="B13" s="24" t="s">
        <v>32</v>
      </c>
    </row>
    <row r="15" spans="2:2" x14ac:dyDescent="0.25">
      <c r="B15" s="11" t="s">
        <v>26</v>
      </c>
    </row>
    <row r="16" spans="2:2" x14ac:dyDescent="0.25">
      <c r="B16" s="24" t="s">
        <v>33</v>
      </c>
    </row>
    <row r="17" spans="2:2" x14ac:dyDescent="0.25">
      <c r="B17" s="24" t="s">
        <v>34</v>
      </c>
    </row>
    <row r="19" spans="2:2" x14ac:dyDescent="0.25">
      <c r="B19" s="11" t="s">
        <v>36</v>
      </c>
    </row>
    <row r="20" spans="2:2" x14ac:dyDescent="0.25">
      <c r="B20" s="25" t="s">
        <v>37</v>
      </c>
    </row>
    <row r="21" spans="2:2" x14ac:dyDescent="0.25">
      <c r="B21" s="26" t="s">
        <v>38</v>
      </c>
    </row>
    <row r="22" spans="2:2" x14ac:dyDescent="0.25">
      <c r="B22" s="26" t="s">
        <v>39</v>
      </c>
    </row>
    <row r="23" spans="2:2" ht="15.75" thickBot="1" x14ac:dyDescent="0.3">
      <c r="B23" s="27" t="s">
        <v>40</v>
      </c>
    </row>
    <row r="26" spans="2:2" x14ac:dyDescent="0.25">
      <c r="B26" s="11" t="s">
        <v>46</v>
      </c>
    </row>
    <row r="27" spans="2:2" x14ac:dyDescent="0.25">
      <c r="B27" s="28" t="s">
        <v>42</v>
      </c>
    </row>
    <row r="28" spans="2:2" x14ac:dyDescent="0.25">
      <c r="B28" s="29" t="s">
        <v>43</v>
      </c>
    </row>
    <row r="29" spans="2:2" x14ac:dyDescent="0.25">
      <c r="B29" s="29" t="s">
        <v>44</v>
      </c>
    </row>
    <row r="30" spans="2:2" ht="15.75" thickBot="1" x14ac:dyDescent="0.3">
      <c r="B30" s="30" t="s">
        <v>45</v>
      </c>
    </row>
    <row r="32" spans="2:2" x14ac:dyDescent="0.25">
      <c r="B32" s="24" t="s">
        <v>49</v>
      </c>
    </row>
    <row r="33" spans="2:2" x14ac:dyDescent="0.25">
      <c r="B33" s="24" t="s">
        <v>4</v>
      </c>
    </row>
    <row r="34" spans="2:2" x14ac:dyDescent="0.25">
      <c r="B34" s="24" t="s">
        <v>3</v>
      </c>
    </row>
    <row r="35" spans="2:2" x14ac:dyDescent="0.25">
      <c r="B35" s="24" t="s">
        <v>50</v>
      </c>
    </row>
    <row r="37" spans="2:2" x14ac:dyDescent="0.25">
      <c r="B37" s="11" t="s">
        <v>56</v>
      </c>
    </row>
    <row r="38" spans="2:2" x14ac:dyDescent="0.25">
      <c r="B38" s="28" t="s">
        <v>52</v>
      </c>
    </row>
    <row r="39" spans="2:2" x14ac:dyDescent="0.25">
      <c r="B39" s="29" t="s">
        <v>53</v>
      </c>
    </row>
    <row r="40" spans="2:2" x14ac:dyDescent="0.25">
      <c r="B40" s="29" t="s">
        <v>54</v>
      </c>
    </row>
    <row r="41" spans="2:2" x14ac:dyDescent="0.25">
      <c r="B41" s="29" t="s">
        <v>55</v>
      </c>
    </row>
    <row r="43" spans="2:2" x14ac:dyDescent="0.25">
      <c r="B43" s="24" t="s">
        <v>147</v>
      </c>
    </row>
    <row r="44" spans="2:2" x14ac:dyDescent="0.25">
      <c r="B44" s="24" t="s">
        <v>3</v>
      </c>
    </row>
    <row r="45" spans="2:2" x14ac:dyDescent="0.25">
      <c r="B45" s="24" t="s">
        <v>148</v>
      </c>
    </row>
    <row r="46" spans="2:2" x14ac:dyDescent="0.25">
      <c r="B46" s="24" t="s">
        <v>149</v>
      </c>
    </row>
    <row r="47" spans="2:2" x14ac:dyDescent="0.25">
      <c r="B47" s="24" t="s">
        <v>150</v>
      </c>
    </row>
    <row r="48" spans="2:2" x14ac:dyDescent="0.25">
      <c r="B48" s="24" t="s">
        <v>151</v>
      </c>
    </row>
    <row r="49" spans="2:2" x14ac:dyDescent="0.25">
      <c r="B49" s="24" t="s">
        <v>152</v>
      </c>
    </row>
    <row r="52" spans="2:2" x14ac:dyDescent="0.25">
      <c r="B52" s="24" t="s">
        <v>161</v>
      </c>
    </row>
    <row r="53" spans="2:2" x14ac:dyDescent="0.25">
      <c r="B53" s="1" t="s">
        <v>162</v>
      </c>
    </row>
    <row r="54" spans="2:2" x14ac:dyDescent="0.25">
      <c r="B54" s="1" t="s">
        <v>163</v>
      </c>
    </row>
    <row r="55" spans="2:2" x14ac:dyDescent="0.25">
      <c r="B55" s="1" t="s">
        <v>165</v>
      </c>
    </row>
    <row r="56" spans="2:2" x14ac:dyDescent="0.25">
      <c r="B56" s="1" t="s">
        <v>201</v>
      </c>
    </row>
    <row r="57" spans="2:2" x14ac:dyDescent="0.25">
      <c r="B57" s="1" t="s">
        <v>200</v>
      </c>
    </row>
    <row r="58" spans="2:2" x14ac:dyDescent="0.25">
      <c r="B58" s="1" t="s">
        <v>169</v>
      </c>
    </row>
    <row r="59" spans="2:2" x14ac:dyDescent="0.25">
      <c r="B59" s="1" t="s">
        <v>164</v>
      </c>
    </row>
    <row r="60" spans="2:2" x14ac:dyDescent="0.25">
      <c r="B60" s="1" t="s">
        <v>166</v>
      </c>
    </row>
    <row r="61" spans="2:2" x14ac:dyDescent="0.25">
      <c r="B61" s="24" t="s">
        <v>190</v>
      </c>
    </row>
    <row r="62" spans="2:2" x14ac:dyDescent="0.25">
      <c r="B62" s="24" t="s">
        <v>191</v>
      </c>
    </row>
    <row r="63" spans="2:2" x14ac:dyDescent="0.25">
      <c r="B63" s="24" t="s">
        <v>199</v>
      </c>
    </row>
    <row r="64" spans="2:2" x14ac:dyDescent="0.25">
      <c r="B64" s="24" t="s">
        <v>206</v>
      </c>
    </row>
    <row r="66" spans="2:2" x14ac:dyDescent="0.25">
      <c r="B66" s="24" t="s">
        <v>204</v>
      </c>
    </row>
    <row r="67" spans="2:2" x14ac:dyDescent="0.25">
      <c r="B67" s="24" t="s">
        <v>202</v>
      </c>
    </row>
    <row r="68" spans="2:2" x14ac:dyDescent="0.25">
      <c r="B68" s="24" t="s">
        <v>203</v>
      </c>
    </row>
    <row r="69" spans="2:2" x14ac:dyDescent="0.25">
      <c r="B69" s="24" t="s">
        <v>195</v>
      </c>
    </row>
    <row r="71" spans="2:2" x14ac:dyDescent="0.25">
      <c r="B71" s="24" t="s">
        <v>205</v>
      </c>
    </row>
    <row r="72" spans="2:2" x14ac:dyDescent="0.25">
      <c r="B72" s="24" t="s">
        <v>195</v>
      </c>
    </row>
    <row r="73" spans="2:2" x14ac:dyDescent="0.25">
      <c r="B73" s="24" t="s">
        <v>197</v>
      </c>
    </row>
    <row r="74" spans="2:2" x14ac:dyDescent="0.25">
      <c r="B74" s="24" t="s">
        <v>196</v>
      </c>
    </row>
  </sheetData>
  <sheetProtection algorithmName="SHA-512" hashValue="RYTdiZitr4uPfLTUlOmpklkZq4/GSYKmrSI8JnBEx0ZlB9YBQ01zOo+nZIneLJYPFk8uYPhJ2iBCthKxARkuOw==" saltValue="d5uCdrC7YkzhRIPg2gFWVA==" spinCount="100000" sheet="1" objects="1" scenarios="1"/>
  <sortState ref="B52:B59">
    <sortCondition ref="B52"/>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SAD Formato Maestro" ma:contentTypeID="0x01010014E83F1778104F49A0A3344492D91977009C3169336F18254389719763C0FF64D0" ma:contentTypeVersion="118" ma:contentTypeDescription="" ma:contentTypeScope="" ma:versionID="5d6201093afe6df932285925bff41c53">
  <xsd:schema xmlns:xsd="http://www.w3.org/2001/XMLSchema" xmlns:p="http://schemas.microsoft.com/office/2006/metadata/properties" xmlns:ns2="f999fae2-ab47-4742-bde2-8ac3118eb91a" xmlns:ns3="9336d2ca-641d-4916-8dc8-58ae6051bab2" xmlns:ns4="87f3fb52-4b62-4ddf-9f55-814d46a43703" targetNamespace="http://schemas.microsoft.com/office/2006/metadata/properties" ma:root="true" ma:fieldsID="29d15109ad1d7b73766eab212429ceb1" ns2:_="" ns3:_="" ns4:_="">
    <xsd:import namespace="f999fae2-ab47-4742-bde2-8ac3118eb91a"/>
    <xsd:import namespace="9336d2ca-641d-4916-8dc8-58ae6051bab2"/>
    <xsd:import namespace="87f3fb52-4b62-4ddf-9f55-814d46a43703"/>
    <xsd:element name="properties">
      <xsd:complexType>
        <xsd:sequence>
          <xsd:element name="documentManagement">
            <xsd:complexType>
              <xsd:all>
                <xsd:element ref="ns2:Gerencias" minOccurs="0"/>
                <xsd:element ref="ns2:Areas" minOccurs="0"/>
                <xsd:element ref="ns2:Tipos_x0020_de_x0020_Documentos" minOccurs="0"/>
                <xsd:element ref="ns2:Observaciones" minOccurs="0"/>
                <xsd:element ref="ns3:Visualizadores_x003a_" minOccurs="0"/>
                <xsd:element ref="ns2:Código" minOccurs="0"/>
                <xsd:element ref="ns2:N_x00b0__x0020_Revisión" minOccurs="0"/>
                <xsd:element ref="ns2:Fecha_x0020_de_x0020_vigencia" minOccurs="0"/>
                <xsd:element ref="ns3:Elaborador" minOccurs="0"/>
                <xsd:element ref="ns3:Verificador_x003a_" minOccurs="0"/>
                <xsd:element ref="ns3:Validador_x003a_" minOccurs="0"/>
                <xsd:element ref="ns3:Revisor_x003a_" minOccurs="0"/>
                <xsd:element ref="ns3:Aprobar" minOccurs="0"/>
                <xsd:element ref="ns3:EmailElaborador" minOccurs="0"/>
                <xsd:element ref="ns3:Verificadores_x003a_" minOccurs="0"/>
                <xsd:element ref="ns3:EmailVerificador_x003a_" minOccurs="0"/>
                <xsd:element ref="ns3:Validadores_x003a_" minOccurs="0"/>
                <xsd:element ref="ns3:EmailValidador" minOccurs="0"/>
                <xsd:element ref="ns3:Aprobadores_x003a_" minOccurs="0"/>
                <xsd:element ref="ns3:EmailAprobador" minOccurs="0"/>
                <xsd:element ref="ns3:Revisores" minOccurs="0"/>
                <xsd:element ref="ns3:EmailRevisor_x003a_" minOccurs="0"/>
                <xsd:element ref="ns3:IDEstado" minOccurs="0"/>
                <xsd:element ref="ns3:Ubicación_x0020_de_x0020_Copiar_x0020_Controladas" minOccurs="0"/>
                <xsd:element ref="ns2:Area_x0020__x0028_Abreviatura_x0029_" minOccurs="0"/>
                <xsd:element ref="ns3:Bandeja" minOccurs="0"/>
                <xsd:element ref="ns3:Código_x0020_de_x0020_Tipo_x0020_Documento" minOccurs="0"/>
                <xsd:element ref="ns3:Secuencia" minOccurs="0"/>
                <xsd:element ref="ns2:Estado_x0020_de_x0020_documento" minOccurs="0"/>
                <xsd:element ref="ns3:Modificado_x0020_por_x003a_" minOccurs="0"/>
                <xsd:element ref="ns4:Acceso" minOccurs="0"/>
                <xsd:element ref="ns4:PermisoAsignado" minOccurs="0"/>
                <xsd:element ref="ns3:Elaboradores_x003a_" minOccurs="0"/>
                <xsd:element ref="ns3:Última_x0020_Revisión" minOccurs="0"/>
              </xsd:all>
            </xsd:complexType>
          </xsd:element>
        </xsd:sequence>
      </xsd:complexType>
    </xsd:element>
  </xsd:schema>
  <xsd:schema xmlns:xsd="http://www.w3.org/2001/XMLSchema" xmlns:dms="http://schemas.microsoft.com/office/2006/documentManagement/types" targetNamespace="f999fae2-ab47-4742-bde2-8ac3118eb91a" elementFormDefault="qualified">
    <xsd:import namespace="http://schemas.microsoft.com/office/2006/documentManagement/types"/>
    <xsd:element name="Gerencias" ma:index="2" nillable="true" ma:displayName="Gerencias:" ma:format="Dropdown" ma:internalName="Gerencias">
      <xsd:simpleType>
        <xsd:restriction base="dms:Choice">
          <xsd:enumeration value="ADMINISTRACIÓN Y FINANZAS"/>
          <xsd:enumeration value="CADENA DE SUMINISTRO"/>
          <xsd:enumeration value="COMERCIAL"/>
          <xsd:enumeration value="DESARROLLO DE NUEVOS NEGOCIOS"/>
          <xsd:enumeration value="GERENCIA DE PRUEBA"/>
          <xsd:enumeration value="GERENCIA GENERAL"/>
          <xsd:enumeration value="GESTIÓN HUMANA"/>
          <xsd:enumeration value="INGENIERÍA Y MANTENIMIENTO"/>
          <xsd:enumeration value="INNOVACION"/>
          <xsd:enumeration value="LOGÍSTICA"/>
          <xsd:enumeration value="OPERACIONES"/>
          <xsd:enumeration value="PLANEAMIENTO Y PROCESOS"/>
          <xsd:enumeration value="PRODUCCIÓN"/>
          <xsd:enumeration value="SUSTENTABILIDAD"/>
        </xsd:restriction>
      </xsd:simpleType>
    </xsd:element>
    <xsd:element name="Areas" ma:index="3" nillable="true" ma:displayName="Área:" ma:format="Dropdown" ma:internalName="Areas0">
      <xsd:simpleType>
        <xsd:union memberTypes="dms:Text">
          <xsd:simpleType>
            <xsd:restriction base="dms:Choice">
              <xsd:enumeration value="ADMINISTRACIÓN  Y  TESORERIA"/>
              <xsd:enumeration value="ADMINISTRACION DE DATOS MAESTROS"/>
              <xsd:enumeration value="ADMINISTRACION DE PERSONAL"/>
              <xsd:enumeration value="ADMINISTRACIÓN DE VENTAS"/>
              <xsd:enumeration value="ALMACEN"/>
              <xsd:enumeration value="ALMACENES CALLAO"/>
              <xsd:enumeration value="AREA DE PRUEBA"/>
              <xsd:enumeration value="ASISTENCIA TECNICA TAJO ABIERTO"/>
              <xsd:enumeration value="ASISTENCIA TECNICA SUBTERRÁNEO"/>
              <xsd:enumeration value="CADENA DE SUMINISTROS"/>
              <xsd:enumeration value="COMERCIO EXTERIOR"/>
              <xsd:enumeration value="COMPRAS GENERALES"/>
              <xsd:enumeration value="COMPRAS DE MATERIA PRIMAS"/>
              <xsd:enumeration value="COMPRAS Y PLANEAMIENTO"/>
              <xsd:enumeration value="CONTABILIDAD"/>
              <xsd:enumeration value="CONTRALORIA"/>
              <xsd:enumeration value="CONTROL DE CALIDAD"/>
              <xsd:enumeration value="COSTOS"/>
              <xsd:enumeration value="CREDITOS Y COBRANZAS"/>
              <xsd:enumeration value="CUENTAS INTERNACIONALES"/>
              <xsd:enumeration value="DESARROLLO ORGANIZACIONAL"/>
              <xsd:enumeration value="DESARROLLO DE TALENTO"/>
              <xsd:enumeration value="DISTRIBUCION"/>
              <xsd:enumeration value="EXPORTACIONES"/>
              <xsd:enumeration value="GERENCIA ADM Y FINAN"/>
              <xsd:enumeration value="GERENCIA COMERCIAL"/>
              <xsd:enumeration value="GERENCIA DE GESTION HUMANA"/>
              <xsd:enumeration value="GERENCIA DE OPERACIONES"/>
              <xsd:enumeration value="GERENCIA GENERAL"/>
              <xsd:enumeration value="GERENCIA LOGISTICA"/>
              <xsd:enumeration value="GERENCIA P&amp;P"/>
              <xsd:enumeration value="GESTIÓN DEL CONOCIMIENTO"/>
              <xsd:enumeration value="GESTIÓN DE LA CONTINUIDAD"/>
              <xsd:enumeration value="GESTIÓN DE PRODUCTOS &amp; SERVICIOS NUEVOS"/>
              <xsd:enumeration value="INFRAESTRUCTURA Y SERVICIOS"/>
              <xsd:enumeration value="INGENIERIA"/>
              <xsd:enumeration value="INGENIERIA Y PROYECTOS"/>
              <xsd:enumeration value="INVESTIGACION Y DESARROLLO"/>
              <xsd:enumeration value="LEGAL"/>
              <xsd:enumeration value="MANTENIMIENTO"/>
              <xsd:enumeration value="MARKETING"/>
              <xsd:enumeration value="MEDIO AMBIENTE"/>
              <xsd:enumeration value="MINERIA A TAJO ABIERTO"/>
              <xsd:enumeration value="MINERIA SUBTERRANEA"/>
              <xsd:enumeration value="PLANEAMIENTO DE LA DEMANDA"/>
              <xsd:enumeration value="PLANEAMIENTO DE MATERIALES"/>
              <xsd:enumeration value="PLANIFICACION INTEGRAL"/>
              <xsd:enumeration value="PLANEAMIENTO Y CONTROL DE GESTIÓN"/>
              <xsd:enumeration value="PMO"/>
              <xsd:enumeration value="PROCESOS"/>
              <xsd:enumeration value="PROD. ACCESORIOS DE VOLADURA"/>
              <xsd:enumeration value="PROD. DINAMITAS"/>
              <xsd:enumeration value="PROD. EMULSIONES"/>
              <xsd:enumeration value="PROD. EXPLOSIVOS"/>
              <xsd:enumeration value="PROD. TACNA"/>
              <xsd:enumeration value="PROD. TRUJILLO"/>
              <xsd:enumeration value="PRODUCCION NAC-SAC"/>
              <xsd:enumeration value="PROYECTOS"/>
              <xsd:enumeration value="SALUD OCUPACIONAL"/>
              <xsd:enumeration value="SEGURIDAD"/>
              <xsd:enumeration value="SEGURIDAD MINERA"/>
              <xsd:enumeration value="SERVICIO DE VOLADURA"/>
              <xsd:enumeration value="SERVICIOS PARA LA MINERIA Y CONSTRUCCION"/>
              <xsd:enumeration value="SIVE ANTAMINA"/>
              <xsd:enumeration value="SIVE TOQUEPALA"/>
              <xsd:enumeration value="SIVE PUCAMARCA"/>
              <xsd:enumeration value="SIVE YANACOCHA"/>
              <xsd:enumeration value="SERVICIOS GENERALES"/>
              <xsd:enumeration value="SISTEMAS DE GESTIÓN"/>
              <xsd:enumeration value="SUSTENTABILIDAD"/>
              <xsd:enumeration value="TECNOLOGIA DE INFORMACION"/>
              <xsd:enumeration value="TRAFICO"/>
              <xsd:enumeration value="TRANSPORTE"/>
            </xsd:restriction>
          </xsd:simpleType>
        </xsd:union>
      </xsd:simpleType>
    </xsd:element>
    <xsd:element name="Tipos_x0020_de_x0020_Documentos" ma:index="4" nillable="true" ma:displayName="Tipo de Documento:" ma:format="Dropdown" ma:internalName="Tipos_x0020_de_x0020_Documentos">
      <xsd:simpleType>
        <xsd:restriction base="dms:Choice">
          <xsd:enumeration value="APRECIACION Y APLICACION DE REQUISITOS LEGALES"/>
          <xsd:enumeration value="CADENA DE VALOR"/>
          <xsd:enumeration value="CARTILLA"/>
          <xsd:enumeration value="CERTIFICADOS"/>
          <xsd:enumeration value="CONTROL DE REGISTROS"/>
          <xsd:enumeration value="CONTROL DE DOCUMENTOS EXTERNOS"/>
          <xsd:enumeration value="DESCRIPCION DE PUESTO"/>
          <xsd:enumeration value="DIAGRAMA"/>
          <xsd:enumeration value="DOCUMENTO PRUEBA"/>
          <xsd:enumeration value="DOCUMENTOS EXTERNOS"/>
          <xsd:enumeration value="ESTADISTICA"/>
          <xsd:enumeration value="ESTANDARES"/>
          <xsd:enumeration value="FORMATO"/>
          <xsd:enumeration value="GUÍA"/>
          <xsd:enumeration value="HOJA L"/>
          <xsd:enumeration value="HOJAS DE SEGURIDAD MSDS MATERIAS PRIMAS"/>
          <xsd:enumeration value="HOJAS DE SEGURIDAD MSDS PRODUCTOS TERMINADOS"/>
          <xsd:enumeration value="HOJAS DE SEGURIDAD MSDS SEMIELABORADOS"/>
          <xsd:enumeration value="IDENTIFICACIÓN DE PELIGROS Y EVALUACIÓN DE RIESGOS"/>
          <xsd:enumeration value="IDENTIFICACIÓN DE PELIGROS Y EVALUACIÓN DE RIESGOS - BASC"/>
          <xsd:enumeration value="INFORMES DE AUDITORIA INTERNA"/>
          <xsd:enumeration value="INSTRUCCIÓN"/>
          <xsd:enumeration value="IPER - ANÁLISIS DE RIESGOS"/>
          <xsd:enumeration value="LISTADO"/>
          <xsd:enumeration value="MANUAL"/>
          <xsd:enumeration value="MANUAL DE GESTIÓN DE LA COMUNICACIÓN EN SITUACIONES DE CRISIS"/>
          <xsd:enumeration value="MANUAL DEL SISTEMA DE GESTIÓN AMBIENTAL"/>
          <xsd:enumeration value="MANUAL DEL SISTEMA DE GESTION DE CALIDAD"/>
          <xsd:enumeration value="MANUAL DEL SISTEMA DE GESTION DE SEGURIDAD EN EL COMERCIO INTERNACIONAL"/>
          <xsd:enumeration value="MANUAL DEL SISTEMA DE GESTION DE SEGURIDAD Y SALUD OCUPACIONAL"/>
          <xsd:enumeration value="MANUAL DEL SISTEMA DE GESTION EN CONTROL Y SEGURIDAD - BASC"/>
          <xsd:enumeration value="MSDS"/>
          <xsd:enumeration value="MAPEO DE PROCESOS Y SUB PROCESOS"/>
          <xsd:enumeration value="MAPA DE PROCESOS - BASC"/>
          <xsd:enumeration value="MAPA DE RIESGOS"/>
          <xsd:enumeration value="NORMA"/>
          <xsd:enumeration value="NORMALIZACIÓN DE INDICADORES"/>
          <xsd:enumeration value="OBJETIVOS DEL SISTEMA DE GESTION"/>
          <xsd:enumeration value="ORGANIGRAMA"/>
          <xsd:enumeration value="PATRÓN FOTOGRÁFICO"/>
          <xsd:enumeration value="PETS"/>
          <xsd:enumeration value="PLACA"/>
          <xsd:enumeration value="PLAN DE GESTIÓN DE CRISIS"/>
          <xsd:enumeration value="PLAN DE CONTINUIDAD"/>
          <xsd:enumeration value="PLANES Y/O PROGRAMAS"/>
          <xsd:enumeration value="POLÍTICA"/>
          <xsd:enumeration value="POLITICA DE LOS SISTEMAS DE GESTION"/>
          <xsd:enumeration value="PRÁCTICA OPERATIVA"/>
          <xsd:enumeration value="PROCEDIMIENTO"/>
          <xsd:enumeration value="PROGRAMA DEL SISTEMA DE GESTION"/>
          <xsd:enumeration value="REGISTRO DE IDENTIFICACION DE ASPECTOS AMBIENTALES SIGNIFICATIVOS"/>
          <xsd:enumeration value="REGLAMENTO"/>
          <xsd:enumeration value="RESUMEN DE ASPECTOS AMBIENTALES"/>
          <xsd:enumeration value="TABLA"/>
        </xsd:restriction>
      </xsd:simpleType>
    </xsd:element>
    <xsd:element name="Observaciones" ma:index="5" nillable="true" ma:displayName="Observaciones" ma:internalName="Observaciones">
      <xsd:simpleType>
        <xsd:restriction base="dms:Note"/>
      </xsd:simpleType>
    </xsd:element>
    <xsd:element name="Código" ma:index="7" nillable="true" ma:displayName="Código" ma:internalName="C_x00f3_digo0">
      <xsd:simpleType>
        <xsd:restriction base="dms:Text">
          <xsd:maxLength value="255"/>
        </xsd:restriction>
      </xsd:simpleType>
    </xsd:element>
    <xsd:element name="N_x00b0__x0020_Revisión" ma:index="8" nillable="true" ma:displayName="N° Revisión" ma:decimals="0" ma:default="1" ma:internalName="N_x00B0__x0020_Revisi_x00f3_n0" ma:readOnly="false" ma:percentage="FALSE">
      <xsd:simpleType>
        <xsd:restriction base="dms:Number"/>
      </xsd:simpleType>
    </xsd:element>
    <xsd:element name="Fecha_x0020_de_x0020_vigencia" ma:index="9" nillable="true" ma:displayName="Fecha de vigencia" ma:internalName="Fecha_x0020_de_x0020_vigencia" ma:readOnly="false">
      <xsd:simpleType>
        <xsd:restriction base="dms:Text">
          <xsd:maxLength value="255"/>
        </xsd:restriction>
      </xsd:simpleType>
    </xsd:element>
    <xsd:element name="Area_x0020__x0028_Abreviatura_x0029_" ma:index="30" nillable="true" ma:displayName="Area (Abreviatura)" ma:hidden="true" ma:internalName="Area_x0020__x0028_Abreviatura_x0029_" ma:readOnly="false">
      <xsd:simpleType>
        <xsd:restriction base="dms:Text">
          <xsd:maxLength value="255"/>
        </xsd:restriction>
      </xsd:simpleType>
    </xsd:element>
    <xsd:element name="Estado_x0020_de_x0020_documento" ma:index="36" nillable="true" ma:displayName="Estado de documento" ma:default="En Elaboración" ma:format="Dropdown" ma:hidden="true" ma:internalName="Estado_x0020_de_x0020_documento0" ma:readOnly="false">
      <xsd:simpleType>
        <xsd:restriction base="dms:Choice">
          <xsd:enumeration value="En Elaboración"/>
          <xsd:enumeration value="En Verificación"/>
          <xsd:enumeration value="En Validación"/>
          <xsd:enumeration value="En Revisión"/>
          <xsd:enumeration value="En Aprobación"/>
          <xsd:enumeration value="Aprobado"/>
          <xsd:enumeration value="Observado"/>
        </xsd:restriction>
      </xsd:simpleType>
    </xsd:element>
  </xsd:schema>
  <xsd:schema xmlns:xsd="http://www.w3.org/2001/XMLSchema" xmlns:dms="http://schemas.microsoft.com/office/2006/documentManagement/types" targetNamespace="9336d2ca-641d-4916-8dc8-58ae6051bab2" elementFormDefault="qualified">
    <xsd:import namespace="http://schemas.microsoft.com/office/2006/documentManagement/types"/>
    <xsd:element name="Visualizadores_x003a_" ma:index="6" nillable="true" ma:displayName="Visualizadores:" ma:list="UserInfo" ma:internalName="Visualizadores_x003A_"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laborador" ma:index="10" nillable="true" ma:displayName="Elaborador:" ma:internalName="Elaborador0" ma:readOnly="false">
      <xsd:simpleType>
        <xsd:restriction base="dms:Text">
          <xsd:maxLength value="255"/>
        </xsd:restriction>
      </xsd:simpleType>
    </xsd:element>
    <xsd:element name="Verificador_x003a_" ma:index="11" nillable="true" ma:displayName="Verificador:" ma:internalName="Verificador_x003A_" ma:readOnly="false">
      <xsd:simpleType>
        <xsd:restriction base="dms:Text">
          <xsd:maxLength value="255"/>
        </xsd:restriction>
      </xsd:simpleType>
    </xsd:element>
    <xsd:element name="Validador_x003a_" ma:index="12" nillable="true" ma:displayName="Validador:" ma:internalName="Validador_x003A_" ma:readOnly="false">
      <xsd:simpleType>
        <xsd:restriction base="dms:Text">
          <xsd:maxLength value="255"/>
        </xsd:restriction>
      </xsd:simpleType>
    </xsd:element>
    <xsd:element name="Revisor_x003a_" ma:index="13" nillable="true" ma:displayName="Revisor:" ma:internalName="Revisor_x003A_" ma:readOnly="false">
      <xsd:simpleType>
        <xsd:restriction base="dms:Text">
          <xsd:maxLength value="255"/>
        </xsd:restriction>
      </xsd:simpleType>
    </xsd:element>
    <xsd:element name="Aprobar" ma:index="14" nillable="true" ma:displayName="Aprobador:" ma:internalName="Aprobar" ma:readOnly="false">
      <xsd:simpleType>
        <xsd:restriction base="dms:Text">
          <xsd:maxLength value="255"/>
        </xsd:restriction>
      </xsd:simpleType>
    </xsd:element>
    <xsd:element name="EmailElaborador" ma:index="15" nillable="true" ma:displayName="EmailElaborador:" ma:hidden="true" ma:internalName="EmailElaborador0" ma:readOnly="false">
      <xsd:simpleType>
        <xsd:restriction base="dms:Text">
          <xsd:maxLength value="255"/>
        </xsd:restriction>
      </xsd:simpleType>
    </xsd:element>
    <xsd:element name="Verificadores_x003a_" ma:index="17" nillable="true" ma:displayName="Verificadores:" ma:hidden="true" ma:list="UserInfo" ma:internalName="Verificadores_x003A_"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mailVerificador_x003a_" ma:index="18" nillable="true" ma:displayName="EmailVerificador:" ma:hidden="true" ma:internalName="EmailVerificador_x003A_" ma:readOnly="false">
      <xsd:simpleType>
        <xsd:restriction base="dms:Text">
          <xsd:maxLength value="255"/>
        </xsd:restriction>
      </xsd:simpleType>
    </xsd:element>
    <xsd:element name="Validadores_x003a_" ma:index="20" nillable="true" ma:displayName="Validadores:" ma:hidden="true" ma:list="UserInfo" ma:internalName="Validadores_x003A_"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mailValidador" ma:index="21" nillable="true" ma:displayName="EmailValidador:" ma:hidden="true" ma:internalName="EmailValidador0" ma:readOnly="false">
      <xsd:simpleType>
        <xsd:restriction base="dms:Text">
          <xsd:maxLength value="255"/>
        </xsd:restriction>
      </xsd:simpleType>
    </xsd:element>
    <xsd:element name="Aprobadores_x003a_" ma:index="23" nillable="true" ma:displayName="Aprobadores:" ma:hidden="true" ma:list="UserInfo" ma:internalName="Aprobadores_x003A_"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mailAprobador" ma:index="24" nillable="true" ma:displayName="EmailAprobador:" ma:hidden="true" ma:internalName="EmailAprobador0" ma:readOnly="false">
      <xsd:simpleType>
        <xsd:restriction base="dms:Text">
          <xsd:maxLength value="255"/>
        </xsd:restriction>
      </xsd:simpleType>
    </xsd:element>
    <xsd:element name="Revisores" ma:index="26" nillable="true" ma:displayName="Revisores:" ma:hidden="true" ma:list="UserInfo" ma:internalName="Revisores0"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mailRevisor_x003a_" ma:index="27" nillable="true" ma:displayName="EmailRevisor:" ma:hidden="true" ma:internalName="EmailRevisor_x003A_" ma:readOnly="false">
      <xsd:simpleType>
        <xsd:restriction base="dms:Text">
          <xsd:maxLength value="255"/>
        </xsd:restriction>
      </xsd:simpleType>
    </xsd:element>
    <xsd:element name="IDEstado" ma:index="28" nillable="true" ma:displayName="IDEstado" ma:default="1" ma:hidden="true" ma:internalName="IDEstado0" ma:readOnly="false">
      <xsd:simpleType>
        <xsd:restriction base="dms:Text">
          <xsd:maxLength value="255"/>
        </xsd:restriction>
      </xsd:simpleType>
    </xsd:element>
    <xsd:element name="Ubicación_x0020_de_x0020_Copiar_x0020_Controladas" ma:index="29" nillable="true" ma:displayName="Ubicación de Copias Controladas" ma:internalName="Ubicaci_x00f3_n_x0020_de_x0020_Copiar_x0020_Controladas" ma:readOnly="false">
      <xsd:simpleType>
        <xsd:restriction base="dms:Note"/>
      </xsd:simpleType>
    </xsd:element>
    <xsd:element name="Bandeja" ma:index="31" nillable="true" ma:displayName="Bandeja" ma:format="Dropdown" ma:hidden="true" ma:internalName="Bandeja" ma:readOnly="false">
      <xsd:simpleType>
        <xsd:restriction base="dms:Choice">
          <xsd:enumeration value="DOCUMENTOS GENERALES"/>
          <xsd:enumeration value="DOCUMENTOS ESPECIALES"/>
          <xsd:enumeration value="DOCUMENTOS ESPECÍFICOS SISTEMA GESTIÓN"/>
          <xsd:enumeration value="DOCUMENTOS GENERALES SISTEMA GESTIÓN"/>
          <xsd:enumeration value="DOCUMENTOS ESPECÍFICOS OPERACIONES"/>
        </xsd:restriction>
      </xsd:simpleType>
    </xsd:element>
    <xsd:element name="Código_x0020_de_x0020_Tipo_x0020_Documento" ma:index="32" nillable="true" ma:displayName="Código de Tipo Documento" ma:internalName="C_x00f3_digo_x0020_de_x0020_Tipo_x0020_Documento">
      <xsd:simpleType>
        <xsd:restriction base="dms:Text">
          <xsd:maxLength value="255"/>
        </xsd:restriction>
      </xsd:simpleType>
    </xsd:element>
    <xsd:element name="Secuencia" ma:index="34" nillable="true" ma:displayName="Secuencia" ma:hidden="true" ma:internalName="Secuencia" ma:readOnly="false">
      <xsd:simpleType>
        <xsd:restriction base="dms:Text">
          <xsd:maxLength value="255"/>
        </xsd:restriction>
      </xsd:simpleType>
    </xsd:element>
    <xsd:element name="Modificado_x0020_por_x003a_" ma:index="37" nillable="true" ma:displayName="Modificado por:" ma:hidden="true" ma:internalName="Modificado_x0020_por_x003A_" ma:readOnly="false">
      <xsd:simpleType>
        <xsd:restriction base="dms:Text">
          <xsd:maxLength value="255"/>
        </xsd:restriction>
      </xsd:simpleType>
    </xsd:element>
    <xsd:element name="Elaboradores_x003a_" ma:index="40" nillable="true" ma:displayName="Elaboradores:" ma:list="UserInfo" ma:internalName="Elaboradores_x003A_"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Última_x0020_Revisión" ma:index="41" nillable="true" ma:displayName="Última Revisión" ma:internalName="_x00da_ltima_x0020_Revisi_x00f3_n">
      <xsd:simpleType>
        <xsd:restriction base="dms:Text">
          <xsd:maxLength value="255"/>
        </xsd:restriction>
      </xsd:simpleType>
    </xsd:element>
  </xsd:schema>
  <xsd:schema xmlns:xsd="http://www.w3.org/2001/XMLSchema" xmlns:dms="http://schemas.microsoft.com/office/2006/documentManagement/types" targetNamespace="87f3fb52-4b62-4ddf-9f55-814d46a43703" elementFormDefault="qualified">
    <xsd:import namespace="http://schemas.microsoft.com/office/2006/documentManagement/types"/>
    <xsd:element name="Acceso" ma:index="38" nillable="true" ma:displayName="Acceso" ma:internalName="Acceso">
      <xsd:simpleType>
        <xsd:restriction base="dms:Note"/>
      </xsd:simpleType>
    </xsd:element>
    <xsd:element name="PermisoAsignado" ma:index="39" nillable="true" ma:displayName="PermisoAsignado" ma:internalName="PermisoAsignado">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9" ma:displayName="Tipo de contenido"/>
        <xsd:element ref="dc:title" minOccurs="0" maxOccurs="1" ma:index="1"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EmailElaborador xmlns="9336d2ca-641d-4916-8dc8-58ae6051bab2">jherrera@exsa.net</EmailElaborador>
    <EmailValidador xmlns="9336d2ca-641d-4916-8dc8-58ae6051bab2">jherrera@exsa.net</EmailValidador>
    <Modificado_x0020_por_x003a_ xmlns="9336d2ca-641d-4916-8dc8-58ae6051bab2">Juan Herrera</Modificado_x0020_por_x003a_>
    <EmailVerificador_x003a_ xmlns="9336d2ca-641d-4916-8dc8-58ae6051bab2" xsi:nil="true"/>
    <IDEstado xmlns="9336d2ca-641d-4916-8dc8-58ae6051bab2">5</IDEstado>
    <Ubicación_x0020_de_x0020_Copiar_x0020_Controladas xmlns="9336d2ca-641d-4916-8dc8-58ae6051bab2" xsi:nil="true"/>
    <Verificadores_x003a_ xmlns="9336d2ca-641d-4916-8dc8-58ae6051bab2">
      <UserInfo>
        <DisplayName/>
        <AccountId xsi:nil="true"/>
        <AccountType/>
      </UserInfo>
    </Verificadores_x003a_>
    <Aprobadores_x003a_ xmlns="9336d2ca-641d-4916-8dc8-58ae6051bab2">
      <UserInfo>
        <DisplayName>Noemi Miranda</DisplayName>
        <AccountId>119</AccountId>
        <AccountType/>
      </UserInfo>
      <UserInfo>
        <DisplayName>Alfredo Salazar</DisplayName>
        <AccountId>164</AccountId>
        <AccountType/>
      </UserInfo>
    </Aprobadores_x003a_>
    <Observaciones xmlns="f999fae2-ab47-4742-bde2-8ac3118eb91a" xsi:nil="true"/>
    <Area_x0020__x0028_Abreviatura_x0029_ xmlns="f999fae2-ab47-4742-bde2-8ac3118eb91a">COP</Area_x0020__x0028_Abreviatura_x0029_>
    <Elaboradores_x003a_ xmlns="9336d2ca-641d-4916-8dc8-58ae6051bab2">
      <UserInfo>
        <DisplayName/>
        <AccountId xsi:nil="true"/>
        <AccountType/>
      </UserInfo>
    </Elaboradores_x003a_>
    <Código xmlns="f999fae2-ab47-4742-bde2-8ac3118eb91a">COG-F-011</Código>
    <EmailRevisor_x003a_ xmlns="9336d2ca-641d-4916-8dc8-58ae6051bab2" xsi:nil="true"/>
    <Elaborador xmlns="9336d2ca-641d-4916-8dc8-58ae6051bab2">Juan Herrera</Elaborador>
    <Validadores_x003a_ xmlns="9336d2ca-641d-4916-8dc8-58ae6051bab2">
      <UserInfo>
        <DisplayName>Juan Herrera</DisplayName>
        <AccountId>185</AccountId>
        <AccountType/>
      </UserInfo>
    </Validadores_x003a_>
    <Revisores xmlns="9336d2ca-641d-4916-8dc8-58ae6051bab2">
      <UserInfo>
        <DisplayName/>
        <AccountId xsi:nil="true"/>
        <AccountType/>
      </UserInfo>
    </Revisores>
    <Código_x0020_de_x0020_Tipo_x0020_Documento xmlns="9336d2ca-641d-4916-8dc8-58ae6051bab2">F</Código_x0020_de_x0020_Tipo_x0020_Documento>
    <Aprobar xmlns="9336d2ca-641d-4916-8dc8-58ae6051bab2">Juan Herrera</Aprobar>
    <Secuencia xmlns="9336d2ca-641d-4916-8dc8-58ae6051bab2" xsi:nil="true"/>
    <Fecha_x0020_de_x0020_vigencia xmlns="f999fae2-ab47-4742-bde2-8ac3118eb91a">30/05/2017</Fecha_x0020_de_x0020_vigencia>
    <Revisor_x003a_ xmlns="9336d2ca-641d-4916-8dc8-58ae6051bab2" xsi:nil="true"/>
    <Bandeja xmlns="9336d2ca-641d-4916-8dc8-58ae6051bab2">DOCUMENTOS GENERALES</Bandeja>
    <Tipos_x0020_de_x0020_Documentos xmlns="f999fae2-ab47-4742-bde2-8ac3118eb91a">FORMATO</Tipos_x0020_de_x0020_Documentos>
    <Visualizadores_x003a_ xmlns="9336d2ca-641d-4916-8dc8-58ae6051bab2">
      <UserInfo>
        <DisplayName>EXSA\grp_usr_todos</DisplayName>
        <AccountId>327</AccountId>
        <AccountType/>
      </UserInfo>
    </Visualizadores_x003a_>
    <Validador_x003a_ xmlns="9336d2ca-641d-4916-8dc8-58ae6051bab2">Juan Herrera</Validador_x003a_>
    <EmailAprobador xmlns="9336d2ca-641d-4916-8dc8-58ae6051bab2">jherrera@exsa.net</EmailAprobador>
    <Estado_x0020_de_x0020_documento xmlns="f999fae2-ab47-4742-bde2-8ac3118eb91a">Aprobado</Estado_x0020_de_x0020_documento>
    <Verificador_x003a_ xmlns="9336d2ca-641d-4916-8dc8-58ae6051bab2" xsi:nil="true"/>
    <Última_x0020_Revisión xmlns="9336d2ca-641d-4916-8dc8-58ae6051bab2">30/05/2017</Última_x0020_Revisión>
    <Areas xmlns="f999fae2-ab47-4742-bde2-8ac3118eb91a">COMPRAS GENERALES</Areas>
    <Gerencias xmlns="f999fae2-ab47-4742-bde2-8ac3118eb91a">CADENA DE SUMINISTRO</Gerencias>
    <N_x00b0__x0020_Revisión xmlns="f999fae2-ab47-4742-bde2-8ac3118eb91a">1</N_x00b0__x0020_Revisión>
    <PermisoAsignado xmlns="87f3fb52-4b62-4ddf-9f55-814d46a43703" xsi:nil="true"/>
    <Acceso xmlns="87f3fb52-4b62-4ddf-9f55-814d46a43703" xsi:nil="true"/>
  </documentManagement>
</p:properties>
</file>

<file path=customXml/itemProps1.xml><?xml version="1.0" encoding="utf-8"?>
<ds:datastoreItem xmlns:ds="http://schemas.openxmlformats.org/officeDocument/2006/customXml" ds:itemID="{8A059509-A352-4D51-8078-5DCCD53BB20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999fae2-ab47-4742-bde2-8ac3118eb91a"/>
    <ds:schemaRef ds:uri="9336d2ca-641d-4916-8dc8-58ae6051bab2"/>
    <ds:schemaRef ds:uri="87f3fb52-4b62-4ddf-9f55-814d46a43703"/>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825E8F02-02CB-42AE-9B30-44FBF6F5A8D2}">
  <ds:schemaRefs>
    <ds:schemaRef ds:uri="http://schemas.microsoft.com/sharepoint/v3/contenttype/forms"/>
  </ds:schemaRefs>
</ds:datastoreItem>
</file>

<file path=customXml/itemProps3.xml><?xml version="1.0" encoding="utf-8"?>
<ds:datastoreItem xmlns:ds="http://schemas.openxmlformats.org/officeDocument/2006/customXml" ds:itemID="{36A776BB-CFBC-4352-BBB5-2DA8B9555CE6}">
  <ds:schemaRefs>
    <ds:schemaRef ds:uri="http://schemas.microsoft.com/office/2006/metadata/properties"/>
    <ds:schemaRef ds:uri="9336d2ca-641d-4916-8dc8-58ae6051bab2"/>
    <ds:schemaRef ds:uri="f999fae2-ab47-4742-bde2-8ac3118eb91a"/>
    <ds:schemaRef ds:uri="87f3fb52-4b62-4ddf-9f55-814d46a4370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3</vt:i4>
      </vt:variant>
    </vt:vector>
  </HeadingPairs>
  <TitlesOfParts>
    <vt:vector size="7" baseType="lpstr">
      <vt:lpstr>COG-F-011</vt:lpstr>
      <vt:lpstr>COP-F-012</vt:lpstr>
      <vt:lpstr>Puntajes</vt:lpstr>
      <vt:lpstr>Datos</vt:lpstr>
      <vt:lpstr>'COG-F-011'!Área_de_impresión</vt:lpstr>
      <vt:lpstr>'COP-F-012'!Área_de_impresión</vt:lpstr>
      <vt:lpstr>'COG-F-011'!Títulos_a_imprimir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INFORMACIÓN DE PROVEEDOR PARA HOMOLOGACIÓN TIPO E2</dc:title>
  <dc:creator>Pedro Vallejos Espinoza</dc:creator>
  <cp:lastModifiedBy>Alonso Castro Chavez</cp:lastModifiedBy>
  <cp:lastPrinted>2016-09-01T15:17:37Z</cp:lastPrinted>
  <dcterms:created xsi:type="dcterms:W3CDTF">2015-01-08T15:05:56Z</dcterms:created>
  <dcterms:modified xsi:type="dcterms:W3CDTF">2017-07-21T21:29:54Z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0x01010014E83F1778104F49A0A3344492D91977009C3169336F18254389719763C0FF64D0</vt:lpwstr>
  </property>
  <property fmtid="{D5CDD505-2E9C-101B-9397-08002B2CF9AE}" pid="3" name="Order">
    <vt:r8>523300</vt:r8>
  </property>
</Properties>
</file>