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329"/>
  <workbookPr showInkAnnotation="0" defaultThemeVersion="124226"/>
  <mc:AlternateContent xmlns:mc="http://schemas.openxmlformats.org/markup-compatibility/2006">
    <mc:Choice Requires="x15">
      <x15ac:absPath xmlns:x15ac="http://schemas.microsoft.com/office/spreadsheetml/2010/11/ac" url="X:\Area de Compras\01_PROVEEDORES\Proveedores homologados\Documentacion para Calificar\"/>
    </mc:Choice>
  </mc:AlternateContent>
  <workbookProtection workbookAlgorithmName="SHA-512" workbookHashValue="+S8iNKuRj6rnopilZO/KEYvIN+WYX9hImkZOPJyEinq2P5byjuE4vx8ug9j+67/dHzvEPOQToAUFIdXp/HqPuQ==" workbookSaltValue="IBEDsrfZOSHA8Ix0xAACCw==" workbookSpinCount="100000" lockStructure="1"/>
  <bookViews>
    <workbookView xWindow="0" yWindow="0" windowWidth="20490" windowHeight="7530"/>
  </bookViews>
  <sheets>
    <sheet name="COG-F-013" sheetId="2" r:id="rId1"/>
    <sheet name="COG-F-014" sheetId="5" state="hidden" r:id="rId2"/>
    <sheet name="Puntajes" sheetId="7" state="hidden" r:id="rId3"/>
    <sheet name="Datos" sheetId="4" state="hidden" r:id="rId4"/>
  </sheets>
  <definedNames>
    <definedName name="_xlnm._FilterDatabase" localSheetId="1" hidden="1">'COG-F-014'!$B$35:$H$225</definedName>
    <definedName name="_xlnm.Print_Area" localSheetId="0">'COG-F-013'!$A$1:$G$152</definedName>
    <definedName name="_xlnm.Print_Area" localSheetId="1">'COG-F-014'!$A$1:$H$240</definedName>
    <definedName name="_xlnm.Print_Titles" localSheetId="0">'COG-F-013'!$1:$11</definedName>
  </definedNames>
  <calcPr calcId="171027"/>
</workbook>
</file>

<file path=xl/calcChain.xml><?xml version="1.0" encoding="utf-8"?>
<calcChain xmlns="http://schemas.openxmlformats.org/spreadsheetml/2006/main">
  <c r="H46" i="5" l="1"/>
  <c r="H43" i="5"/>
  <c r="G163" i="5" l="1"/>
  <c r="G143" i="5" l="1"/>
  <c r="G148" i="5" l="1"/>
  <c r="G69" i="5"/>
  <c r="G66" i="5"/>
  <c r="G63" i="5"/>
  <c r="G60" i="5"/>
  <c r="G57" i="5"/>
  <c r="G54" i="5"/>
  <c r="N42" i="7"/>
  <c r="N35" i="7"/>
  <c r="N9" i="7"/>
  <c r="F74" i="5" l="1"/>
  <c r="F73" i="5"/>
  <c r="G72" i="5" l="1"/>
  <c r="N52" i="7" l="1"/>
  <c r="N61" i="7"/>
  <c r="N14" i="7"/>
  <c r="N65" i="7" l="1"/>
  <c r="M42" i="7"/>
  <c r="L42" i="7"/>
  <c r="K42" i="7"/>
  <c r="I42" i="7"/>
  <c r="H42" i="7"/>
  <c r="G42" i="7"/>
  <c r="F42" i="7"/>
  <c r="M52" i="7" l="1"/>
  <c r="L52" i="7"/>
  <c r="K52" i="7"/>
  <c r="I52" i="7"/>
  <c r="H52" i="7"/>
  <c r="G52" i="7"/>
  <c r="F52" i="7"/>
  <c r="M35" i="7"/>
  <c r="L35" i="7"/>
  <c r="K35" i="7"/>
  <c r="I35" i="7"/>
  <c r="H35" i="7"/>
  <c r="G35" i="7"/>
  <c r="F35" i="7"/>
  <c r="M14" i="7"/>
  <c r="L14" i="7"/>
  <c r="K14" i="7"/>
  <c r="I14" i="7"/>
  <c r="H14" i="7"/>
  <c r="G14" i="7"/>
  <c r="F14" i="7"/>
  <c r="M61" i="7"/>
  <c r="L61" i="7"/>
  <c r="K61" i="7"/>
  <c r="I61" i="7"/>
  <c r="H61" i="7"/>
  <c r="G61" i="7"/>
  <c r="F61" i="7"/>
  <c r="G207" i="5"/>
  <c r="H207" i="5" s="1"/>
  <c r="G203" i="5"/>
  <c r="H203" i="5" s="1"/>
  <c r="G159" i="5"/>
  <c r="H159" i="5" s="1"/>
  <c r="C138" i="5"/>
  <c r="C134" i="5"/>
  <c r="C129" i="5"/>
  <c r="H163" i="5"/>
  <c r="G129" i="5"/>
  <c r="H129" i="5" s="1"/>
  <c r="G138" i="5"/>
  <c r="H138" i="5" s="1"/>
  <c r="G134" i="5"/>
  <c r="D144" i="5"/>
  <c r="D147" i="5"/>
  <c r="D146" i="5"/>
  <c r="D145" i="5"/>
  <c r="D137" i="5"/>
  <c r="D136" i="5"/>
  <c r="D135" i="5"/>
  <c r="M9" i="7"/>
  <c r="L9" i="7"/>
  <c r="K9" i="7"/>
  <c r="I9" i="7"/>
  <c r="H9" i="7"/>
  <c r="G9" i="7"/>
  <c r="F9" i="7"/>
  <c r="D42" i="5"/>
  <c r="D41" i="5"/>
  <c r="D40" i="5"/>
  <c r="D39" i="5"/>
  <c r="I65" i="7" l="1"/>
  <c r="M65" i="7"/>
  <c r="L65" i="7"/>
  <c r="K65" i="7"/>
  <c r="H65" i="7"/>
  <c r="G65" i="7"/>
  <c r="F65" i="7"/>
  <c r="H134" i="5"/>
  <c r="F123" i="5"/>
  <c r="F124" i="5"/>
  <c r="G122" i="5" l="1"/>
  <c r="H148" i="5"/>
  <c r="H143" i="5"/>
  <c r="G169" i="5"/>
  <c r="H169" i="5" s="1"/>
  <c r="G210" i="5" l="1"/>
  <c r="H210" i="5" s="1"/>
  <c r="G153" i="5"/>
  <c r="H153" i="5" s="1"/>
  <c r="C117" i="5"/>
  <c r="H63" i="5"/>
  <c r="G38" i="5" l="1"/>
  <c r="H38" i="5" s="1"/>
  <c r="G223" i="5"/>
  <c r="H223" i="5" s="1"/>
  <c r="G220" i="5"/>
  <c r="H220" i="5" s="1"/>
  <c r="G200" i="5"/>
  <c r="H200" i="5" s="1"/>
  <c r="G197" i="5"/>
  <c r="H197" i="5" s="1"/>
  <c r="G216" i="5"/>
  <c r="H216" i="5" s="1"/>
  <c r="G213" i="5"/>
  <c r="H213" i="5" s="1"/>
  <c r="C22" i="5"/>
  <c r="C21" i="5"/>
  <c r="C20" i="5"/>
  <c r="C19" i="5"/>
  <c r="C18" i="5"/>
  <c r="C17" i="5"/>
  <c r="D8" i="5" l="1"/>
  <c r="E20" i="5" s="1"/>
  <c r="D9" i="5"/>
  <c r="E22" i="5" l="1"/>
  <c r="E185" i="5"/>
  <c r="E169" i="5"/>
  <c r="E153" i="5"/>
  <c r="E117" i="5"/>
  <c r="E103" i="5"/>
  <c r="E90" i="5"/>
  <c r="E72" i="5"/>
  <c r="E60" i="5"/>
  <c r="E46" i="5"/>
  <c r="E86" i="5"/>
  <c r="E43" i="5"/>
  <c r="E207" i="5"/>
  <c r="E179" i="5"/>
  <c r="E143" i="5"/>
  <c r="E97" i="5"/>
  <c r="E66" i="5"/>
  <c r="E38" i="5"/>
  <c r="E203" i="5"/>
  <c r="E172" i="5"/>
  <c r="E122" i="5"/>
  <c r="E94" i="5"/>
  <c r="E63" i="5"/>
  <c r="E182" i="5"/>
  <c r="E166" i="5"/>
  <c r="E148" i="5"/>
  <c r="E112" i="5"/>
  <c r="E100" i="5"/>
  <c r="E69" i="5"/>
  <c r="E57" i="5"/>
  <c r="E192" i="5"/>
  <c r="E163" i="5"/>
  <c r="E109" i="5"/>
  <c r="E82" i="5"/>
  <c r="E54" i="5"/>
  <c r="E188" i="5"/>
  <c r="E159" i="5"/>
  <c r="E106" i="5"/>
  <c r="E78" i="5"/>
  <c r="E50" i="5"/>
  <c r="E129" i="5"/>
  <c r="E138" i="5"/>
  <c r="E134" i="5"/>
  <c r="E18" i="5"/>
  <c r="E21" i="5"/>
  <c r="E19" i="5"/>
  <c r="E17" i="5"/>
  <c r="D5" i="5"/>
  <c r="D6" i="5"/>
  <c r="D7" i="5"/>
  <c r="F158" i="5" l="1"/>
  <c r="F20" i="5" s="1"/>
  <c r="F53" i="5"/>
  <c r="F37" i="5"/>
  <c r="F17" i="5" s="1"/>
  <c r="F24" i="5" s="1"/>
  <c r="F128" i="5"/>
  <c r="F19" i="5" s="1"/>
  <c r="H128" i="5"/>
  <c r="G19" i="5" s="1"/>
  <c r="C223" i="5"/>
  <c r="E223" i="5" s="1"/>
  <c r="C220" i="5"/>
  <c r="E220" i="5" s="1"/>
  <c r="F219" i="5" s="1"/>
  <c r="C216" i="5"/>
  <c r="E216" i="5" s="1"/>
  <c r="C213" i="5"/>
  <c r="E213" i="5" s="1"/>
  <c r="C210" i="5"/>
  <c r="E210" i="5" s="1"/>
  <c r="C200" i="5"/>
  <c r="E200" i="5" s="1"/>
  <c r="C197" i="5"/>
  <c r="E197" i="5" s="1"/>
  <c r="G192" i="5"/>
  <c r="H192" i="5" s="1"/>
  <c r="G188" i="5"/>
  <c r="H188" i="5" s="1"/>
  <c r="G185" i="5"/>
  <c r="H185" i="5" s="1"/>
  <c r="G182" i="5"/>
  <c r="H182" i="5" s="1"/>
  <c r="G179" i="5"/>
  <c r="H179" i="5" s="1"/>
  <c r="G172" i="5"/>
  <c r="H172" i="5" s="1"/>
  <c r="G166" i="5"/>
  <c r="H166" i="5" s="1"/>
  <c r="G90" i="5"/>
  <c r="H90" i="5" s="1"/>
  <c r="G86" i="5"/>
  <c r="H86" i="5" s="1"/>
  <c r="G82" i="5"/>
  <c r="H82" i="5" s="1"/>
  <c r="G78" i="5"/>
  <c r="H78" i="5" s="1"/>
  <c r="C35" i="2"/>
  <c r="H69" i="5"/>
  <c r="H66" i="5"/>
  <c r="H60" i="5"/>
  <c r="H57" i="5"/>
  <c r="H54" i="5"/>
  <c r="H19" i="5" l="1"/>
  <c r="F18" i="5"/>
  <c r="F191" i="5"/>
  <c r="F21" i="5" s="1"/>
  <c r="H158" i="5"/>
  <c r="G20" i="5" s="1"/>
  <c r="H20" i="5" s="1"/>
  <c r="H191" i="5"/>
  <c r="G21" i="5" s="1"/>
  <c r="H219" i="5"/>
  <c r="G22" i="5" s="1"/>
  <c r="F22" i="5"/>
  <c r="H122" i="5"/>
  <c r="H72" i="5"/>
  <c r="H21" i="5" l="1"/>
  <c r="H22" i="5"/>
  <c r="G50" i="5"/>
  <c r="H50" i="5" s="1"/>
  <c r="G43" i="5"/>
  <c r="G103" i="5" l="1"/>
  <c r="H103" i="5" s="1"/>
  <c r="G100" i="5"/>
  <c r="H100" i="5" s="1"/>
  <c r="G97" i="5"/>
  <c r="H97" i="5" s="1"/>
  <c r="G94" i="5"/>
  <c r="H94" i="5" s="1"/>
  <c r="G117" i="5"/>
  <c r="H117" i="5" s="1"/>
  <c r="G112" i="5"/>
  <c r="H112" i="5" s="1"/>
  <c r="G109" i="5"/>
  <c r="H109" i="5" s="1"/>
  <c r="G106" i="5"/>
  <c r="H106" i="5" s="1"/>
  <c r="G46" i="5"/>
  <c r="H53" i="5" l="1"/>
  <c r="G18" i="5" s="1"/>
  <c r="H18" i="5" s="1"/>
  <c r="H37" i="5"/>
  <c r="G17" i="5" s="1"/>
  <c r="G24" i="5" s="1"/>
  <c r="G13" i="5" s="1"/>
  <c r="H17" i="5" l="1"/>
  <c r="H24" i="5" s="1"/>
  <c r="G14" i="5" s="1"/>
  <c r="H130" i="2"/>
  <c r="G130" i="2"/>
  <c r="H129" i="2"/>
  <c r="H128" i="2"/>
  <c r="G128" i="2"/>
  <c r="B130" i="2"/>
  <c r="B129" i="2" s="1"/>
  <c r="B87" i="2"/>
  <c r="B86" i="2" s="1"/>
  <c r="B85" i="2" s="1"/>
  <c r="B84" i="2" s="1"/>
  <c r="B83" i="2" l="1"/>
  <c r="B82" i="2" s="1"/>
  <c r="F128" i="2"/>
  <c r="F130" i="2"/>
  <c r="B128" i="2"/>
  <c r="G129" i="2" l="1"/>
  <c r="F129" i="2" l="1"/>
</calcChain>
</file>

<file path=xl/sharedStrings.xml><?xml version="1.0" encoding="utf-8"?>
<sst xmlns="http://schemas.openxmlformats.org/spreadsheetml/2006/main" count="649" uniqueCount="286">
  <si>
    <t>ISO 9001</t>
  </si>
  <si>
    <t>AÑO</t>
  </si>
  <si>
    <t>HORAS HOMBRES TRABAJADAS</t>
  </si>
  <si>
    <t>N° ACCIDENTES</t>
  </si>
  <si>
    <t>Índice de Frecuencia (IF)</t>
  </si>
  <si>
    <t>Índice de Severidad (IS)</t>
  </si>
  <si>
    <t>Índice de Accidentabilidad (IA)</t>
  </si>
  <si>
    <t>Razón social</t>
  </si>
  <si>
    <t>ISO 14001</t>
  </si>
  <si>
    <t>OSHA 18001</t>
  </si>
  <si>
    <t>RAZÓN SOCIAL:</t>
  </si>
  <si>
    <t>RUC :</t>
  </si>
  <si>
    <t>DIRECCIÓN:</t>
  </si>
  <si>
    <t>N° DIAS PERDIDOS POR EFECTO DEL ACCIDENTE</t>
  </si>
  <si>
    <t>AGENTE DE PERCEPCIÓN</t>
  </si>
  <si>
    <t>AGENTE DE RETENCIÓN</t>
  </si>
  <si>
    <t>NO</t>
  </si>
  <si>
    <t>SI</t>
  </si>
  <si>
    <t>% de Facturación del Proveedor</t>
  </si>
  <si>
    <t>BUEN CONTRIBUYENTE EN SUNAT</t>
  </si>
  <si>
    <t>EN ASOCIACION DE BUENOS EMPLEADORES</t>
  </si>
  <si>
    <t>BASC V2009</t>
  </si>
  <si>
    <t>NO / SI</t>
  </si>
  <si>
    <t>Activo Corriente</t>
  </si>
  <si>
    <t>Activo Total</t>
  </si>
  <si>
    <t>Pasivo Corriente</t>
  </si>
  <si>
    <t>Pasivo Total</t>
  </si>
  <si>
    <t>Patrimonio</t>
  </si>
  <si>
    <t>Ventas Netas</t>
  </si>
  <si>
    <t>Cuentas por cobrar comerciales</t>
  </si>
  <si>
    <t>Utilidad operacional</t>
  </si>
  <si>
    <t>Utilidad neta</t>
  </si>
  <si>
    <t>SUNAT</t>
  </si>
  <si>
    <t>SEGUROS</t>
  </si>
  <si>
    <t xml:space="preserve">¿ La empresa tiene las siguientes pólizas de seguro vigentes? (Cuando sea aplicable). </t>
  </si>
  <si>
    <t>Póliza de sus activos (edificio, planta)</t>
  </si>
  <si>
    <t>Póliza de daños contra terceros / Responsabilidad civil</t>
  </si>
  <si>
    <t>Pólizas de transporte</t>
  </si>
  <si>
    <t>Pólizas de seguro de alto riesgo del personal</t>
  </si>
  <si>
    <t>ESSALUD</t>
  </si>
  <si>
    <t>AFP / ONP</t>
  </si>
  <si>
    <t>PLANILLA DEL PERSONAL</t>
  </si>
  <si>
    <t>Contacto (Nombre, teléfono y correo)</t>
  </si>
  <si>
    <t>ACTIVIDAD HOMOLOGADA:</t>
  </si>
  <si>
    <t>Revisar en SUNAT (www.sunat.gob.pe/cl-ti-itmrconsruc/jcrS00Alias)</t>
  </si>
  <si>
    <t>Número de trabajadores</t>
  </si>
  <si>
    <t>Número de prestadores de servicio</t>
  </si>
  <si>
    <t>Estado del Contribuyente</t>
  </si>
  <si>
    <t>Condición del contribuyente</t>
  </si>
  <si>
    <t>Deuda coactiva</t>
  </si>
  <si>
    <t>Omisiones tributarias</t>
  </si>
  <si>
    <t>Activo</t>
  </si>
  <si>
    <t>Baja de oficio</t>
  </si>
  <si>
    <t xml:space="preserve">Habido </t>
  </si>
  <si>
    <t>No habido</t>
  </si>
  <si>
    <t>Sin deuda vigente</t>
  </si>
  <si>
    <t>Con deuda vigente</t>
  </si>
  <si>
    <t>Sin omisión tributaria</t>
  </si>
  <si>
    <t>Con omisión tributaria</t>
  </si>
  <si>
    <t>Fecha de inicio de actividades</t>
  </si>
  <si>
    <t>Evaluación Sentinel de Empresa</t>
  </si>
  <si>
    <t>Alto riesgo / Deudas con atraso significativo</t>
  </si>
  <si>
    <t>Mediano riesgo / Deudas con poco atraso</t>
  </si>
  <si>
    <t>Mínimo riesgo / Sin deudas vencidas</t>
  </si>
  <si>
    <t>Bajo riesgo / No reporta información de deudas</t>
  </si>
  <si>
    <t>Año-Mes</t>
  </si>
  <si>
    <t>Tipo de principales clientes</t>
  </si>
  <si>
    <t>Industrias pequeñas y otras empresas</t>
  </si>
  <si>
    <t>Industrias medianas</t>
  </si>
  <si>
    <t>Industrias grandes</t>
  </si>
  <si>
    <t>Industrias grandes, de energía y minería</t>
  </si>
  <si>
    <t>Principales Clientes</t>
  </si>
  <si>
    <t xml:space="preserve"> Detalle de Vencidos (Según Sentinel)</t>
  </si>
  <si>
    <t>PÁGINA WEB:</t>
  </si>
  <si>
    <t>CONFIRMACIÓN</t>
  </si>
  <si>
    <t>No aplica</t>
  </si>
  <si>
    <t>% Utilización</t>
  </si>
  <si>
    <t>Contacto del sectorista (Nombre, Teléfono, Correo)</t>
  </si>
  <si>
    <t>Nombre del banco</t>
  </si>
  <si>
    <t>Monto de línea de crédito (S/.)</t>
  </si>
  <si>
    <t>Deuda actual (S/.)</t>
  </si>
  <si>
    <t>No lleva estadísticas de seguridad</t>
  </si>
  <si>
    <t>No lleva control de accidentes</t>
  </si>
  <si>
    <t>Ratio de accidentabilidad &gt; 1</t>
  </si>
  <si>
    <t>Ratio de accidentabilidad &lt; 1 (Exsa)</t>
  </si>
  <si>
    <t>Estadísticas de Seguridad</t>
  </si>
  <si>
    <t>Año de inicio de relación comercial</t>
  </si>
  <si>
    <t>CALIFICACIÓN DE PROVEEDORES</t>
  </si>
  <si>
    <t>COP-F-003</t>
  </si>
  <si>
    <t>Edición 002</t>
  </si>
  <si>
    <t>Proveedor Exsa E</t>
  </si>
  <si>
    <t>Proveedor Exsa D</t>
  </si>
  <si>
    <t>&lt;</t>
  </si>
  <si>
    <t>Proveedor Exsa C</t>
  </si>
  <si>
    <t>Proveedor Exsa B</t>
  </si>
  <si>
    <t>Proveedor Exsa A</t>
  </si>
  <si>
    <t>&gt;=</t>
  </si>
  <si>
    <t>Item</t>
  </si>
  <si>
    <t>Factores</t>
  </si>
  <si>
    <t>Puntajes</t>
  </si>
  <si>
    <t>PROVEEDOR</t>
  </si>
  <si>
    <t>Datos</t>
  </si>
  <si>
    <t>Edad de la empresa (Años)</t>
  </si>
  <si>
    <t>C</t>
  </si>
  <si>
    <t>B</t>
  </si>
  <si>
    <t>A</t>
  </si>
  <si>
    <t>D</t>
  </si>
  <si>
    <t>X</t>
  </si>
  <si>
    <t>Deuda Actual (Nuevos Soles) Fuente: Sentinel</t>
  </si>
  <si>
    <t>Y</t>
  </si>
  <si>
    <t>Facturación Anual (Nuevos Soles) Fuente: Estados de Resultados</t>
  </si>
  <si>
    <t>X / Y &gt; 5 Años</t>
  </si>
  <si>
    <t>X / Y &gt; 1 Año</t>
  </si>
  <si>
    <t>X / Y &lt;= 1 Año</t>
  </si>
  <si>
    <t>Puntaje Total</t>
  </si>
  <si>
    <t>Resultado</t>
  </si>
  <si>
    <t>Cantidad de trabajadores (Promedio de últimos 6 meses)</t>
  </si>
  <si>
    <t>Porcentaje de personal sub-contratado (Promedio de últimos 6 meses)</t>
  </si>
  <si>
    <t>&gt;</t>
  </si>
  <si>
    <t>Deuda Vs. Facturación (Años de deuda)</t>
  </si>
  <si>
    <t>Deuda con ESSALUD</t>
  </si>
  <si>
    <t>Deuda con SUNAT</t>
  </si>
  <si>
    <t>Deuda con AFP / ONP</t>
  </si>
  <si>
    <t>Deuda de planilla de personal</t>
  </si>
  <si>
    <t>Si</t>
  </si>
  <si>
    <t>No</t>
  </si>
  <si>
    <t>Acepta las normas de Seguridad de Exsa</t>
  </si>
  <si>
    <t>Acepta las normas de Medio Ambiente de Exsa</t>
  </si>
  <si>
    <t>Acepta las Condiciones generales para Compra</t>
  </si>
  <si>
    <t>COMERCIAL</t>
  </si>
  <si>
    <t>INFORMACIÓN FINANCIERA Y OBLIGACIONES LEGALES</t>
  </si>
  <si>
    <t>CAPACIDAD OPERATIVA</t>
  </si>
  <si>
    <t>Indices de Accidentabilidad (Formato OHSAS)</t>
  </si>
  <si>
    <t>CUMPLIMIENTO DE OBLIGACIONES LEGALES</t>
  </si>
  <si>
    <t>OBLIGACIONES  FINANCIERAS Y BANCOS</t>
  </si>
  <si>
    <t>I</t>
  </si>
  <si>
    <t>II</t>
  </si>
  <si>
    <t>CLIENTES</t>
  </si>
  <si>
    <t>PERSONAL</t>
  </si>
  <si>
    <t>ESTADOS FINANCIEROS</t>
  </si>
  <si>
    <t>GESTIÓN DE LA CALIDAD</t>
  </si>
  <si>
    <t>III</t>
  </si>
  <si>
    <t>IV</t>
  </si>
  <si>
    <t>SUSTENTABILIDAD</t>
  </si>
  <si>
    <t>Acepta Código de ética y conducta de Exsa</t>
  </si>
  <si>
    <t>BASC</t>
  </si>
  <si>
    <t>Acepta la política BASC de EXSA</t>
  </si>
  <si>
    <t>I. COMERCIAL</t>
  </si>
  <si>
    <t>II. INFORMACIÓN FINANCIERA Y OBLIGACIONES LEGALES</t>
  </si>
  <si>
    <t>III. CAPACIDAD OPERATIVA</t>
  </si>
  <si>
    <t>IV. GESTIÓN DE LA CALIDAD</t>
  </si>
  <si>
    <t>V. SUSTENTABILIDAD</t>
  </si>
  <si>
    <t>VI. BASC</t>
  </si>
  <si>
    <t>Comentarios (obligatorio en caso NO)</t>
  </si>
  <si>
    <t>Vigente desde: 01-Agosto-2016</t>
  </si>
  <si>
    <t>FECHA DE CALIFICACIÓN:</t>
  </si>
  <si>
    <t>Acepta las Condiciones generales para compra</t>
  </si>
  <si>
    <t>Liquidez general</t>
  </si>
  <si>
    <t>1 &lt; x &lt; 2</t>
  </si>
  <si>
    <t>x &lt; 1, x&gt;2</t>
  </si>
  <si>
    <t>Rotación del activo total</t>
  </si>
  <si>
    <t>&gt;= 0.6</t>
  </si>
  <si>
    <t>&lt; 0.6</t>
  </si>
  <si>
    <t>Rotación de cuentas por cobrar comerciales</t>
  </si>
  <si>
    <t>&gt;= 2</t>
  </si>
  <si>
    <t>&lt; 2</t>
  </si>
  <si>
    <t>Endeudamiento del activo total</t>
  </si>
  <si>
    <t>&lt;= 0.5</t>
  </si>
  <si>
    <t>&gt; 0.5</t>
  </si>
  <si>
    <t>Rentabilidad de los Activos (ROA)</t>
  </si>
  <si>
    <t>&gt;= 10%</t>
  </si>
  <si>
    <t>&lt; 10%</t>
  </si>
  <si>
    <t>Rentabilidad del Capital (ROE)</t>
  </si>
  <si>
    <t>&gt;= 14%</t>
  </si>
  <si>
    <t>&lt; 14%</t>
  </si>
  <si>
    <t>DESCRIPCION DE LOS INDICES FINANCIEROS</t>
  </si>
  <si>
    <t xml:space="preserve">Se entiende por capacidad financiera la Solvencia económica que tiene la empresa proveedora. </t>
  </si>
  <si>
    <t>Las razones de gestión sirven para medir la eficiencia en la gestión de los activos de la empresa.</t>
  </si>
  <si>
    <r>
      <rPr>
        <u/>
        <sz val="10"/>
        <color theme="1"/>
        <rFont val="Arial"/>
        <family val="2"/>
      </rPr>
      <t>Periodo de Pago</t>
    </r>
    <r>
      <rPr>
        <sz val="10"/>
        <color theme="1"/>
        <rFont val="Arial"/>
        <family val="2"/>
      </rPr>
      <t xml:space="preserve">: Este indicador refleja la política de pago que tienen las empresas.  </t>
    </r>
  </si>
  <si>
    <t>El apalancamiento financiero se relaciona con la dependencia que una empresa tiene en la financiación con endeudamiento más que con capital.</t>
  </si>
  <si>
    <r>
      <rPr>
        <u/>
        <sz val="10"/>
        <color theme="1"/>
        <rFont val="Arial"/>
        <family val="2"/>
      </rPr>
      <t>Rentabilidad de los Activos</t>
    </r>
    <r>
      <rPr>
        <sz val="10"/>
        <color theme="1"/>
        <rFont val="Arial"/>
        <family val="2"/>
      </rPr>
      <t>: ROA (Return on Assets) es la razón de utilidad operacional entre el total de activos.</t>
    </r>
  </si>
  <si>
    <r>
      <rPr>
        <u/>
        <sz val="10"/>
        <color theme="1"/>
        <rFont val="Arial"/>
        <family val="2"/>
      </rPr>
      <t>Rentabilidad del Capital</t>
    </r>
    <r>
      <rPr>
        <sz val="10"/>
        <color theme="1"/>
        <rFont val="Arial"/>
        <family val="2"/>
      </rPr>
      <t>: ROE (Return on Equity) se define como el beneficio neto divido entre el capital de los accionistas.</t>
    </r>
  </si>
  <si>
    <t xml:space="preserve">Facturación Anual </t>
  </si>
  <si>
    <t>Líneas de crédito Vs Facturación</t>
  </si>
  <si>
    <t xml:space="preserve">Líneas de crédito </t>
  </si>
  <si>
    <t>X / Y &lt; 10%</t>
  </si>
  <si>
    <t>X / Y &gt;10%</t>
  </si>
  <si>
    <t>X / Y &gt;50%</t>
  </si>
  <si>
    <t>Homologación certificada</t>
  </si>
  <si>
    <t>A (95-100)</t>
  </si>
  <si>
    <t>B (85-95)</t>
  </si>
  <si>
    <t>C (70-85)</t>
  </si>
  <si>
    <t>D (50-70)</t>
  </si>
  <si>
    <t>E (&lt;50)</t>
  </si>
  <si>
    <t>RESULTADO</t>
  </si>
  <si>
    <t>ANÁLISIS</t>
  </si>
  <si>
    <t>Puntaje</t>
  </si>
  <si>
    <t>VI</t>
  </si>
  <si>
    <t>V</t>
  </si>
  <si>
    <t>Puntaje Máximo</t>
  </si>
  <si>
    <t>Puntaje Obtenido</t>
  </si>
  <si>
    <t>Aspecto</t>
  </si>
  <si>
    <t>ACTIVIDAD HOMOLOGADOA</t>
  </si>
  <si>
    <t>Materias primas críticas (Fabricación)</t>
  </si>
  <si>
    <t>Materias primas no críticas (Comercialización)</t>
  </si>
  <si>
    <t>Suministros no críticos (Comercialización)</t>
  </si>
  <si>
    <t>Servicios Comercio exterior (Comex)</t>
  </si>
  <si>
    <t xml:space="preserve">Transportistas </t>
  </si>
  <si>
    <t>DESCRIPCIÓN DE ACTIVIDAD HOMOLOGADA:</t>
  </si>
  <si>
    <t>DESCRIPCIÓN DE ACTIVIDAD:</t>
  </si>
  <si>
    <t>Suministros críticos (Fabricación)</t>
  </si>
  <si>
    <t>Peso</t>
  </si>
  <si>
    <t>Columna (Artificio)</t>
  </si>
  <si>
    <t>Cumplimiento (%)</t>
  </si>
  <si>
    <t>LEYENDA</t>
  </si>
  <si>
    <t>Comentarios (obligatorio en caso SI)</t>
  </si>
  <si>
    <t>1.- INDICES DE LIQUIDEZ :</t>
  </si>
  <si>
    <t>Es la capacidad de la empresa para cumplir sus obligaciones a corto plazo. Las razones de solvencia a corto plazo miden la capacidad de la empresa para pagar sus obligaciones financieras corrientes. En la medida en que una empresa tenga suficiente flujo de caja, podrá evitar el incumplimiento de sus obligaciones financieras.</t>
  </si>
  <si>
    <t>2.- INDICES DE GESTION :</t>
  </si>
  <si>
    <t>3.-INDICE DE SOLVENCIA  (APALANCAMIENTO FINANCIERO) :</t>
  </si>
  <si>
    <t>4.- INDICE DE RENTABILIDAD :</t>
  </si>
  <si>
    <r>
      <rPr>
        <u/>
        <sz val="10"/>
        <color theme="1"/>
        <rFont val="Arial"/>
        <family val="2"/>
      </rPr>
      <t>Razón de Rotación de la Cuenta por Cobrar</t>
    </r>
    <r>
      <rPr>
        <sz val="10"/>
        <color theme="1"/>
        <rFont val="Arial"/>
        <family val="2"/>
      </rPr>
      <t xml:space="preserve"> , Periodo Promedio de Cobro: Estas razones proporciona información acerca del éxito de la empresa en el manejo de su inversión en cuentas por cobrar. El valor real de estas razones refleja la política de crédito de la empresa. Si una empresa tiene una política de crédito liberal, el importe de sus cuentas por cobrar será mayor que el que tendría en otras condiciones.</t>
    </r>
  </si>
  <si>
    <r>
      <rPr>
        <u/>
        <sz val="10"/>
        <color theme="1"/>
        <rFont val="Arial"/>
        <family val="2"/>
      </rPr>
      <t>Razón de Rotación del Activo</t>
    </r>
    <r>
      <rPr>
        <sz val="10"/>
        <color theme="1"/>
        <rFont val="Arial"/>
        <family val="2"/>
      </rPr>
      <t xml:space="preserve">: El objetivo de esta razón es indicar la eficiencia con que una empresautiliza sus activos. Si la razón de rotación del activo es alta, se presume que la empresa esta usando sus activos de modo eficiente para generar ventas. Si la razón es baja, la empresa no esta utilizando sus activos al máximo de su capacidad y debe de incrementar sus ventas o vender algunos activos. </t>
    </r>
  </si>
  <si>
    <t>PUNTAJES</t>
  </si>
  <si>
    <t xml:space="preserve">                                                              ACTIVIDAD HOMOLOGADA
                       ASPECTOS </t>
  </si>
  <si>
    <t>ITEM</t>
  </si>
  <si>
    <t>Evaluación Sentinel de Empresas relacionadas</t>
  </si>
  <si>
    <t>&lt;=</t>
  </si>
  <si>
    <t>DIRECCIÓN DE DONDE ATENDERÁ A EXSA:</t>
  </si>
  <si>
    <t>Entrega certificado / dossier de calidad</t>
  </si>
  <si>
    <t>HOMOLOGACIÓN CERTIFICADA (SGS, BUREAU VERITAS, ETC)</t>
  </si>
  <si>
    <t>Agente de percepción</t>
  </si>
  <si>
    <t>Agente de retención</t>
  </si>
  <si>
    <t>Buen contribuyente en SUNAT</t>
  </si>
  <si>
    <t>En Asociación de Buenos Empleadores (ABE)</t>
  </si>
  <si>
    <t xml:space="preserve">¿ La empresa tiene deudas vencidas? (Cuando sea aplicable). </t>
  </si>
  <si>
    <t>ENTREGA CERTIFICADO DE CALIDAD (DOSSIER, ETC)</t>
  </si>
  <si>
    <t>Servicios críticos (Proyectos Sive´s)</t>
  </si>
  <si>
    <t>Servicios críticos (Mantenimiento)</t>
  </si>
  <si>
    <t>lo mande a puntaje cero</t>
  </si>
  <si>
    <t>si</t>
  </si>
  <si>
    <t>no</t>
  </si>
  <si>
    <t>No presenta</t>
  </si>
  <si>
    <t>Presenta firmada</t>
  </si>
  <si>
    <t>Presenta</t>
  </si>
  <si>
    <t>Evaluación Sentinel de Empresa (Menores a S/. 5,000 o subsanados = A)</t>
  </si>
  <si>
    <t>Servicios no críticos (Administrativos-Campo)</t>
  </si>
  <si>
    <t>Servicios no críticos (Administrativos-Gabinete)</t>
  </si>
  <si>
    <t>Servicios críticos (Proyectos Planta)</t>
  </si>
  <si>
    <t>Propio</t>
  </si>
  <si>
    <t>Alquilado</t>
  </si>
  <si>
    <t>INSTALACIONES</t>
  </si>
  <si>
    <t>Mencionar lo siguiente:</t>
  </si>
  <si>
    <t>Situación de las instalaciones</t>
  </si>
  <si>
    <t>situacion instalaciones</t>
  </si>
  <si>
    <t>Página Web</t>
  </si>
  <si>
    <t>SISTEMA GESTION DE CALIDAD (PROCEDIMIENTO, MANUAL, POLITICA)</t>
  </si>
  <si>
    <t>Sistema de gestión de calidad</t>
  </si>
  <si>
    <t>Situación de instalaciones</t>
  </si>
  <si>
    <t>Metrado de instalaciones (m2)</t>
  </si>
  <si>
    <t>Página web</t>
  </si>
  <si>
    <t>Sistema de gestión SSOMA (Seguridad, Salud Ocupacional, Medio Ambiente)</t>
  </si>
  <si>
    <t>Certificado de Defensa Civil</t>
  </si>
  <si>
    <t>Persona Natural</t>
  </si>
  <si>
    <t>Suspensión temporal</t>
  </si>
  <si>
    <t>Distribución de instalaciones</t>
  </si>
  <si>
    <t>abcde</t>
  </si>
  <si>
    <t>Área total de las instalaciones (m2) Ingresar sólo el número entero en metros cuadrados</t>
  </si>
  <si>
    <t xml:space="preserve">(Área de Taller + Almacénes) / Área Total Instalaciones x 100 (%) </t>
  </si>
  <si>
    <t>REPRESENTANTE LEGAL</t>
  </si>
  <si>
    <t>Nombre completo</t>
  </si>
  <si>
    <t>DNI</t>
  </si>
  <si>
    <t>Domicilio Legal y/o Habitual de la Oficina Principal</t>
  </si>
  <si>
    <r>
      <t xml:space="preserve">Adjuntar Vigencia Poder del Representante Legal (Antigüedad no mayor a 30 días) - </t>
    </r>
    <r>
      <rPr>
        <b/>
        <sz val="11"/>
        <color theme="1"/>
        <rFont val="Calibri"/>
        <family val="2"/>
        <scheme val="minor"/>
      </rPr>
      <t>OBLIGATORIO</t>
    </r>
  </si>
  <si>
    <r>
      <t xml:space="preserve">De todos los clientes del proveedor, no solo Exsa. </t>
    </r>
    <r>
      <rPr>
        <b/>
        <sz val="11"/>
        <color theme="1"/>
        <rFont val="Calibri"/>
        <family val="2"/>
        <scheme val="minor"/>
      </rPr>
      <t>Es necesario adjunte como sustento los Estados de Resultados o PDT de Impuesto a la Renta.</t>
    </r>
  </si>
  <si>
    <r>
      <t xml:space="preserve">Es necesario </t>
    </r>
    <r>
      <rPr>
        <b/>
        <sz val="11"/>
        <color theme="1"/>
        <rFont val="Calibri"/>
        <family val="2"/>
        <scheme val="minor"/>
      </rPr>
      <t>adjunte alguna Orden de Compra o Contrato</t>
    </r>
    <r>
      <rPr>
        <sz val="11"/>
        <color theme="1"/>
        <rFont val="Calibri"/>
        <family val="2"/>
        <scheme val="minor"/>
      </rPr>
      <t>, con o sin monto de compra.</t>
    </r>
  </si>
  <si>
    <r>
      <t xml:space="preserve">Confirmar si cuenta con lo siguientes puntos. Es necesario </t>
    </r>
    <r>
      <rPr>
        <b/>
        <sz val="11"/>
        <color theme="1"/>
        <rFont val="Calibri"/>
        <family val="2"/>
        <scheme val="minor"/>
      </rPr>
      <t>adjunte como evidencia las Constancias, Certificados o Cartas.</t>
    </r>
  </si>
  <si>
    <r>
      <t xml:space="preserve">Es necesario </t>
    </r>
    <r>
      <rPr>
        <b/>
        <sz val="11"/>
        <color theme="1"/>
        <rFont val="Calibri"/>
        <family val="2"/>
        <scheme val="minor"/>
      </rPr>
      <t>adjuntar Registros o resumen de estadísticas de seguridad del último año firmadas por un Ingeniero de seguridad.</t>
    </r>
  </si>
  <si>
    <r>
      <t xml:space="preserve">Es necesario </t>
    </r>
    <r>
      <rPr>
        <b/>
        <sz val="11"/>
        <color theme="1"/>
        <rFont val="Calibri"/>
        <family val="2"/>
        <scheme val="minor"/>
      </rPr>
      <t>adjunte como evidencia las Constancias, Certificados o Cartas.</t>
    </r>
  </si>
  <si>
    <r>
      <t>Es necesario</t>
    </r>
    <r>
      <rPr>
        <b/>
        <sz val="11"/>
        <color theme="1"/>
        <rFont val="Calibri"/>
        <family val="2"/>
        <scheme val="minor"/>
      </rPr>
      <t xml:space="preserve"> adjunte como evidencia las Constancias, Certificados o Cartas.</t>
    </r>
  </si>
  <si>
    <t>COG-F-013</t>
  </si>
  <si>
    <t>Edición 01</t>
  </si>
  <si>
    <t>COMPRAS GENERALES</t>
  </si>
  <si>
    <t>INFORMACIÓN DE PROVEEDOR PARA HOMOLOGACIÓN TIPO E3</t>
  </si>
  <si>
    <t>COG-F-014</t>
  </si>
  <si>
    <t>HOMOLOGACIÓN DE PROVEEDOR TIPO E3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</si>
</sst>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4" formatCode="_ &quot;S/.&quot;\ * #,##0.00_ ;_ &quot;S/.&quot;\ * \-#,##0.00_ ;_ &quot;S/.&quot;\ * &quot;-&quot;??_ ;_ @_ "/>
    <numFmt numFmtId="43" formatCode="_ * #,##0.00_ ;_ * \-#,##0.00_ ;_ * &quot;-&quot;??_ ;_ @_ "/>
    <numFmt numFmtId="164" formatCode="_ [$S/.-280A]\ * #,##0.00_ ;_ [$S/.-280A]\ * \-#,##0.00_ ;_ [$S/.-280A]\ * &quot;-&quot;??_ ;_ @_ "/>
    <numFmt numFmtId="165" formatCode="yyyy\-mm"/>
    <numFmt numFmtId="166" formatCode="_ [$S/.-280A]\ * #,##0_ ;_ [$S/.-280A]\ * \-#,##0_ ;_ [$S/.-280A]\ * &quot;-&quot;??_ ;_ @_ "/>
    <numFmt numFmtId="167" formatCode="_ &quot;S/.&quot;\ * #,##0_ ;_ &quot;S/.&quot;\ * \-#,##0_ ;_ &quot;S/.&quot;\ * &quot;-&quot;??_ ;_ @_ "/>
  </numFmts>
  <fonts count="20" x14ac:knownFonts="1">
    <font>
      <sz val="11"/>
      <color theme="1"/>
      <name val="Calibri"/>
      <family val="2"/>
      <scheme val="minor"/>
    </font>
    <font>
      <sz val="11"/>
      <color theme="1"/>
      <name val="Calibri"/>
      <family val="2"/>
      <scheme val="minor"/>
    </font>
    <font>
      <u/>
      <sz val="11"/>
      <color theme="10"/>
      <name val="Calibri"/>
      <family val="2"/>
      <scheme val="minor"/>
    </font>
    <font>
      <sz val="10"/>
      <color theme="1"/>
      <name val="Arial"/>
      <family val="2"/>
    </font>
    <font>
      <b/>
      <sz val="10"/>
      <color theme="1"/>
      <name val="Arial"/>
      <family val="2"/>
    </font>
    <font>
      <b/>
      <sz val="12"/>
      <color theme="1"/>
      <name val="Arial"/>
      <family val="2"/>
    </font>
    <font>
      <b/>
      <sz val="11"/>
      <color theme="0"/>
      <name val="Calibri"/>
      <family val="2"/>
      <scheme val="minor"/>
    </font>
    <font>
      <b/>
      <sz val="11"/>
      <color theme="1"/>
      <name val="Calibri"/>
      <family val="2"/>
      <scheme val="minor"/>
    </font>
    <font>
      <sz val="11"/>
      <color theme="0"/>
      <name val="Calibri"/>
      <family val="2"/>
      <scheme val="minor"/>
    </font>
    <font>
      <sz val="11"/>
      <name val="Calibri"/>
      <family val="2"/>
      <scheme val="minor"/>
    </font>
    <font>
      <b/>
      <sz val="14"/>
      <color theme="1"/>
      <name val="Calibri"/>
      <family val="2"/>
      <scheme val="minor"/>
    </font>
    <font>
      <u/>
      <sz val="10"/>
      <color theme="1"/>
      <name val="Arial"/>
      <family val="2"/>
    </font>
    <font>
      <b/>
      <sz val="11"/>
      <name val="Calibri"/>
      <family val="2"/>
      <scheme val="minor"/>
    </font>
    <font>
      <sz val="10"/>
      <name val="Arial"/>
      <family val="2"/>
    </font>
    <font>
      <sz val="12"/>
      <color theme="1"/>
      <name val="Arial"/>
      <family val="2"/>
    </font>
    <font>
      <sz val="10"/>
      <color rgb="FFFF0000"/>
      <name val="Arial"/>
      <family val="2"/>
    </font>
    <font>
      <sz val="10"/>
      <color rgb="FF00B050"/>
      <name val="Arial"/>
      <family val="2"/>
    </font>
    <font>
      <sz val="10"/>
      <color theme="9" tint="-0.249977111117893"/>
      <name val="Arial"/>
      <family val="2"/>
    </font>
    <font>
      <sz val="11"/>
      <name val="Arial"/>
      <family val="2"/>
    </font>
    <font>
      <sz val="10"/>
      <color theme="0"/>
      <name val="Arial"/>
      <family val="2"/>
    </font>
  </fonts>
  <fills count="10">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3" tint="0.59999389629810485"/>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s>
  <borders count="54">
    <border>
      <left/>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style="medium">
        <color indexed="64"/>
      </left>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style="medium">
        <color indexed="64"/>
      </left>
      <right/>
      <top/>
      <bottom style="thin">
        <color indexed="64"/>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bottom style="thin">
        <color indexed="64"/>
      </bottom>
      <diagonal/>
    </border>
    <border>
      <left style="thin">
        <color indexed="64"/>
      </left>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s>
  <cellStyleXfs count="7">
    <xf numFmtId="0" fontId="0" fillId="0" borderId="0"/>
    <xf numFmtId="44"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1" fillId="0" borderId="0"/>
    <xf numFmtId="0" fontId="13" fillId="0" borderId="0"/>
    <xf numFmtId="43" fontId="1" fillId="0" borderId="0" applyFont="0" applyFill="0" applyBorder="0" applyAlignment="0" applyProtection="0"/>
  </cellStyleXfs>
  <cellXfs count="355">
    <xf numFmtId="0" fontId="0" fillId="0" borderId="0" xfId="0"/>
    <xf numFmtId="0" fontId="0" fillId="2" borderId="0" xfId="0" applyFill="1"/>
    <xf numFmtId="0" fontId="0" fillId="2" borderId="0" xfId="0" applyFont="1" applyFill="1" applyProtection="1"/>
    <xf numFmtId="0" fontId="0" fillId="2" borderId="0" xfId="0" applyFont="1" applyFill="1" applyBorder="1" applyProtection="1"/>
    <xf numFmtId="0" fontId="7" fillId="2" borderId="0" xfId="0" applyFont="1" applyFill="1" applyBorder="1" applyAlignment="1" applyProtection="1">
      <alignment vertical="center"/>
    </xf>
    <xf numFmtId="0" fontId="7" fillId="2" borderId="0" xfId="0" applyFont="1" applyFill="1" applyAlignment="1" applyProtection="1">
      <alignment horizontal="left" vertical="center"/>
    </xf>
    <xf numFmtId="0" fontId="0" fillId="2" borderId="0" xfId="0" applyFont="1" applyFill="1" applyBorder="1" applyAlignment="1" applyProtection="1">
      <alignment vertical="center"/>
    </xf>
    <xf numFmtId="0" fontId="0" fillId="2" borderId="0" xfId="0" applyFont="1" applyFill="1" applyAlignment="1" applyProtection="1">
      <alignment horizontal="center" vertical="center"/>
    </xf>
    <xf numFmtId="0" fontId="0" fillId="2" borderId="0" xfId="0" applyFont="1" applyFill="1" applyAlignment="1" applyProtection="1">
      <alignment horizontal="left" vertical="center"/>
    </xf>
    <xf numFmtId="0" fontId="0" fillId="2" borderId="0" xfId="0" applyFont="1" applyFill="1" applyBorder="1" applyAlignment="1" applyProtection="1">
      <alignment horizontal="center" vertical="center"/>
    </xf>
    <xf numFmtId="0" fontId="0" fillId="2" borderId="0" xfId="0" applyFont="1" applyFill="1" applyBorder="1" applyAlignment="1" applyProtection="1">
      <alignment horizontal="left" vertical="center"/>
    </xf>
    <xf numFmtId="0" fontId="0" fillId="2" borderId="4" xfId="0" applyFont="1" applyFill="1" applyBorder="1" applyAlignment="1" applyProtection="1">
      <alignment horizontal="left" vertical="center"/>
    </xf>
    <xf numFmtId="0" fontId="0" fillId="2" borderId="4" xfId="0" applyFont="1" applyFill="1" applyBorder="1" applyProtection="1"/>
    <xf numFmtId="0" fontId="0" fillId="2" borderId="4" xfId="0" applyFont="1" applyFill="1" applyBorder="1" applyAlignment="1" applyProtection="1">
      <alignment horizontal="center" vertical="center"/>
    </xf>
    <xf numFmtId="165" fontId="0" fillId="2" borderId="4" xfId="0" applyNumberFormat="1" applyFont="1" applyFill="1" applyBorder="1" applyAlignment="1" applyProtection="1">
      <alignment horizontal="left" vertical="center"/>
    </xf>
    <xf numFmtId="165" fontId="0" fillId="2" borderId="4" xfId="0" applyNumberFormat="1" applyFont="1" applyFill="1" applyBorder="1" applyAlignment="1" applyProtection="1">
      <alignment horizontal="center" vertical="center"/>
    </xf>
    <xf numFmtId="165" fontId="0" fillId="2" borderId="0" xfId="0" applyNumberFormat="1" applyFont="1" applyFill="1" applyBorder="1" applyAlignment="1" applyProtection="1">
      <alignment horizontal="center" vertical="center"/>
    </xf>
    <xf numFmtId="0" fontId="0" fillId="3" borderId="4" xfId="0" applyFont="1" applyFill="1" applyBorder="1" applyAlignment="1" applyProtection="1">
      <alignment horizontal="center" vertical="center"/>
      <protection locked="0"/>
    </xf>
    <xf numFmtId="9" fontId="0" fillId="3" borderId="4" xfId="2" applyFont="1" applyFill="1" applyBorder="1" applyAlignment="1" applyProtection="1">
      <alignment horizontal="center" vertical="center"/>
      <protection locked="0"/>
    </xf>
    <xf numFmtId="3" fontId="0" fillId="3" borderId="4" xfId="0" applyNumberFormat="1" applyFont="1" applyFill="1" applyBorder="1" applyAlignment="1" applyProtection="1">
      <alignment horizontal="center" vertical="center"/>
      <protection locked="0"/>
    </xf>
    <xf numFmtId="4" fontId="8" fillId="2" borderId="0" xfId="0" applyNumberFormat="1" applyFont="1" applyFill="1" applyBorder="1" applyAlignment="1" applyProtection="1">
      <alignment horizontal="center" vertical="center"/>
    </xf>
    <xf numFmtId="3" fontId="0" fillId="2" borderId="4" xfId="0" applyNumberFormat="1" applyFont="1" applyFill="1" applyBorder="1" applyAlignment="1" applyProtection="1">
      <alignment horizontal="center" vertical="center"/>
    </xf>
    <xf numFmtId="0" fontId="8" fillId="2" borderId="0" xfId="0" applyFont="1" applyFill="1" applyBorder="1" applyAlignment="1" applyProtection="1">
      <alignment horizontal="left" vertical="center"/>
    </xf>
    <xf numFmtId="3" fontId="0" fillId="2" borderId="0" xfId="0" applyNumberFormat="1" applyFont="1" applyFill="1" applyBorder="1" applyAlignment="1" applyProtection="1">
      <alignment horizontal="center" vertical="center"/>
    </xf>
    <xf numFmtId="0" fontId="7" fillId="2" borderId="9" xfId="0" applyFont="1" applyFill="1" applyBorder="1" applyAlignment="1" applyProtection="1">
      <alignment horizontal="center" vertical="center" wrapText="1"/>
    </xf>
    <xf numFmtId="3" fontId="0" fillId="3" borderId="29" xfId="0" applyNumberFormat="1" applyFont="1" applyFill="1" applyBorder="1" applyAlignment="1" applyProtection="1">
      <alignment horizontal="center" vertical="center"/>
      <protection locked="0"/>
    </xf>
    <xf numFmtId="3" fontId="0" fillId="3" borderId="9" xfId="0" applyNumberFormat="1" applyFont="1" applyFill="1" applyBorder="1" applyAlignment="1" applyProtection="1">
      <alignment horizontal="center" vertical="center"/>
      <protection locked="0"/>
    </xf>
    <xf numFmtId="0" fontId="7" fillId="2" borderId="7" xfId="0" applyFont="1" applyFill="1" applyBorder="1" applyAlignment="1" applyProtection="1">
      <alignment horizontal="center" vertical="center"/>
    </xf>
    <xf numFmtId="0" fontId="0" fillId="3" borderId="30" xfId="0" applyFont="1" applyFill="1" applyBorder="1" applyAlignment="1" applyProtection="1">
      <alignment horizontal="left" vertical="center"/>
      <protection locked="0"/>
    </xf>
    <xf numFmtId="0" fontId="0" fillId="3" borderId="7" xfId="0" applyFont="1" applyFill="1" applyBorder="1" applyAlignment="1" applyProtection="1">
      <alignment horizontal="left" vertical="center"/>
      <protection locked="0"/>
    </xf>
    <xf numFmtId="9" fontId="0" fillId="3" borderId="26" xfId="2" applyFont="1" applyFill="1" applyBorder="1" applyAlignment="1" applyProtection="1">
      <alignment horizontal="center" vertical="center"/>
      <protection locked="0"/>
    </xf>
    <xf numFmtId="3" fontId="0" fillId="3" borderId="4" xfId="0" applyNumberFormat="1" applyFont="1" applyFill="1" applyBorder="1" applyAlignment="1" applyProtection="1">
      <alignment horizontal="left" vertical="center"/>
      <protection locked="0"/>
    </xf>
    <xf numFmtId="0" fontId="7" fillId="5" borderId="0" xfId="0" applyFont="1" applyFill="1" applyAlignment="1" applyProtection="1">
      <alignment horizontal="left" vertical="center" wrapText="1"/>
    </xf>
    <xf numFmtId="0" fontId="7" fillId="4" borderId="0" xfId="0" applyFont="1" applyFill="1" applyAlignment="1" applyProtection="1">
      <alignment vertical="center"/>
    </xf>
    <xf numFmtId="0" fontId="7" fillId="2" borderId="0" xfId="0" applyFont="1" applyFill="1" applyAlignment="1" applyProtection="1">
      <alignment vertical="center"/>
    </xf>
    <xf numFmtId="167" fontId="0" fillId="2" borderId="0" xfId="1" applyNumberFormat="1" applyFont="1" applyFill="1" applyBorder="1" applyAlignment="1" applyProtection="1">
      <alignment horizontal="center" vertical="center"/>
    </xf>
    <xf numFmtId="4" fontId="9" fillId="2" borderId="4" xfId="0" applyNumberFormat="1" applyFont="1" applyFill="1" applyBorder="1" applyAlignment="1" applyProtection="1">
      <alignment horizontal="center" vertical="center"/>
    </xf>
    <xf numFmtId="0" fontId="0" fillId="2" borderId="0" xfId="0" applyFont="1" applyFill="1"/>
    <xf numFmtId="3" fontId="0" fillId="2" borderId="10" xfId="0" applyNumberFormat="1" applyFont="1" applyFill="1" applyBorder="1" applyAlignment="1">
      <alignment horizontal="left" vertical="center" wrapText="1"/>
    </xf>
    <xf numFmtId="3" fontId="0" fillId="2" borderId="11" xfId="0" applyNumberFormat="1" applyFont="1" applyFill="1" applyBorder="1" applyAlignment="1">
      <alignment horizontal="left" vertical="center" wrapText="1"/>
    </xf>
    <xf numFmtId="3" fontId="0" fillId="2" borderId="12" xfId="0" applyNumberFormat="1" applyFont="1" applyFill="1" applyBorder="1" applyAlignment="1">
      <alignment horizontal="left" vertical="center" wrapText="1"/>
    </xf>
    <xf numFmtId="0" fontId="0" fillId="2" borderId="10" xfId="0" applyFont="1" applyFill="1" applyBorder="1" applyAlignment="1">
      <alignment horizontal="left" vertical="center" wrapText="1"/>
    </xf>
    <xf numFmtId="0" fontId="0" fillId="2" borderId="11" xfId="0" applyFont="1" applyFill="1" applyBorder="1" applyAlignment="1">
      <alignment horizontal="left" vertical="center" wrapText="1"/>
    </xf>
    <xf numFmtId="0" fontId="0" fillId="2" borderId="12" xfId="0" applyFont="1" applyFill="1" applyBorder="1" applyAlignment="1">
      <alignment horizontal="left" vertical="center" wrapText="1"/>
    </xf>
    <xf numFmtId="0" fontId="7" fillId="2" borderId="0" xfId="0" applyFont="1" applyFill="1" applyBorder="1" applyAlignment="1" applyProtection="1">
      <alignment horizontal="center" vertical="center"/>
    </xf>
    <xf numFmtId="0" fontId="7" fillId="2" borderId="4" xfId="0" applyFont="1" applyFill="1" applyBorder="1" applyAlignment="1" applyProtection="1">
      <alignment horizontal="center" vertical="center"/>
    </xf>
    <xf numFmtId="0" fontId="7" fillId="2" borderId="4" xfId="0" applyFont="1" applyFill="1" applyBorder="1" applyAlignment="1" applyProtection="1">
      <alignment horizontal="center" vertical="center" wrapText="1"/>
    </xf>
    <xf numFmtId="0" fontId="0" fillId="2" borderId="4" xfId="0" applyFont="1" applyFill="1" applyBorder="1" applyAlignment="1" applyProtection="1">
      <alignment horizontal="center"/>
    </xf>
    <xf numFmtId="0" fontId="9" fillId="0" borderId="7" xfId="0" applyFont="1" applyBorder="1" applyAlignment="1" applyProtection="1">
      <alignment vertical="center" wrapText="1"/>
    </xf>
    <xf numFmtId="14" fontId="0" fillId="3" borderId="4" xfId="0" applyNumberFormat="1" applyFont="1" applyFill="1" applyBorder="1" applyAlignment="1" applyProtection="1">
      <alignment horizontal="center" vertical="center"/>
      <protection locked="0"/>
    </xf>
    <xf numFmtId="167" fontId="0" fillId="3" borderId="4" xfId="1" applyNumberFormat="1" applyFont="1" applyFill="1" applyBorder="1" applyAlignment="1" applyProtection="1">
      <alignment horizontal="center" vertical="center"/>
      <protection locked="0"/>
    </xf>
    <xf numFmtId="44" fontId="0" fillId="3" borderId="4" xfId="1" applyFont="1" applyFill="1" applyBorder="1" applyAlignment="1" applyProtection="1">
      <alignment horizontal="center" vertical="center"/>
      <protection locked="0"/>
    </xf>
    <xf numFmtId="43" fontId="0" fillId="3" borderId="26" xfId="6" applyFont="1" applyFill="1" applyBorder="1" applyAlignment="1" applyProtection="1">
      <alignment horizontal="center" vertical="center"/>
      <protection locked="0"/>
    </xf>
    <xf numFmtId="43" fontId="0" fillId="3" borderId="4" xfId="6" applyFont="1" applyFill="1" applyBorder="1" applyAlignment="1" applyProtection="1">
      <alignment horizontal="center" vertical="center"/>
      <protection locked="0"/>
    </xf>
    <xf numFmtId="165" fontId="0" fillId="2" borderId="0" xfId="0" applyNumberFormat="1" applyFont="1" applyFill="1" applyBorder="1" applyAlignment="1" applyProtection="1">
      <alignment horizontal="left" vertical="center"/>
    </xf>
    <xf numFmtId="0" fontId="9" fillId="0" borderId="7" xfId="0" applyFont="1" applyBorder="1" applyAlignment="1" applyProtection="1">
      <alignment horizontal="left" vertical="center" wrapText="1"/>
    </xf>
    <xf numFmtId="9" fontId="0" fillId="3" borderId="4" xfId="0" applyNumberFormat="1" applyFont="1" applyFill="1" applyBorder="1" applyAlignment="1" applyProtection="1">
      <alignment horizontal="center" vertical="center"/>
      <protection locked="0"/>
    </xf>
    <xf numFmtId="0" fontId="0" fillId="2" borderId="4" xfId="0" applyFont="1" applyFill="1" applyBorder="1" applyAlignment="1" applyProtection="1">
      <alignment horizontal="center" vertical="center" wrapText="1"/>
    </xf>
    <xf numFmtId="0" fontId="3" fillId="0" borderId="32" xfId="0" applyFont="1" applyBorder="1" applyAlignment="1" applyProtection="1"/>
    <xf numFmtId="0" fontId="3" fillId="0" borderId="0" xfId="0" applyFont="1" applyProtection="1"/>
    <xf numFmtId="0" fontId="3" fillId="0" borderId="27" xfId="0" applyFont="1" applyBorder="1" applyAlignment="1" applyProtection="1"/>
    <xf numFmtId="0" fontId="3" fillId="0" borderId="30" xfId="0" applyFont="1" applyBorder="1" applyAlignment="1" applyProtection="1"/>
    <xf numFmtId="0" fontId="3" fillId="2" borderId="0" xfId="4" applyFont="1" applyFill="1" applyProtection="1"/>
    <xf numFmtId="0" fontId="3" fillId="0" borderId="4" xfId="0" applyFont="1" applyBorder="1" applyAlignment="1" applyProtection="1">
      <alignment horizontal="center" vertical="center" wrapText="1"/>
    </xf>
    <xf numFmtId="0" fontId="3" fillId="0" borderId="4" xfId="0" applyFont="1" applyBorder="1" applyAlignment="1" applyProtection="1">
      <alignment horizontal="left" vertical="center" wrapText="1"/>
    </xf>
    <xf numFmtId="0" fontId="3" fillId="0" borderId="0" xfId="0" applyFont="1" applyAlignment="1" applyProtection="1">
      <alignment horizontal="center" vertical="center" wrapText="1"/>
    </xf>
    <xf numFmtId="0" fontId="3" fillId="6" borderId="4" xfId="4" applyFont="1" applyFill="1" applyBorder="1" applyAlignment="1" applyProtection="1">
      <alignment horizontal="center" vertical="center" wrapText="1"/>
    </xf>
    <xf numFmtId="0" fontId="3" fillId="6" borderId="4" xfId="4" applyFont="1" applyFill="1" applyBorder="1" applyAlignment="1" applyProtection="1">
      <alignment horizontal="left" vertical="center" wrapText="1"/>
    </xf>
    <xf numFmtId="9" fontId="3" fillId="6" borderId="4" xfId="2" applyFont="1" applyFill="1" applyBorder="1" applyAlignment="1" applyProtection="1">
      <alignment horizontal="center" vertical="center" wrapText="1"/>
    </xf>
    <xf numFmtId="0" fontId="3" fillId="2" borderId="4" xfId="4" applyFont="1" applyFill="1" applyBorder="1" applyAlignment="1" applyProtection="1">
      <alignment horizontal="center" vertical="center" wrapText="1"/>
    </xf>
    <xf numFmtId="0" fontId="3" fillId="2" borderId="4" xfId="4" applyFont="1" applyFill="1" applyBorder="1" applyAlignment="1" applyProtection="1">
      <alignment horizontal="left" vertical="center"/>
    </xf>
    <xf numFmtId="9" fontId="3" fillId="2" borderId="4" xfId="2" applyFont="1" applyFill="1" applyBorder="1" applyAlignment="1" applyProtection="1">
      <alignment horizontal="center" vertical="center"/>
    </xf>
    <xf numFmtId="9" fontId="15" fillId="2" borderId="4" xfId="2" applyFont="1" applyFill="1" applyBorder="1" applyAlignment="1" applyProtection="1">
      <alignment horizontal="center" vertical="center"/>
    </xf>
    <xf numFmtId="0" fontId="3" fillId="2" borderId="4" xfId="0" applyFont="1" applyFill="1" applyBorder="1" applyAlignment="1" applyProtection="1">
      <alignment horizontal="left" vertical="center"/>
    </xf>
    <xf numFmtId="9" fontId="17" fillId="2" borderId="4" xfId="2" applyFont="1" applyFill="1" applyBorder="1" applyAlignment="1" applyProtection="1">
      <alignment horizontal="center" vertical="center"/>
    </xf>
    <xf numFmtId="0" fontId="3" fillId="0" borderId="4" xfId="0" applyFont="1" applyBorder="1" applyProtection="1"/>
    <xf numFmtId="9" fontId="3" fillId="2" borderId="4" xfId="2" applyFont="1" applyFill="1" applyBorder="1" applyAlignment="1" applyProtection="1">
      <alignment horizontal="left" vertical="center"/>
    </xf>
    <xf numFmtId="9" fontId="16" fillId="2" borderId="4" xfId="2" applyFont="1" applyFill="1" applyBorder="1" applyAlignment="1" applyProtection="1">
      <alignment horizontal="center" vertical="center"/>
    </xf>
    <xf numFmtId="9" fontId="17" fillId="0" borderId="0" xfId="2" applyFont="1" applyAlignment="1" applyProtection="1">
      <alignment horizontal="center"/>
    </xf>
    <xf numFmtId="9" fontId="3" fillId="0" borderId="0" xfId="0" applyNumberFormat="1" applyFont="1" applyProtection="1"/>
    <xf numFmtId="0" fontId="3" fillId="2" borderId="0" xfId="4" applyFont="1" applyFill="1" applyBorder="1" applyProtection="1"/>
    <xf numFmtId="0" fontId="3" fillId="2" borderId="0" xfId="4" applyFont="1" applyFill="1" applyAlignment="1" applyProtection="1">
      <alignment horizontal="center" vertical="center"/>
    </xf>
    <xf numFmtId="0" fontId="4" fillId="2" borderId="4" xfId="4" applyFont="1" applyFill="1" applyBorder="1" applyAlignment="1" applyProtection="1">
      <alignment horizontal="center" vertical="center"/>
    </xf>
    <xf numFmtId="0" fontId="4" fillId="2" borderId="0" xfId="4" applyFont="1" applyFill="1" applyBorder="1" applyAlignment="1" applyProtection="1">
      <alignment horizontal="center" vertical="center"/>
    </xf>
    <xf numFmtId="0" fontId="3" fillId="2" borderId="0" xfId="4" applyFont="1" applyFill="1" applyBorder="1" applyAlignment="1" applyProtection="1">
      <alignment horizontal="left"/>
    </xf>
    <xf numFmtId="0" fontId="4" fillId="2" borderId="0" xfId="4" applyFont="1" applyFill="1" applyBorder="1" applyAlignment="1" applyProtection="1">
      <alignment horizontal="left"/>
    </xf>
    <xf numFmtId="0" fontId="4" fillId="2" borderId="0" xfId="4" applyFont="1" applyFill="1" applyBorder="1" applyProtection="1"/>
    <xf numFmtId="0" fontId="3" fillId="2" borderId="4" xfId="4" applyFont="1" applyFill="1" applyBorder="1" applyAlignment="1" applyProtection="1"/>
    <xf numFmtId="0" fontId="3" fillId="2" borderId="4" xfId="4" applyFont="1" applyFill="1" applyBorder="1" applyAlignment="1" applyProtection="1">
      <alignment horizontal="center"/>
    </xf>
    <xf numFmtId="9" fontId="3" fillId="2" borderId="4" xfId="2" applyFont="1" applyFill="1" applyBorder="1" applyAlignment="1" applyProtection="1">
      <alignment horizontal="center" vertical="center" wrapText="1"/>
    </xf>
    <xf numFmtId="1" fontId="3" fillId="2" borderId="4" xfId="4" applyNumberFormat="1" applyFont="1" applyFill="1" applyBorder="1" applyAlignment="1" applyProtection="1">
      <alignment horizontal="center" vertical="center" wrapText="1"/>
    </xf>
    <xf numFmtId="1" fontId="3" fillId="2" borderId="4" xfId="4" applyNumberFormat="1" applyFont="1" applyFill="1" applyBorder="1" applyAlignment="1" applyProtection="1">
      <alignment horizontal="center" vertical="center"/>
    </xf>
    <xf numFmtId="0" fontId="3" fillId="2" borderId="0" xfId="4" applyFont="1" applyFill="1" applyBorder="1" applyAlignment="1" applyProtection="1">
      <alignment horizontal="center" vertical="center" wrapText="1"/>
    </xf>
    <xf numFmtId="0" fontId="3" fillId="2" borderId="0" xfId="4" applyFont="1" applyFill="1" applyBorder="1" applyAlignment="1" applyProtection="1">
      <alignment horizontal="left" vertical="center" wrapText="1"/>
    </xf>
    <xf numFmtId="9" fontId="3" fillId="2" borderId="0" xfId="2" applyFont="1" applyFill="1" applyBorder="1" applyAlignment="1" applyProtection="1">
      <alignment horizontal="left" vertical="center" wrapText="1"/>
    </xf>
    <xf numFmtId="1" fontId="4" fillId="2" borderId="0" xfId="4" applyNumberFormat="1" applyFont="1" applyFill="1" applyBorder="1" applyAlignment="1" applyProtection="1">
      <alignment horizontal="center" vertical="center"/>
    </xf>
    <xf numFmtId="0" fontId="3" fillId="2" borderId="0" xfId="4" applyNumberFormat="1" applyFont="1" applyFill="1" applyBorder="1" applyAlignment="1" applyProtection="1">
      <alignment horizontal="left" vertical="center" wrapText="1"/>
    </xf>
    <xf numFmtId="0" fontId="3" fillId="2" borderId="9" xfId="4" applyFont="1" applyFill="1" applyBorder="1" applyAlignment="1" applyProtection="1">
      <alignment horizontal="center" vertical="center"/>
    </xf>
    <xf numFmtId="0" fontId="3" fillId="2" borderId="8" xfId="4" applyFont="1" applyFill="1" applyBorder="1" applyAlignment="1" applyProtection="1">
      <alignment horizontal="center" vertical="center"/>
    </xf>
    <xf numFmtId="9" fontId="3" fillId="2" borderId="8" xfId="2" applyFont="1" applyFill="1" applyBorder="1" applyAlignment="1" applyProtection="1">
      <alignment horizontal="center" vertical="center"/>
    </xf>
    <xf numFmtId="0" fontId="3" fillId="2" borderId="9" xfId="4" applyFont="1" applyFill="1" applyBorder="1" applyAlignment="1" applyProtection="1">
      <alignment horizontal="left" vertical="center"/>
    </xf>
    <xf numFmtId="0" fontId="4" fillId="6" borderId="25" xfId="4" applyFont="1" applyFill="1" applyBorder="1" applyAlignment="1" applyProtection="1">
      <alignment horizontal="center" vertical="center"/>
    </xf>
    <xf numFmtId="0" fontId="4" fillId="6" borderId="22" xfId="4" applyFont="1" applyFill="1" applyBorder="1" applyAlignment="1" applyProtection="1">
      <alignment horizontal="center" vertical="center"/>
    </xf>
    <xf numFmtId="0" fontId="4" fillId="6" borderId="47" xfId="4" applyFont="1" applyFill="1" applyBorder="1" applyAlignment="1" applyProtection="1">
      <alignment horizontal="center" vertical="center" wrapText="1"/>
    </xf>
    <xf numFmtId="0" fontId="4" fillId="6" borderId="35" xfId="4" applyFont="1" applyFill="1" applyBorder="1" applyAlignment="1" applyProtection="1">
      <alignment horizontal="center" vertical="center" wrapText="1"/>
    </xf>
    <xf numFmtId="0" fontId="4" fillId="6" borderId="48" xfId="4" applyFont="1" applyFill="1" applyBorder="1" applyAlignment="1" applyProtection="1">
      <alignment horizontal="center" vertical="center"/>
    </xf>
    <xf numFmtId="1" fontId="4" fillId="6" borderId="36" xfId="4" applyNumberFormat="1" applyFont="1" applyFill="1" applyBorder="1" applyAlignment="1" applyProtection="1">
      <alignment horizontal="center" vertical="center"/>
    </xf>
    <xf numFmtId="0" fontId="0" fillId="2" borderId="7" xfId="0" applyFill="1" applyBorder="1" applyAlignment="1" applyProtection="1">
      <alignment horizontal="center" vertical="center" wrapText="1"/>
    </xf>
    <xf numFmtId="9" fontId="4" fillId="2" borderId="14" xfId="2" applyFont="1" applyFill="1" applyBorder="1" applyAlignment="1" applyProtection="1">
      <alignment horizontal="center" vertical="center"/>
    </xf>
    <xf numFmtId="0" fontId="4" fillId="2" borderId="14" xfId="4" applyFont="1" applyFill="1" applyBorder="1" applyAlignment="1" applyProtection="1">
      <alignment horizontal="center" vertical="center"/>
    </xf>
    <xf numFmtId="3" fontId="3" fillId="2" borderId="14" xfId="4" applyNumberFormat="1" applyFont="1" applyFill="1" applyBorder="1" applyAlignment="1" applyProtection="1">
      <alignment horizontal="center" vertical="center"/>
    </xf>
    <xf numFmtId="0" fontId="3" fillId="2" borderId="16" xfId="4" applyFont="1" applyFill="1" applyBorder="1" applyAlignment="1" applyProtection="1">
      <alignment horizontal="center" vertical="center"/>
    </xf>
    <xf numFmtId="0" fontId="4" fillId="2" borderId="32" xfId="4" applyFont="1" applyFill="1" applyBorder="1" applyAlignment="1" applyProtection="1">
      <alignment horizontal="center" vertical="center" wrapText="1"/>
    </xf>
    <xf numFmtId="0" fontId="3" fillId="2" borderId="10" xfId="4" applyFont="1" applyFill="1" applyBorder="1" applyAlignment="1" applyProtection="1">
      <alignment horizontal="left" vertical="center" wrapText="1"/>
    </xf>
    <xf numFmtId="0" fontId="3" fillId="2" borderId="10" xfId="4" applyFont="1" applyFill="1" applyBorder="1" applyAlignment="1" applyProtection="1">
      <alignment horizontal="center" vertical="center" wrapText="1"/>
    </xf>
    <xf numFmtId="0" fontId="3" fillId="2" borderId="15" xfId="4" applyFont="1" applyFill="1" applyBorder="1" applyAlignment="1" applyProtection="1">
      <alignment horizontal="center" vertical="center" wrapText="1"/>
    </xf>
    <xf numFmtId="0" fontId="3" fillId="2" borderId="18" xfId="4" applyFont="1" applyFill="1" applyBorder="1" applyAlignment="1" applyProtection="1">
      <alignment horizontal="center" vertical="center" wrapText="1"/>
    </xf>
    <xf numFmtId="0" fontId="3" fillId="2" borderId="0" xfId="4" applyFont="1" applyFill="1" applyBorder="1" applyAlignment="1" applyProtection="1">
      <alignment horizontal="center" vertical="center"/>
    </xf>
    <xf numFmtId="0" fontId="4" fillId="2" borderId="27" xfId="4" applyFont="1" applyFill="1" applyBorder="1" applyAlignment="1" applyProtection="1">
      <alignment horizontal="center" vertical="center" wrapText="1"/>
    </xf>
    <xf numFmtId="0" fontId="3" fillId="2" borderId="11" xfId="4" applyFont="1" applyFill="1" applyBorder="1" applyAlignment="1" applyProtection="1">
      <alignment horizontal="left" vertical="center" wrapText="1"/>
    </xf>
    <xf numFmtId="0" fontId="3" fillId="2" borderId="11" xfId="4" applyFont="1" applyFill="1" applyBorder="1" applyAlignment="1" applyProtection="1">
      <alignment horizontal="center" vertical="center" wrapText="1"/>
    </xf>
    <xf numFmtId="0" fontId="3" fillId="2" borderId="19" xfId="4" applyFont="1" applyFill="1" applyBorder="1" applyAlignment="1" applyProtection="1">
      <alignment horizontal="center" vertical="center" wrapText="1"/>
    </xf>
    <xf numFmtId="0" fontId="4" fillId="2" borderId="30" xfId="4" applyFont="1" applyFill="1" applyBorder="1" applyAlignment="1" applyProtection="1">
      <alignment horizontal="center" vertical="center" wrapText="1"/>
    </xf>
    <xf numFmtId="0" fontId="3" fillId="2" borderId="29" xfId="4" applyFont="1" applyFill="1" applyBorder="1" applyAlignment="1" applyProtection="1">
      <alignment horizontal="left" vertical="center" wrapText="1"/>
    </xf>
    <xf numFmtId="9" fontId="4" fillId="2" borderId="4" xfId="2" applyFont="1" applyFill="1" applyBorder="1" applyAlignment="1" applyProtection="1">
      <alignment horizontal="center" vertical="center"/>
    </xf>
    <xf numFmtId="0" fontId="3" fillId="2" borderId="4" xfId="4" applyFont="1" applyFill="1" applyBorder="1" applyAlignment="1" applyProtection="1">
      <alignment horizontal="center" vertical="center"/>
    </xf>
    <xf numFmtId="0" fontId="3" fillId="2" borderId="21" xfId="4" applyFont="1" applyFill="1" applyBorder="1" applyAlignment="1" applyProtection="1">
      <alignment horizontal="center" vertical="center"/>
    </xf>
    <xf numFmtId="0" fontId="3" fillId="2" borderId="32" xfId="4" applyFont="1" applyFill="1" applyBorder="1" applyAlignment="1" applyProtection="1">
      <alignment horizontal="center" vertical="center" wrapText="1"/>
    </xf>
    <xf numFmtId="0" fontId="3" fillId="2" borderId="30" xfId="4" applyFont="1" applyFill="1" applyBorder="1" applyAlignment="1" applyProtection="1">
      <alignment horizontal="center" vertical="center" wrapText="1"/>
    </xf>
    <xf numFmtId="0" fontId="3" fillId="2" borderId="29" xfId="4" applyFont="1" applyFill="1" applyBorder="1" applyAlignment="1" applyProtection="1">
      <alignment horizontal="center" vertical="center" wrapText="1"/>
    </xf>
    <xf numFmtId="0" fontId="3" fillId="2" borderId="26" xfId="4" applyFont="1" applyFill="1" applyBorder="1" applyAlignment="1" applyProtection="1">
      <alignment horizontal="center" vertical="center" wrapText="1"/>
    </xf>
    <xf numFmtId="0" fontId="3" fillId="2" borderId="31" xfId="4" applyFont="1" applyFill="1" applyBorder="1" applyAlignment="1" applyProtection="1">
      <alignment horizontal="center" vertical="center" wrapText="1"/>
    </xf>
    <xf numFmtId="0" fontId="3" fillId="2" borderId="43" xfId="4" applyFont="1" applyFill="1" applyBorder="1" applyAlignment="1" applyProtection="1">
      <alignment horizontal="center" vertical="center" wrapText="1"/>
    </xf>
    <xf numFmtId="0" fontId="4" fillId="0" borderId="26" xfId="4" applyFont="1" applyFill="1" applyBorder="1" applyAlignment="1" applyProtection="1">
      <alignment horizontal="center" vertical="center"/>
    </xf>
    <xf numFmtId="0" fontId="3" fillId="0" borderId="26" xfId="4" applyFont="1" applyFill="1" applyBorder="1" applyAlignment="1" applyProtection="1">
      <alignment horizontal="center" vertical="center"/>
    </xf>
    <xf numFmtId="0" fontId="3" fillId="2" borderId="33" xfId="4" applyFont="1" applyFill="1" applyBorder="1" applyAlignment="1" applyProtection="1">
      <alignment horizontal="center" vertical="center" wrapText="1"/>
    </xf>
    <xf numFmtId="0" fontId="3" fillId="0" borderId="19" xfId="4" applyFont="1" applyFill="1" applyBorder="1" applyAlignment="1" applyProtection="1">
      <alignment horizontal="center" vertical="center" wrapText="1"/>
    </xf>
    <xf numFmtId="0" fontId="3" fillId="0" borderId="0" xfId="4" applyFont="1" applyFill="1" applyBorder="1" applyAlignment="1" applyProtection="1">
      <alignment horizontal="center" vertical="center" wrapText="1"/>
    </xf>
    <xf numFmtId="0" fontId="3" fillId="2" borderId="21" xfId="4" applyFont="1" applyFill="1" applyBorder="1" applyAlignment="1" applyProtection="1">
      <alignment horizontal="center" vertical="center" wrapText="1"/>
    </xf>
    <xf numFmtId="0" fontId="3" fillId="2" borderId="44" xfId="4" applyFont="1" applyFill="1" applyBorder="1" applyAlignment="1" applyProtection="1">
      <alignment horizontal="center" vertical="center" wrapText="1"/>
    </xf>
    <xf numFmtId="0" fontId="3" fillId="2" borderId="12" xfId="4" applyFont="1" applyFill="1" applyBorder="1" applyAlignment="1" applyProtection="1">
      <alignment horizontal="left" vertical="center" wrapText="1"/>
    </xf>
    <xf numFmtId="0" fontId="3" fillId="2" borderId="12" xfId="4" applyFont="1" applyFill="1" applyBorder="1" applyAlignment="1" applyProtection="1">
      <alignment horizontal="center" vertical="center" wrapText="1"/>
    </xf>
    <xf numFmtId="0" fontId="3" fillId="2" borderId="20" xfId="4" applyFont="1" applyFill="1" applyBorder="1" applyAlignment="1" applyProtection="1">
      <alignment horizontal="center" vertical="center" wrapText="1"/>
    </xf>
    <xf numFmtId="0" fontId="3" fillId="2" borderId="2" xfId="4" applyFont="1" applyFill="1" applyBorder="1" applyAlignment="1" applyProtection="1">
      <alignment horizontal="center" vertical="center" wrapText="1"/>
    </xf>
    <xf numFmtId="0" fontId="3" fillId="2" borderId="1" xfId="4" applyFont="1" applyFill="1" applyBorder="1" applyAlignment="1" applyProtection="1">
      <alignment horizontal="center" vertical="center" wrapText="1"/>
    </xf>
    <xf numFmtId="0" fontId="4" fillId="6" borderId="35" xfId="4" applyFont="1" applyFill="1" applyBorder="1" applyAlignment="1" applyProtection="1">
      <alignment horizontal="center" vertical="center"/>
    </xf>
    <xf numFmtId="9" fontId="4" fillId="2" borderId="39" xfId="2" applyFont="1" applyFill="1" applyBorder="1" applyAlignment="1" applyProtection="1">
      <alignment horizontal="center" vertical="center"/>
    </xf>
    <xf numFmtId="2" fontId="3" fillId="2" borderId="14" xfId="4" applyNumberFormat="1" applyFont="1" applyFill="1" applyBorder="1" applyAlignment="1" applyProtection="1">
      <alignment horizontal="center" vertical="center"/>
    </xf>
    <xf numFmtId="0" fontId="4" fillId="2" borderId="32" xfId="0" applyFont="1" applyFill="1" applyBorder="1" applyAlignment="1" applyProtection="1">
      <alignment horizontal="center" vertical="center" wrapText="1"/>
    </xf>
    <xf numFmtId="0" fontId="3" fillId="2" borderId="10" xfId="0" applyFont="1" applyFill="1" applyBorder="1" applyAlignment="1" applyProtection="1">
      <alignment horizontal="left" vertical="center" wrapText="1"/>
    </xf>
    <xf numFmtId="0" fontId="3" fillId="2" borderId="1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2" fontId="3" fillId="2" borderId="27" xfId="4" applyNumberFormat="1" applyFont="1" applyFill="1" applyBorder="1" applyAlignment="1" applyProtection="1">
      <alignment horizontal="center" vertical="center" wrapText="1"/>
    </xf>
    <xf numFmtId="0" fontId="4" fillId="2" borderId="30" xfId="0" applyFont="1" applyFill="1" applyBorder="1" applyAlignment="1" applyProtection="1">
      <alignment horizontal="center" vertical="center" wrapText="1"/>
    </xf>
    <xf numFmtId="0" fontId="3" fillId="2" borderId="29" xfId="0" applyFont="1" applyFill="1" applyBorder="1" applyAlignment="1" applyProtection="1">
      <alignment horizontal="left" vertical="center" wrapText="1"/>
    </xf>
    <xf numFmtId="0" fontId="3" fillId="2" borderId="29"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2" fontId="3" fillId="2" borderId="30" xfId="4" applyNumberFormat="1" applyFont="1" applyFill="1" applyBorder="1" applyAlignment="1" applyProtection="1">
      <alignment horizontal="center" vertical="center" wrapText="1"/>
    </xf>
    <xf numFmtId="9" fontId="4" fillId="2" borderId="26" xfId="2" applyFont="1" applyFill="1" applyBorder="1" applyAlignment="1" applyProtection="1">
      <alignment horizontal="center" vertical="center"/>
    </xf>
    <xf numFmtId="9" fontId="4" fillId="2" borderId="30" xfId="2" applyFont="1" applyFill="1" applyBorder="1" applyAlignment="1" applyProtection="1">
      <alignment horizontal="center" vertical="center"/>
    </xf>
    <xf numFmtId="2" fontId="3" fillId="2" borderId="26" xfId="4" applyNumberFormat="1" applyFont="1" applyFill="1" applyBorder="1" applyAlignment="1" applyProtection="1">
      <alignment horizontal="center" vertical="center"/>
    </xf>
    <xf numFmtId="0" fontId="3" fillId="2" borderId="28" xfId="4" applyFont="1" applyFill="1" applyBorder="1" applyAlignment="1" applyProtection="1">
      <alignment horizontal="center" vertical="center"/>
    </xf>
    <xf numFmtId="0" fontId="4" fillId="2" borderId="27" xfId="0" applyFont="1" applyFill="1" applyBorder="1" applyAlignment="1" applyProtection="1">
      <alignment horizontal="center" vertical="center" wrapText="1"/>
    </xf>
    <xf numFmtId="0" fontId="3" fillId="2" borderId="11" xfId="0" applyFont="1" applyFill="1" applyBorder="1" applyAlignment="1" applyProtection="1">
      <alignment horizontal="left" vertical="center" wrapText="1"/>
    </xf>
    <xf numFmtId="0" fontId="3" fillId="2" borderId="11" xfId="0" applyFont="1" applyFill="1" applyBorder="1" applyAlignment="1" applyProtection="1">
      <alignment horizontal="center" vertical="center" wrapText="1"/>
    </xf>
    <xf numFmtId="0" fontId="3" fillId="2" borderId="27" xfId="0" applyFont="1" applyFill="1" applyBorder="1" applyAlignment="1" applyProtection="1">
      <alignment horizontal="center" vertical="center" wrapText="1"/>
    </xf>
    <xf numFmtId="9" fontId="4" fillId="2" borderId="7" xfId="2" applyFont="1" applyFill="1" applyBorder="1" applyAlignment="1" applyProtection="1">
      <alignment horizontal="center" vertical="center"/>
    </xf>
    <xf numFmtId="2" fontId="3" fillId="2" borderId="4" xfId="4" applyNumberFormat="1" applyFont="1" applyFill="1" applyBorder="1" applyAlignment="1" applyProtection="1">
      <alignment horizontal="center" vertical="center"/>
    </xf>
    <xf numFmtId="3" fontId="3" fillId="2" borderId="10" xfId="0" applyNumberFormat="1" applyFont="1" applyFill="1" applyBorder="1" applyAlignment="1" applyProtection="1">
      <alignment horizontal="left" vertical="center" wrapText="1"/>
    </xf>
    <xf numFmtId="3" fontId="3" fillId="2" borderId="10" xfId="0" applyNumberFormat="1" applyFont="1" applyFill="1" applyBorder="1" applyAlignment="1" applyProtection="1">
      <alignment horizontal="center" vertical="center" wrapText="1"/>
    </xf>
    <xf numFmtId="3" fontId="3" fillId="2" borderId="11" xfId="0" applyNumberFormat="1" applyFont="1" applyFill="1" applyBorder="1" applyAlignment="1" applyProtection="1">
      <alignment horizontal="left" vertical="center" wrapText="1"/>
    </xf>
    <xf numFmtId="3" fontId="3" fillId="2" borderId="11" xfId="0" applyNumberFormat="1" applyFont="1" applyFill="1" applyBorder="1" applyAlignment="1" applyProtection="1">
      <alignment horizontal="center" vertical="center" wrapText="1"/>
    </xf>
    <xf numFmtId="3" fontId="3" fillId="2" borderId="29" xfId="0" applyNumberFormat="1" applyFont="1" applyFill="1" applyBorder="1" applyAlignment="1" applyProtection="1">
      <alignment horizontal="left" vertical="center" wrapText="1"/>
    </xf>
    <xf numFmtId="3" fontId="3" fillId="2" borderId="29" xfId="0" applyNumberFormat="1" applyFont="1" applyFill="1" applyBorder="1" applyAlignment="1" applyProtection="1">
      <alignment horizontal="center" vertical="center" wrapText="1"/>
    </xf>
    <xf numFmtId="0" fontId="4" fillId="2" borderId="7" xfId="4" applyFont="1" applyFill="1" applyBorder="1" applyAlignment="1" applyProtection="1">
      <alignment horizontal="center" vertical="center"/>
    </xf>
    <xf numFmtId="164" fontId="3" fillId="2" borderId="32" xfId="4" applyNumberFormat="1" applyFont="1" applyFill="1" applyBorder="1" applyAlignment="1" applyProtection="1">
      <alignment horizontal="center" vertical="center" wrapText="1"/>
    </xf>
    <xf numFmtId="4" fontId="3" fillId="2" borderId="18" xfId="4" applyNumberFormat="1" applyFont="1" applyFill="1" applyBorder="1" applyAlignment="1" applyProtection="1">
      <alignment horizontal="center" vertical="center" wrapText="1"/>
    </xf>
    <xf numFmtId="0" fontId="3" fillId="2" borderId="27" xfId="4" applyFont="1" applyFill="1" applyBorder="1" applyAlignment="1" applyProtection="1">
      <alignment horizontal="center" vertical="center" wrapText="1"/>
    </xf>
    <xf numFmtId="164" fontId="3" fillId="2" borderId="27" xfId="4" applyNumberFormat="1" applyFont="1" applyFill="1" applyBorder="1" applyAlignment="1" applyProtection="1">
      <alignment horizontal="center" vertical="center" wrapText="1"/>
    </xf>
    <xf numFmtId="0" fontId="3" fillId="9" borderId="21" xfId="4" applyFont="1" applyFill="1" applyBorder="1" applyAlignment="1" applyProtection="1">
      <alignment horizontal="center" vertical="center"/>
    </xf>
    <xf numFmtId="3" fontId="3" fillId="2" borderId="10" xfId="4" applyNumberFormat="1" applyFont="1" applyFill="1" applyBorder="1" applyAlignment="1" applyProtection="1">
      <alignment horizontal="left" vertical="center" wrapText="1"/>
    </xf>
    <xf numFmtId="3" fontId="3" fillId="2" borderId="10" xfId="4" applyNumberFormat="1" applyFont="1" applyFill="1" applyBorder="1" applyAlignment="1" applyProtection="1">
      <alignment horizontal="center" vertical="center" wrapText="1"/>
    </xf>
    <xf numFmtId="3" fontId="3" fillId="2" borderId="11" xfId="4" applyNumberFormat="1" applyFont="1" applyFill="1" applyBorder="1" applyAlignment="1" applyProtection="1">
      <alignment horizontal="left" vertical="center" wrapText="1"/>
    </xf>
    <xf numFmtId="3" fontId="3" fillId="2" borderId="11" xfId="4" applyNumberFormat="1" applyFont="1" applyFill="1" applyBorder="1" applyAlignment="1" applyProtection="1">
      <alignment horizontal="center" vertical="center" wrapText="1"/>
    </xf>
    <xf numFmtId="3" fontId="3" fillId="2" borderId="29" xfId="4" applyNumberFormat="1" applyFont="1" applyFill="1" applyBorder="1" applyAlignment="1" applyProtection="1">
      <alignment horizontal="left" vertical="center" wrapText="1"/>
    </xf>
    <xf numFmtId="3" fontId="3" fillId="2" borderId="29" xfId="4" applyNumberFormat="1" applyFont="1" applyFill="1" applyBorder="1" applyAlignment="1" applyProtection="1">
      <alignment horizontal="center" vertical="center" wrapText="1"/>
    </xf>
    <xf numFmtId="0" fontId="4" fillId="2" borderId="7" xfId="0" applyFont="1" applyFill="1" applyBorder="1" applyAlignment="1" applyProtection="1">
      <alignment horizontal="center" vertical="center"/>
    </xf>
    <xf numFmtId="4" fontId="3" fillId="2" borderId="4" xfId="2" applyNumberFormat="1" applyFont="1" applyFill="1" applyBorder="1" applyAlignment="1" applyProtection="1">
      <alignment horizontal="center" vertical="center"/>
    </xf>
    <xf numFmtId="0" fontId="3" fillId="2" borderId="21" xfId="0" applyFont="1" applyFill="1" applyBorder="1" applyAlignment="1" applyProtection="1">
      <alignment horizontal="center" vertical="center"/>
    </xf>
    <xf numFmtId="0" fontId="3" fillId="2" borderId="33" xfId="0" applyFont="1" applyFill="1" applyBorder="1" applyAlignment="1" applyProtection="1">
      <alignment horizontal="center" vertical="center" wrapText="1"/>
    </xf>
    <xf numFmtId="166" fontId="3" fillId="2" borderId="32" xfId="0" applyNumberFormat="1" applyFont="1" applyFill="1" applyBorder="1" applyAlignment="1" applyProtection="1">
      <alignment horizontal="center" vertical="center" wrapText="1"/>
    </xf>
    <xf numFmtId="4" fontId="3" fillId="2" borderId="18" xfId="0" applyNumberFormat="1" applyFont="1" applyFill="1" applyBorder="1" applyAlignment="1" applyProtection="1">
      <alignment horizontal="center" vertical="center" wrapText="1"/>
    </xf>
    <xf numFmtId="0" fontId="3" fillId="2" borderId="0" xfId="0" applyFont="1" applyFill="1" applyBorder="1" applyAlignment="1" applyProtection="1">
      <alignment horizontal="center" vertical="center" wrapText="1"/>
    </xf>
    <xf numFmtId="166" fontId="3" fillId="2" borderId="27" xfId="0" applyNumberFormat="1"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4" fillId="2" borderId="44" xfId="0" applyFont="1" applyFill="1" applyBorder="1" applyAlignment="1" applyProtection="1">
      <alignment horizontal="center" vertical="center" wrapText="1"/>
    </xf>
    <xf numFmtId="0" fontId="3" fillId="2" borderId="12" xfId="0" applyFont="1" applyFill="1" applyBorder="1" applyAlignment="1" applyProtection="1">
      <alignment horizontal="left" vertical="center" wrapText="1"/>
    </xf>
    <xf numFmtId="0" fontId="3" fillId="2" borderId="2" xfId="0" applyFont="1" applyFill="1" applyBorder="1" applyAlignment="1" applyProtection="1">
      <alignment horizontal="center" vertical="center" wrapText="1"/>
    </xf>
    <xf numFmtId="0" fontId="3" fillId="2" borderId="44" xfId="0" applyFont="1" applyFill="1" applyBorder="1" applyAlignment="1" applyProtection="1">
      <alignment horizontal="center" vertical="center" wrapText="1"/>
    </xf>
    <xf numFmtId="0" fontId="3" fillId="2" borderId="1" xfId="0" applyFont="1" applyFill="1" applyBorder="1" applyAlignment="1" applyProtection="1">
      <alignment horizontal="center" vertical="center" wrapText="1"/>
    </xf>
    <xf numFmtId="9" fontId="3" fillId="2" borderId="14" xfId="2" applyFont="1" applyFill="1" applyBorder="1" applyAlignment="1" applyProtection="1">
      <alignment horizontal="center" vertical="center"/>
    </xf>
    <xf numFmtId="0" fontId="3" fillId="2" borderId="0" xfId="4" applyFont="1" applyFill="1" applyBorder="1" applyAlignment="1" applyProtection="1">
      <alignment horizontal="left" vertical="center"/>
    </xf>
    <xf numFmtId="9" fontId="3" fillId="2" borderId="0" xfId="4" applyNumberFormat="1" applyFont="1" applyFill="1" applyBorder="1" applyAlignment="1" applyProtection="1">
      <alignment horizontal="center" vertical="center"/>
    </xf>
    <xf numFmtId="9" fontId="3" fillId="2" borderId="0" xfId="4" applyNumberFormat="1" applyFont="1" applyFill="1" applyProtection="1"/>
    <xf numFmtId="9" fontId="3" fillId="2" borderId="10" xfId="4" applyNumberFormat="1" applyFont="1" applyFill="1" applyBorder="1" applyAlignment="1" applyProtection="1">
      <alignment horizontal="left" vertical="center" wrapText="1"/>
    </xf>
    <xf numFmtId="9" fontId="3" fillId="2" borderId="0" xfId="4" applyNumberFormat="1" applyFont="1" applyFill="1" applyBorder="1" applyProtection="1"/>
    <xf numFmtId="9" fontId="3" fillId="2" borderId="11" xfId="4" applyNumberFormat="1" applyFont="1" applyFill="1" applyBorder="1" applyAlignment="1" applyProtection="1">
      <alignment horizontal="left" vertical="center" wrapText="1"/>
    </xf>
    <xf numFmtId="9" fontId="3" fillId="2" borderId="29" xfId="4" applyNumberFormat="1" applyFont="1" applyFill="1" applyBorder="1" applyAlignment="1" applyProtection="1">
      <alignment horizontal="left" vertical="center" wrapText="1"/>
    </xf>
    <xf numFmtId="0" fontId="4" fillId="2" borderId="26" xfId="4" applyFont="1" applyFill="1" applyBorder="1" applyAlignment="1" applyProtection="1">
      <alignment horizontal="center" vertical="center"/>
    </xf>
    <xf numFmtId="3" fontId="3" fillId="2" borderId="26" xfId="4" applyNumberFormat="1" applyFont="1" applyFill="1" applyBorder="1" applyAlignment="1" applyProtection="1">
      <alignment horizontal="center" vertical="center"/>
    </xf>
    <xf numFmtId="9" fontId="3" fillId="2" borderId="4" xfId="2" applyNumberFormat="1" applyFont="1" applyFill="1" applyBorder="1" applyAlignment="1" applyProtection="1">
      <alignment horizontal="center" vertical="center"/>
    </xf>
    <xf numFmtId="9" fontId="3" fillId="2" borderId="10" xfId="4" applyNumberFormat="1" applyFont="1" applyFill="1" applyBorder="1" applyAlignment="1" applyProtection="1">
      <alignment horizontal="center" vertical="center" wrapText="1"/>
    </xf>
    <xf numFmtId="4" fontId="3" fillId="2" borderId="0" xfId="4" applyNumberFormat="1" applyFont="1" applyFill="1" applyBorder="1" applyProtection="1"/>
    <xf numFmtId="9" fontId="3" fillId="2" borderId="11" xfId="4" applyNumberFormat="1" applyFont="1" applyFill="1" applyBorder="1" applyAlignment="1" applyProtection="1">
      <alignment horizontal="center" vertical="center" wrapText="1"/>
    </xf>
    <xf numFmtId="9" fontId="3" fillId="2" borderId="29" xfId="4" applyNumberFormat="1" applyFont="1" applyFill="1" applyBorder="1" applyAlignment="1" applyProtection="1">
      <alignment horizontal="center" vertical="center" wrapText="1"/>
    </xf>
    <xf numFmtId="0" fontId="4" fillId="0" borderId="26" xfId="4" applyFont="1" applyFill="1" applyBorder="1" applyAlignment="1" applyProtection="1">
      <alignment horizontal="center" vertical="center" wrapText="1"/>
    </xf>
    <xf numFmtId="0" fontId="3" fillId="0" borderId="26" xfId="4" applyNumberFormat="1" applyFont="1" applyFill="1" applyBorder="1" applyAlignment="1" applyProtection="1">
      <alignment horizontal="center" vertical="center"/>
    </xf>
    <xf numFmtId="1" fontId="3" fillId="0" borderId="43" xfId="4" applyNumberFormat="1" applyFont="1" applyFill="1" applyBorder="1" applyAlignment="1" applyProtection="1">
      <alignment horizontal="center" vertical="center"/>
    </xf>
    <xf numFmtId="0" fontId="3" fillId="2" borderId="11" xfId="0" applyFont="1" applyFill="1" applyBorder="1" applyProtection="1"/>
    <xf numFmtId="0" fontId="3" fillId="2" borderId="19" xfId="0" applyFont="1" applyFill="1" applyBorder="1" applyAlignment="1" applyProtection="1">
      <alignment horizontal="center" vertical="center"/>
    </xf>
    <xf numFmtId="0" fontId="3" fillId="8" borderId="52" xfId="4"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xf>
    <xf numFmtId="0" fontId="3" fillId="2" borderId="53" xfId="4" applyFont="1" applyFill="1" applyBorder="1" applyAlignment="1" applyProtection="1">
      <alignment horizontal="center" vertical="center" wrapText="1"/>
    </xf>
    <xf numFmtId="0" fontId="3" fillId="2" borderId="26" xfId="0" applyFont="1" applyFill="1" applyBorder="1" applyAlignment="1" applyProtection="1">
      <alignment horizontal="center" vertical="center"/>
    </xf>
    <xf numFmtId="0" fontId="3" fillId="2" borderId="26" xfId="4" applyFont="1" applyFill="1" applyBorder="1" applyAlignment="1" applyProtection="1">
      <alignment horizontal="center" vertical="center"/>
    </xf>
    <xf numFmtId="0" fontId="3" fillId="8" borderId="28" xfId="4" applyFont="1" applyFill="1" applyBorder="1" applyAlignment="1" applyProtection="1">
      <alignment horizontal="center" vertical="center"/>
    </xf>
    <xf numFmtId="0" fontId="3" fillId="8" borderId="21" xfId="4" applyFont="1" applyFill="1" applyBorder="1" applyAlignment="1" applyProtection="1">
      <alignment horizontal="center" vertical="center"/>
    </xf>
    <xf numFmtId="0" fontId="3" fillId="2" borderId="29" xfId="0" applyFont="1" applyFill="1" applyBorder="1" applyProtection="1"/>
    <xf numFmtId="0" fontId="4" fillId="6" borderId="37" xfId="4" applyFont="1" applyFill="1" applyBorder="1" applyAlignment="1" applyProtection="1">
      <alignment horizontal="center" vertical="center" wrapText="1"/>
    </xf>
    <xf numFmtId="0" fontId="4" fillId="6" borderId="45" xfId="4" applyFont="1" applyFill="1" applyBorder="1" applyAlignment="1" applyProtection="1">
      <alignment horizontal="center" vertical="center" wrapText="1"/>
    </xf>
    <xf numFmtId="0" fontId="4" fillId="6" borderId="45" xfId="4" applyFont="1" applyFill="1" applyBorder="1" applyAlignment="1" applyProtection="1">
      <alignment horizontal="center" vertical="center"/>
    </xf>
    <xf numFmtId="1" fontId="4" fillId="6" borderId="46" xfId="4" applyNumberFormat="1" applyFont="1" applyFill="1" applyBorder="1" applyAlignment="1" applyProtection="1">
      <alignment horizontal="center" vertical="center"/>
    </xf>
    <xf numFmtId="0" fontId="3" fillId="2" borderId="1" xfId="4" applyFont="1" applyFill="1" applyBorder="1" applyAlignment="1" applyProtection="1">
      <alignment vertical="center" wrapText="1"/>
    </xf>
    <xf numFmtId="0" fontId="3" fillId="4" borderId="0" xfId="0" applyFont="1" applyFill="1" applyProtection="1"/>
    <xf numFmtId="0" fontId="3" fillId="2" borderId="0" xfId="0" applyFont="1" applyFill="1" applyProtection="1"/>
    <xf numFmtId="0" fontId="3" fillId="2" borderId="0" xfId="0" applyFont="1" applyFill="1" applyAlignment="1" applyProtection="1">
      <alignment horizontal="left" indent="2"/>
    </xf>
    <xf numFmtId="3" fontId="0" fillId="3" borderId="29" xfId="0" applyNumberFormat="1" applyFont="1" applyFill="1" applyBorder="1" applyAlignment="1" applyProtection="1">
      <alignment horizontal="center" vertical="center" wrapText="1"/>
      <protection locked="0"/>
    </xf>
    <xf numFmtId="0" fontId="18" fillId="0" borderId="4" xfId="0" applyFont="1" applyBorder="1" applyAlignment="1" applyProtection="1">
      <alignment horizontal="center"/>
      <protection locked="0"/>
    </xf>
    <xf numFmtId="10" fontId="0" fillId="3" borderId="4" xfId="0" applyNumberFormat="1" applyFont="1" applyFill="1" applyBorder="1" applyAlignment="1" applyProtection="1">
      <alignment horizontal="center" vertical="center"/>
      <protection locked="0"/>
    </xf>
    <xf numFmtId="0" fontId="19" fillId="2" borderId="0" xfId="4" applyFont="1" applyFill="1" applyBorder="1" applyProtection="1"/>
    <xf numFmtId="49" fontId="0" fillId="3" borderId="4" xfId="0" applyNumberFormat="1" applyFont="1" applyFill="1" applyBorder="1" applyAlignment="1" applyProtection="1">
      <alignment vertical="center"/>
      <protection locked="0"/>
    </xf>
    <xf numFmtId="0" fontId="12" fillId="2" borderId="4" xfId="0" applyFont="1" applyFill="1" applyBorder="1" applyAlignment="1" applyProtection="1">
      <alignment horizontal="center" vertical="center" wrapText="1"/>
    </xf>
    <xf numFmtId="0" fontId="0" fillId="3" borderId="4" xfId="0" applyFont="1" applyFill="1" applyBorder="1" applyAlignment="1" applyProtection="1">
      <alignment horizontal="left" vertical="center"/>
      <protection locked="0"/>
    </xf>
    <xf numFmtId="0" fontId="0" fillId="2" borderId="4" xfId="0" applyFont="1" applyFill="1" applyBorder="1" applyAlignment="1" applyProtection="1">
      <alignment horizontal="center"/>
    </xf>
    <xf numFmtId="14" fontId="0" fillId="3" borderId="4" xfId="0" applyNumberFormat="1" applyFont="1" applyFill="1" applyBorder="1" applyAlignment="1" applyProtection="1">
      <alignment horizontal="left" vertical="center"/>
      <protection locked="0"/>
    </xf>
    <xf numFmtId="0" fontId="2" fillId="3" borderId="4" xfId="3" applyFont="1" applyFill="1" applyBorder="1" applyAlignment="1" applyProtection="1">
      <alignment horizontal="left" vertical="center" wrapText="1"/>
      <protection locked="0"/>
    </xf>
    <xf numFmtId="0" fontId="10" fillId="2" borderId="7" xfId="0" applyFont="1" applyFill="1" applyBorder="1" applyAlignment="1" applyProtection="1">
      <alignment horizontal="center" vertical="center" wrapText="1"/>
    </xf>
    <xf numFmtId="0" fontId="10" fillId="2" borderId="8" xfId="0" applyFont="1" applyFill="1" applyBorder="1" applyAlignment="1" applyProtection="1">
      <alignment horizontal="center" vertical="center" wrapText="1"/>
    </xf>
    <xf numFmtId="0" fontId="10" fillId="2" borderId="9" xfId="0" applyFont="1" applyFill="1" applyBorder="1" applyAlignment="1" applyProtection="1">
      <alignment horizontal="center" vertical="center" wrapText="1"/>
    </xf>
    <xf numFmtId="0" fontId="10" fillId="2" borderId="30" xfId="0" applyFont="1" applyFill="1" applyBorder="1" applyAlignment="1" applyProtection="1">
      <alignment horizontal="center" vertical="center" wrapText="1"/>
    </xf>
    <xf numFmtId="0" fontId="10" fillId="2" borderId="31" xfId="0" applyFont="1" applyFill="1" applyBorder="1" applyAlignment="1" applyProtection="1">
      <alignment horizontal="center" vertical="center" wrapText="1"/>
    </xf>
    <xf numFmtId="0" fontId="10" fillId="2" borderId="29" xfId="0" applyFont="1" applyFill="1" applyBorder="1" applyAlignment="1" applyProtection="1">
      <alignment horizontal="center" vertical="center" wrapText="1"/>
    </xf>
    <xf numFmtId="0" fontId="6" fillId="2" borderId="0" xfId="0" applyFont="1" applyFill="1" applyBorder="1" applyAlignment="1" applyProtection="1">
      <alignment horizontal="center" vertical="center" wrapText="1"/>
    </xf>
    <xf numFmtId="0" fontId="7" fillId="2" borderId="0" xfId="0" applyFont="1" applyFill="1" applyBorder="1" applyAlignment="1" applyProtection="1">
      <alignment horizontal="center" vertical="center"/>
    </xf>
    <xf numFmtId="0" fontId="7" fillId="2" borderId="4" xfId="0" applyFont="1" applyFill="1" applyBorder="1" applyAlignment="1" applyProtection="1">
      <alignment horizontal="center" vertical="center"/>
    </xf>
    <xf numFmtId="0" fontId="7" fillId="2" borderId="4" xfId="0" applyFont="1" applyFill="1" applyBorder="1" applyAlignment="1" applyProtection="1">
      <alignment horizontal="center" vertical="center" wrapText="1"/>
    </xf>
    <xf numFmtId="0" fontId="5" fillId="2" borderId="7" xfId="4" applyFont="1" applyFill="1" applyBorder="1" applyAlignment="1" applyProtection="1">
      <alignment horizontal="center" vertical="center"/>
    </xf>
    <xf numFmtId="0" fontId="5" fillId="2" borderId="8" xfId="4" applyFont="1" applyFill="1" applyBorder="1" applyAlignment="1" applyProtection="1">
      <alignment horizontal="center" vertical="center"/>
    </xf>
    <xf numFmtId="0" fontId="5" fillId="2" borderId="9" xfId="4" applyFont="1" applyFill="1" applyBorder="1" applyAlignment="1" applyProtection="1">
      <alignment horizontal="center" vertical="center"/>
    </xf>
    <xf numFmtId="0" fontId="4" fillId="6" borderId="45" xfId="4" applyFont="1" applyFill="1" applyBorder="1" applyAlignment="1" applyProtection="1">
      <alignment horizontal="left" vertical="center" wrapText="1"/>
    </xf>
    <xf numFmtId="0" fontId="4" fillId="2" borderId="17" xfId="4" applyFont="1" applyFill="1" applyBorder="1" applyAlignment="1" applyProtection="1">
      <alignment horizontal="center" vertical="center" wrapText="1"/>
    </xf>
    <xf numFmtId="0" fontId="4" fillId="2" borderId="3" xfId="4" applyFont="1" applyFill="1" applyBorder="1" applyAlignment="1" applyProtection="1">
      <alignment horizontal="center" vertical="center" wrapText="1"/>
    </xf>
    <xf numFmtId="0" fontId="4" fillId="7" borderId="30" xfId="4" applyFont="1" applyFill="1" applyBorder="1" applyAlignment="1" applyProtection="1">
      <alignment horizontal="left" vertical="center"/>
    </xf>
    <xf numFmtId="0" fontId="4" fillId="7" borderId="29" xfId="4" applyFont="1" applyFill="1" applyBorder="1" applyAlignment="1" applyProtection="1">
      <alignment horizontal="left" vertical="center"/>
    </xf>
    <xf numFmtId="0" fontId="4" fillId="2" borderId="5" xfId="4" applyFont="1" applyFill="1" applyBorder="1" applyAlignment="1" applyProtection="1">
      <alignment horizontal="center" vertical="center" wrapText="1"/>
    </xf>
    <xf numFmtId="0" fontId="4" fillId="2" borderId="40" xfId="4" applyFont="1" applyFill="1" applyBorder="1" applyAlignment="1" applyProtection="1">
      <alignment horizontal="center" vertical="center" wrapText="1"/>
    </xf>
    <xf numFmtId="0" fontId="4" fillId="2" borderId="7" xfId="4" applyFont="1" applyFill="1" applyBorder="1" applyAlignment="1" applyProtection="1">
      <alignment horizontal="left" vertical="center"/>
    </xf>
    <xf numFmtId="0" fontId="4" fillId="2" borderId="9" xfId="4" applyFont="1" applyFill="1" applyBorder="1" applyAlignment="1" applyProtection="1">
      <alignment horizontal="left" vertical="center"/>
    </xf>
    <xf numFmtId="0" fontId="4" fillId="2" borderId="30" xfId="4" applyFont="1" applyFill="1" applyBorder="1" applyAlignment="1" applyProtection="1">
      <alignment horizontal="left" vertical="center"/>
    </xf>
    <xf numFmtId="0" fontId="4" fillId="2" borderId="29" xfId="4" applyFont="1" applyFill="1" applyBorder="1" applyAlignment="1" applyProtection="1">
      <alignment horizontal="left" vertical="center"/>
    </xf>
    <xf numFmtId="0" fontId="4" fillId="2" borderId="4" xfId="4" applyFont="1" applyFill="1" applyBorder="1" applyAlignment="1" applyProtection="1">
      <alignment horizontal="left" vertical="center"/>
    </xf>
    <xf numFmtId="0" fontId="4" fillId="6" borderId="35" xfId="4" applyFont="1" applyFill="1" applyBorder="1" applyAlignment="1" applyProtection="1">
      <alignment horizontal="left" vertical="center" wrapText="1"/>
    </xf>
    <xf numFmtId="0" fontId="4" fillId="2" borderId="4" xfId="4" applyFont="1" applyFill="1" applyBorder="1" applyAlignment="1" applyProtection="1">
      <alignment horizontal="center" vertical="center"/>
    </xf>
    <xf numFmtId="0" fontId="4" fillId="2" borderId="0" xfId="4" applyFont="1" applyFill="1" applyBorder="1" applyAlignment="1" applyProtection="1">
      <alignment horizontal="left"/>
    </xf>
    <xf numFmtId="0" fontId="3" fillId="6" borderId="32" xfId="4" applyFont="1" applyFill="1" applyBorder="1" applyAlignment="1" applyProtection="1">
      <alignment horizontal="center"/>
    </xf>
    <xf numFmtId="0" fontId="3" fillId="6" borderId="33" xfId="4" applyFont="1" applyFill="1" applyBorder="1" applyAlignment="1" applyProtection="1">
      <alignment horizontal="center"/>
    </xf>
    <xf numFmtId="0" fontId="3" fillId="6" borderId="8" xfId="4" applyFont="1" applyFill="1" applyBorder="1" applyAlignment="1" applyProtection="1">
      <alignment horizontal="center"/>
    </xf>
    <xf numFmtId="0" fontId="3" fillId="6" borderId="9" xfId="4" applyFont="1" applyFill="1" applyBorder="1" applyAlignment="1" applyProtection="1">
      <alignment horizontal="center"/>
    </xf>
    <xf numFmtId="0" fontId="3" fillId="2" borderId="7" xfId="4" applyFont="1" applyFill="1" applyBorder="1" applyAlignment="1" applyProtection="1">
      <alignment horizontal="center" vertical="center"/>
    </xf>
    <xf numFmtId="0" fontId="3" fillId="2" borderId="8" xfId="4" applyFont="1" applyFill="1" applyBorder="1" applyAlignment="1" applyProtection="1">
      <alignment horizontal="center" vertical="center"/>
    </xf>
    <xf numFmtId="0" fontId="4" fillId="6" borderId="13" xfId="4" applyFont="1" applyFill="1" applyBorder="1" applyAlignment="1" applyProtection="1">
      <alignment horizontal="center" vertical="center" wrapText="1"/>
    </xf>
    <xf numFmtId="0" fontId="4" fillId="6" borderId="24" xfId="4" applyFont="1" applyFill="1" applyBorder="1" applyAlignment="1" applyProtection="1">
      <alignment horizontal="center" vertical="center" wrapText="1"/>
    </xf>
    <xf numFmtId="0" fontId="4" fillId="6" borderId="14" xfId="4" applyFont="1" applyFill="1" applyBorder="1" applyAlignment="1" applyProtection="1">
      <alignment horizontal="center" vertical="center" wrapText="1"/>
    </xf>
    <xf numFmtId="0" fontId="4" fillId="6" borderId="25" xfId="4" applyFont="1" applyFill="1" applyBorder="1" applyAlignment="1" applyProtection="1">
      <alignment horizontal="center" vertical="center" wrapText="1"/>
    </xf>
    <xf numFmtId="0" fontId="4" fillId="6" borderId="14" xfId="4" applyFont="1" applyFill="1" applyBorder="1" applyAlignment="1" applyProtection="1">
      <alignment horizontal="center" vertical="center"/>
    </xf>
    <xf numFmtId="0" fontId="4" fillId="6" borderId="16" xfId="4" applyFont="1" applyFill="1" applyBorder="1" applyAlignment="1" applyProtection="1">
      <alignment horizontal="center" vertical="center"/>
    </xf>
    <xf numFmtId="0" fontId="4" fillId="4" borderId="34" xfId="4" applyFont="1" applyFill="1" applyBorder="1" applyAlignment="1" applyProtection="1">
      <alignment horizontal="center" vertical="center"/>
    </xf>
    <xf numFmtId="0" fontId="4" fillId="4" borderId="35" xfId="4" applyFont="1" applyFill="1" applyBorder="1" applyAlignment="1" applyProtection="1">
      <alignment horizontal="center" vertical="center"/>
    </xf>
    <xf numFmtId="0" fontId="4" fillId="4" borderId="36" xfId="4" applyFont="1" applyFill="1" applyBorder="1" applyAlignment="1" applyProtection="1">
      <alignment horizontal="center" vertical="center"/>
    </xf>
    <xf numFmtId="0" fontId="3" fillId="2" borderId="4" xfId="4" applyFont="1" applyFill="1" applyBorder="1" applyAlignment="1" applyProtection="1">
      <alignment horizontal="left" vertical="center" wrapText="1"/>
    </xf>
    <xf numFmtId="0" fontId="3" fillId="2" borderId="4" xfId="4" applyFont="1" applyFill="1" applyBorder="1" applyAlignment="1" applyProtection="1">
      <alignment horizontal="center"/>
    </xf>
    <xf numFmtId="0" fontId="4" fillId="2" borderId="13" xfId="4" applyFont="1" applyFill="1" applyBorder="1" applyAlignment="1" applyProtection="1">
      <alignment horizontal="center" vertical="center"/>
    </xf>
    <xf numFmtId="0" fontId="4" fillId="2" borderId="14" xfId="4" applyFont="1" applyFill="1" applyBorder="1" applyAlignment="1" applyProtection="1">
      <alignment horizontal="center" vertical="center"/>
    </xf>
    <xf numFmtId="2" fontId="4" fillId="2" borderId="14" xfId="4" applyNumberFormat="1" applyFont="1" applyFill="1" applyBorder="1" applyAlignment="1" applyProtection="1">
      <alignment horizontal="center" vertical="center"/>
    </xf>
    <xf numFmtId="2" fontId="4" fillId="2" borderId="16" xfId="4" applyNumberFormat="1" applyFont="1" applyFill="1" applyBorder="1" applyAlignment="1" applyProtection="1">
      <alignment horizontal="center" vertical="center"/>
    </xf>
    <xf numFmtId="0" fontId="4" fillId="2" borderId="24" xfId="4" applyFont="1" applyFill="1" applyBorder="1" applyAlignment="1" applyProtection="1">
      <alignment horizontal="center" vertical="center"/>
    </xf>
    <xf numFmtId="0" fontId="4" fillId="2" borderId="25" xfId="4" applyFont="1" applyFill="1" applyBorder="1" applyAlignment="1" applyProtection="1">
      <alignment horizontal="center" vertical="center"/>
    </xf>
    <xf numFmtId="0" fontId="3" fillId="2" borderId="25" xfId="4" applyFont="1" applyFill="1" applyBorder="1" applyAlignment="1" applyProtection="1">
      <alignment horizontal="center" vertical="center"/>
    </xf>
    <xf numFmtId="0" fontId="3" fillId="2" borderId="22" xfId="4" applyFont="1" applyFill="1" applyBorder="1" applyAlignment="1" applyProtection="1">
      <alignment horizontal="center" vertical="center"/>
    </xf>
    <xf numFmtId="0" fontId="4" fillId="2" borderId="37" xfId="4" applyFont="1" applyFill="1" applyBorder="1" applyAlignment="1" applyProtection="1">
      <alignment horizontal="center" vertical="center" wrapText="1"/>
    </xf>
    <xf numFmtId="0" fontId="4" fillId="2" borderId="50" xfId="4" applyFont="1" applyFill="1" applyBorder="1" applyAlignment="1" applyProtection="1">
      <alignment horizontal="center" vertical="center" wrapText="1"/>
    </xf>
    <xf numFmtId="0" fontId="4" fillId="2" borderId="41" xfId="4" applyFont="1" applyFill="1" applyBorder="1" applyAlignment="1" applyProtection="1">
      <alignment horizontal="center" vertical="center" wrapText="1"/>
    </xf>
    <xf numFmtId="0" fontId="4" fillId="2" borderId="39" xfId="4" applyFont="1" applyFill="1" applyBorder="1" applyAlignment="1" applyProtection="1">
      <alignment horizontal="left" vertical="center"/>
    </xf>
    <xf numFmtId="0" fontId="4" fillId="2" borderId="49" xfId="4" applyFont="1" applyFill="1" applyBorder="1" applyAlignment="1" applyProtection="1">
      <alignment horizontal="left" vertical="center"/>
    </xf>
    <xf numFmtId="0" fontId="4" fillId="2" borderId="23" xfId="4" applyFont="1" applyFill="1" applyBorder="1" applyAlignment="1" applyProtection="1">
      <alignment horizontal="center" vertical="center" wrapText="1"/>
    </xf>
    <xf numFmtId="0" fontId="4" fillId="2" borderId="13" xfId="4" applyFont="1" applyFill="1" applyBorder="1" applyAlignment="1" applyProtection="1">
      <alignment horizontal="center" vertical="center" wrapText="1"/>
    </xf>
    <xf numFmtId="0" fontId="4" fillId="0" borderId="38" xfId="4" applyFont="1" applyFill="1" applyBorder="1" applyAlignment="1" applyProtection="1">
      <alignment horizontal="left" vertical="center"/>
    </xf>
    <xf numFmtId="0" fontId="4" fillId="2" borderId="31" xfId="4" applyFont="1" applyFill="1" applyBorder="1" applyAlignment="1" applyProtection="1">
      <alignment horizontal="left" vertical="center"/>
    </xf>
    <xf numFmtId="0" fontId="4" fillId="2" borderId="24" xfId="4" applyFont="1" applyFill="1" applyBorder="1" applyAlignment="1" applyProtection="1">
      <alignment horizontal="center" vertical="center" wrapText="1"/>
    </xf>
    <xf numFmtId="0" fontId="4" fillId="2" borderId="14" xfId="0" applyFont="1" applyFill="1" applyBorder="1" applyAlignment="1" applyProtection="1">
      <alignment horizontal="left" vertical="center"/>
    </xf>
    <xf numFmtId="0" fontId="4" fillId="2" borderId="26" xfId="0" applyFont="1" applyFill="1" applyBorder="1" applyAlignment="1" applyProtection="1">
      <alignment horizontal="left" vertical="center"/>
    </xf>
    <xf numFmtId="0" fontId="4" fillId="6" borderId="38" xfId="4" applyFont="1" applyFill="1" applyBorder="1" applyAlignment="1" applyProtection="1">
      <alignment horizontal="center" vertical="center" wrapText="1"/>
    </xf>
    <xf numFmtId="0" fontId="4" fillId="6" borderId="20" xfId="4" applyFont="1" applyFill="1" applyBorder="1" applyAlignment="1" applyProtection="1">
      <alignment horizontal="center" vertical="center" wrapText="1"/>
    </xf>
    <xf numFmtId="0" fontId="4" fillId="2" borderId="4" xfId="0" applyFont="1" applyFill="1" applyBorder="1" applyAlignment="1" applyProtection="1">
      <alignment horizontal="left" vertical="center"/>
    </xf>
    <xf numFmtId="0" fontId="4" fillId="2" borderId="30" xfId="0" applyFont="1" applyFill="1" applyBorder="1" applyAlignment="1" applyProtection="1">
      <alignment horizontal="left" vertical="center"/>
    </xf>
    <xf numFmtId="0" fontId="4" fillId="2" borderId="29" xfId="0" applyFont="1" applyFill="1" applyBorder="1" applyAlignment="1" applyProtection="1">
      <alignment horizontal="left" vertical="center"/>
    </xf>
    <xf numFmtId="0" fontId="4" fillId="2" borderId="7" xfId="0" applyFont="1" applyFill="1" applyBorder="1" applyAlignment="1" applyProtection="1">
      <alignment horizontal="left" vertical="center"/>
    </xf>
    <xf numFmtId="0" fontId="4" fillId="2" borderId="9" xfId="0" applyFont="1" applyFill="1" applyBorder="1" applyAlignment="1" applyProtection="1">
      <alignment horizontal="left" vertical="center"/>
    </xf>
    <xf numFmtId="0" fontId="3" fillId="2" borderId="0" xfId="0" applyFont="1" applyFill="1" applyAlignment="1" applyProtection="1">
      <alignment horizontal="left" vertical="top" wrapText="1" indent="2"/>
    </xf>
    <xf numFmtId="0" fontId="3" fillId="2" borderId="0" xfId="0" applyFont="1" applyFill="1" applyAlignment="1" applyProtection="1">
      <alignment horizontal="left" indent="2"/>
    </xf>
    <xf numFmtId="0" fontId="3" fillId="2" borderId="0" xfId="0" applyFont="1" applyFill="1" applyAlignment="1" applyProtection="1">
      <alignment horizontal="left" wrapText="1" indent="2"/>
    </xf>
    <xf numFmtId="0" fontId="4" fillId="2" borderId="6" xfId="4" applyFont="1" applyFill="1" applyBorder="1" applyAlignment="1" applyProtection="1">
      <alignment horizontal="center" vertical="center" wrapText="1"/>
    </xf>
    <xf numFmtId="0" fontId="4" fillId="2" borderId="42" xfId="4" applyFont="1" applyFill="1" applyBorder="1" applyAlignment="1" applyProtection="1">
      <alignment horizontal="center" vertical="center" wrapText="1"/>
    </xf>
    <xf numFmtId="0" fontId="4" fillId="2" borderId="26" xfId="4" applyFont="1" applyFill="1" applyBorder="1" applyAlignment="1" applyProtection="1">
      <alignment horizontal="left" vertical="center"/>
    </xf>
    <xf numFmtId="0" fontId="4" fillId="2" borderId="5" xfId="0" applyFont="1" applyFill="1" applyBorder="1" applyAlignment="1" applyProtection="1">
      <alignment horizontal="center" vertical="center" wrapText="1"/>
    </xf>
    <xf numFmtId="0" fontId="4" fillId="2" borderId="17" xfId="0" applyFont="1" applyFill="1" applyBorder="1" applyAlignment="1" applyProtection="1">
      <alignment horizontal="center" vertical="center" wrapText="1"/>
    </xf>
    <xf numFmtId="0" fontId="4" fillId="2" borderId="3" xfId="0" applyFont="1" applyFill="1" applyBorder="1" applyAlignment="1" applyProtection="1">
      <alignment horizontal="center" vertical="center" wrapText="1"/>
    </xf>
    <xf numFmtId="0" fontId="4" fillId="0" borderId="51" xfId="4" applyFont="1" applyFill="1" applyBorder="1" applyAlignment="1" applyProtection="1">
      <alignment horizontal="center" vertical="center" wrapText="1"/>
    </xf>
    <xf numFmtId="0" fontId="4" fillId="0" borderId="50" xfId="4" applyFont="1" applyFill="1" applyBorder="1" applyAlignment="1" applyProtection="1">
      <alignment horizontal="center" vertical="center" wrapText="1"/>
    </xf>
    <xf numFmtId="0" fontId="4" fillId="0" borderId="41" xfId="4" applyFont="1" applyFill="1" applyBorder="1" applyAlignment="1" applyProtection="1">
      <alignment horizontal="center" vertical="center" wrapText="1"/>
    </xf>
    <xf numFmtId="0" fontId="4" fillId="0" borderId="17" xfId="4" applyFont="1" applyFill="1" applyBorder="1" applyAlignment="1" applyProtection="1">
      <alignment horizontal="center" vertical="center" wrapText="1"/>
    </xf>
    <xf numFmtId="0" fontId="4" fillId="0" borderId="40" xfId="4" applyFont="1" applyFill="1" applyBorder="1" applyAlignment="1" applyProtection="1">
      <alignment horizontal="center" vertical="center" wrapText="1"/>
    </xf>
    <xf numFmtId="0" fontId="4" fillId="0" borderId="0" xfId="4" applyFont="1" applyFill="1" applyBorder="1" applyAlignment="1" applyProtection="1">
      <alignment horizontal="left" vertical="center" wrapText="1"/>
    </xf>
    <xf numFmtId="0" fontId="4" fillId="2" borderId="7" xfId="4" applyFont="1" applyFill="1" applyBorder="1" applyAlignment="1" applyProtection="1">
      <alignment horizontal="left" vertical="center" wrapText="1"/>
    </xf>
    <xf numFmtId="0" fontId="4" fillId="2" borderId="8" xfId="4" applyFont="1" applyFill="1" applyBorder="1" applyAlignment="1" applyProtection="1">
      <alignment horizontal="left" vertical="center" wrapText="1"/>
    </xf>
    <xf numFmtId="0" fontId="3" fillId="2" borderId="32" xfId="4" applyFont="1" applyFill="1" applyBorder="1" applyAlignment="1" applyProtection="1">
      <alignment horizontal="center" vertical="center"/>
    </xf>
    <xf numFmtId="0" fontId="3" fillId="2" borderId="10" xfId="4" applyFont="1" applyFill="1" applyBorder="1" applyAlignment="1" applyProtection="1">
      <alignment horizontal="center" vertical="center"/>
    </xf>
    <xf numFmtId="0" fontId="3" fillId="2" borderId="27" xfId="4" applyFont="1" applyFill="1" applyBorder="1" applyAlignment="1" applyProtection="1">
      <alignment horizontal="center" vertical="center"/>
    </xf>
    <xf numFmtId="0" fontId="3" fillId="2" borderId="11" xfId="4" applyFont="1" applyFill="1" applyBorder="1" applyAlignment="1" applyProtection="1">
      <alignment horizontal="center" vertical="center"/>
    </xf>
    <xf numFmtId="0" fontId="3" fillId="2" borderId="30" xfId="4" applyFont="1" applyFill="1" applyBorder="1" applyAlignment="1" applyProtection="1">
      <alignment horizontal="center" vertical="center"/>
    </xf>
    <xf numFmtId="0" fontId="3" fillId="2" borderId="29" xfId="4" applyFont="1" applyFill="1" applyBorder="1" applyAlignment="1" applyProtection="1">
      <alignment horizontal="center" vertical="center"/>
    </xf>
    <xf numFmtId="0" fontId="14" fillId="2" borderId="32" xfId="4" applyFont="1" applyFill="1" applyBorder="1" applyAlignment="1" applyProtection="1">
      <alignment horizontal="center" vertical="center"/>
    </xf>
    <xf numFmtId="0" fontId="14" fillId="2" borderId="33" xfId="4" applyFont="1" applyFill="1" applyBorder="1" applyAlignment="1" applyProtection="1">
      <alignment horizontal="center" vertical="center"/>
    </xf>
    <xf numFmtId="0" fontId="14" fillId="2" borderId="10" xfId="4" applyFont="1" applyFill="1" applyBorder="1" applyAlignment="1" applyProtection="1">
      <alignment horizontal="center" vertical="center"/>
    </xf>
    <xf numFmtId="0" fontId="14" fillId="2" borderId="27" xfId="4" applyFont="1" applyFill="1" applyBorder="1" applyAlignment="1" applyProtection="1">
      <alignment horizontal="center" vertical="center"/>
    </xf>
    <xf numFmtId="0" fontId="14" fillId="2" borderId="0" xfId="4" applyFont="1" applyFill="1" applyBorder="1" applyAlignment="1" applyProtection="1">
      <alignment horizontal="center" vertical="center"/>
    </xf>
    <xf numFmtId="0" fontId="14" fillId="2" borderId="11" xfId="4" applyFont="1" applyFill="1" applyBorder="1" applyAlignment="1" applyProtection="1">
      <alignment horizontal="center" vertical="center"/>
    </xf>
    <xf numFmtId="0" fontId="14" fillId="2" borderId="30" xfId="4" applyFont="1" applyFill="1" applyBorder="1" applyAlignment="1" applyProtection="1">
      <alignment horizontal="center" vertical="center"/>
    </xf>
    <xf numFmtId="0" fontId="14" fillId="2" borderId="31" xfId="4" applyFont="1" applyFill="1" applyBorder="1" applyAlignment="1" applyProtection="1">
      <alignment horizontal="center" vertical="center"/>
    </xf>
    <xf numFmtId="0" fontId="14" fillId="2" borderId="29" xfId="4" applyFont="1" applyFill="1" applyBorder="1" applyAlignment="1" applyProtection="1">
      <alignment horizontal="center" vertical="center"/>
    </xf>
    <xf numFmtId="0" fontId="3" fillId="4" borderId="0" xfId="4" applyFont="1" applyFill="1" applyBorder="1" applyAlignment="1" applyProtection="1">
      <alignment horizontal="center" vertical="center"/>
    </xf>
    <xf numFmtId="0" fontId="7" fillId="5" borderId="0" xfId="0" applyFont="1" applyFill="1" applyAlignment="1" applyProtection="1">
      <alignment horizontal="left" vertical="center" wrapText="1"/>
    </xf>
    <xf numFmtId="0" fontId="0" fillId="3" borderId="4" xfId="0" applyFont="1" applyFill="1" applyBorder="1" applyProtection="1">
      <protection locked="0"/>
    </xf>
    <xf numFmtId="0" fontId="0" fillId="3" borderId="15" xfId="0" applyFont="1" applyFill="1" applyBorder="1" applyProtection="1">
      <protection locked="0"/>
    </xf>
    <xf numFmtId="0" fontId="0" fillId="3" borderId="4" xfId="0" applyFont="1" applyFill="1" applyBorder="1" applyAlignment="1" applyProtection="1">
      <alignment horizontal="center"/>
      <protection locked="0"/>
    </xf>
  </cellXfs>
  <cellStyles count="7">
    <cellStyle name="Hipervínculo" xfId="3" builtinId="8"/>
    <cellStyle name="Millares" xfId="6" builtinId="3"/>
    <cellStyle name="Moneda" xfId="1" builtinId="4"/>
    <cellStyle name="Normal" xfId="0" builtinId="0"/>
    <cellStyle name="Normal 2" xfId="5"/>
    <cellStyle name="Normal 3" xfId="4"/>
    <cellStyle name="Porcentaje" xfId="2" builtinId="5"/>
  </cellStyles>
  <dxfs count="19">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616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744683</xdr:colOff>
      <xdr:row>1</xdr:row>
      <xdr:rowOff>69271</xdr:rowOff>
    </xdr:from>
    <xdr:to>
      <xdr:col>1</xdr:col>
      <xdr:colOff>2228851</xdr:colOff>
      <xdr:row>2</xdr:row>
      <xdr:rowOff>348094</xdr:rowOff>
    </xdr:to>
    <xdr:pic>
      <xdr:nvPicPr>
        <xdr:cNvPr id="4" name="3 Imagen">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9819" y="225135"/>
          <a:ext cx="1484168" cy="6598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361950</xdr:colOff>
      <xdr:row>1</xdr:row>
      <xdr:rowOff>95250</xdr:rowOff>
    </xdr:from>
    <xdr:to>
      <xdr:col>2</xdr:col>
      <xdr:colOff>428625</xdr:colOff>
      <xdr:row>2</xdr:row>
      <xdr:rowOff>250031</xdr:rowOff>
    </xdr:to>
    <xdr:pic>
      <xdr:nvPicPr>
        <xdr:cNvPr id="2" name="1 Imagen">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6263" y="261938"/>
          <a:ext cx="995362" cy="4762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76200</xdr:colOff>
      <xdr:row>0</xdr:row>
      <xdr:rowOff>47625</xdr:rowOff>
    </xdr:from>
    <xdr:to>
      <xdr:col>1</xdr:col>
      <xdr:colOff>847725</xdr:colOff>
      <xdr:row>2</xdr:row>
      <xdr:rowOff>171450</xdr:rowOff>
    </xdr:to>
    <xdr:pic>
      <xdr:nvPicPr>
        <xdr:cNvPr id="2" name="1 Imagen">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0" y="47625"/>
          <a:ext cx="1162050" cy="504825"/>
        </a:xfrm>
        <a:prstGeom prst="rect">
          <a:avLst/>
        </a:prstGeom>
      </xdr:spPr>
    </xdr:pic>
    <xdr:clientData/>
  </xdr:twoCellAnchor>
  <xdr:twoCellAnchor>
    <xdr:from>
      <xdr:col>1</xdr:col>
      <xdr:colOff>0</xdr:colOff>
      <xdr:row>6</xdr:row>
      <xdr:rowOff>5953</xdr:rowOff>
    </xdr:from>
    <xdr:to>
      <xdr:col>2</xdr:col>
      <xdr:colOff>0</xdr:colOff>
      <xdr:row>6</xdr:row>
      <xdr:rowOff>809625</xdr:rowOff>
    </xdr:to>
    <xdr:cxnSp macro="">
      <xdr:nvCxnSpPr>
        <xdr:cNvPr id="4" name="3 Conector recto">
          <a:extLst>
            <a:ext uri="{FF2B5EF4-FFF2-40B4-BE49-F238E27FC236}">
              <a16:creationId xmlns:a16="http://schemas.microsoft.com/office/drawing/2014/main" id="{00000000-0008-0000-0200-000004000000}"/>
            </a:ext>
          </a:extLst>
        </xdr:cNvPr>
        <xdr:cNvCxnSpPr/>
      </xdr:nvCxnSpPr>
      <xdr:spPr>
        <a:xfrm>
          <a:off x="1345406" y="1220391"/>
          <a:ext cx="4012407" cy="80367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H161"/>
  <sheetViews>
    <sheetView tabSelected="1" zoomScale="70" zoomScaleNormal="70" zoomScaleSheetLayoutView="70" workbookViewId="0">
      <selection activeCell="C30" sqref="C30:D30"/>
    </sheetView>
  </sheetViews>
  <sheetFormatPr baseColWidth="10" defaultRowHeight="15" x14ac:dyDescent="0.25"/>
  <cols>
    <col min="1" max="1" width="3.42578125" style="2" customWidth="1"/>
    <col min="2" max="2" width="52.7109375" style="2" customWidth="1"/>
    <col min="3" max="4" width="49.5703125" style="2" customWidth="1"/>
    <col min="5" max="5" width="70.5703125" style="2" bestFit="1" customWidth="1"/>
    <col min="6" max="6" width="30.140625" style="2" customWidth="1"/>
    <col min="7" max="8" width="22.7109375" style="2" customWidth="1"/>
    <col min="9" max="16384" width="11.42578125" style="2"/>
  </cols>
  <sheetData>
    <row r="1" spans="2:7" ht="12.75" customHeight="1" x14ac:dyDescent="0.25"/>
    <row r="2" spans="2:7" s="3" customFormat="1" ht="30" customHeight="1" x14ac:dyDescent="0.25">
      <c r="B2" s="243"/>
      <c r="C2" s="246" t="s">
        <v>282</v>
      </c>
      <c r="D2" s="247"/>
      <c r="E2" s="248"/>
      <c r="F2" s="45" t="s">
        <v>280</v>
      </c>
    </row>
    <row r="3" spans="2:7" s="3" customFormat="1" ht="30" customHeight="1" x14ac:dyDescent="0.25">
      <c r="B3" s="243"/>
      <c r="C3" s="249" t="s">
        <v>283</v>
      </c>
      <c r="D3" s="250"/>
      <c r="E3" s="251"/>
      <c r="F3" s="45" t="s">
        <v>281</v>
      </c>
    </row>
    <row r="4" spans="2:7" s="3" customFormat="1" ht="16.5" customHeight="1" x14ac:dyDescent="0.25">
      <c r="C4" s="4"/>
      <c r="D4" s="4"/>
      <c r="E4" s="4"/>
      <c r="F4" s="4"/>
    </row>
    <row r="5" spans="2:7" x14ac:dyDescent="0.25">
      <c r="B5" s="5" t="s">
        <v>10</v>
      </c>
      <c r="C5" s="242"/>
      <c r="D5" s="242"/>
      <c r="E5" s="6"/>
      <c r="F5" s="6"/>
    </row>
    <row r="6" spans="2:7" x14ac:dyDescent="0.25">
      <c r="B6" s="5" t="s">
        <v>11</v>
      </c>
      <c r="C6" s="242"/>
      <c r="D6" s="242"/>
      <c r="E6" s="6"/>
      <c r="F6" s="6"/>
    </row>
    <row r="7" spans="2:7" x14ac:dyDescent="0.25">
      <c r="B7" s="5" t="s">
        <v>228</v>
      </c>
      <c r="C7" s="242"/>
      <c r="D7" s="242"/>
      <c r="E7" s="6"/>
      <c r="F7" s="6"/>
    </row>
    <row r="8" spans="2:7" x14ac:dyDescent="0.25">
      <c r="B8" s="5" t="s">
        <v>73</v>
      </c>
      <c r="C8" s="245"/>
      <c r="D8" s="242"/>
      <c r="E8" s="6"/>
      <c r="F8" s="6"/>
    </row>
    <row r="9" spans="2:7" x14ac:dyDescent="0.25">
      <c r="B9" s="5" t="s">
        <v>43</v>
      </c>
      <c r="C9" s="242"/>
      <c r="D9" s="242"/>
      <c r="E9" s="6"/>
      <c r="F9" s="6"/>
    </row>
    <row r="10" spans="2:7" x14ac:dyDescent="0.25">
      <c r="B10" s="5" t="s">
        <v>208</v>
      </c>
      <c r="C10" s="242"/>
      <c r="D10" s="242"/>
      <c r="E10" s="6"/>
      <c r="F10" s="6"/>
    </row>
    <row r="11" spans="2:7" x14ac:dyDescent="0.25">
      <c r="B11" s="5" t="s">
        <v>155</v>
      </c>
      <c r="C11" s="244"/>
      <c r="D11" s="244"/>
      <c r="E11" s="6"/>
      <c r="F11" s="6"/>
    </row>
    <row r="12" spans="2:7" x14ac:dyDescent="0.25">
      <c r="B12" s="7"/>
      <c r="C12" s="7"/>
      <c r="D12" s="7"/>
      <c r="E12" s="6"/>
      <c r="F12" s="6"/>
    </row>
    <row r="13" spans="2:7" ht="16.5" customHeight="1" x14ac:dyDescent="0.25">
      <c r="B13" s="32" t="s">
        <v>147</v>
      </c>
      <c r="C13" s="32"/>
      <c r="D13" s="32"/>
      <c r="E13" s="32"/>
      <c r="F13" s="32"/>
    </row>
    <row r="14" spans="2:7" x14ac:dyDescent="0.25">
      <c r="B14" s="8" t="s">
        <v>44</v>
      </c>
      <c r="C14" s="7"/>
      <c r="D14" s="7"/>
      <c r="E14" s="6"/>
      <c r="F14" s="6"/>
    </row>
    <row r="15" spans="2:7" x14ac:dyDescent="0.25">
      <c r="B15" s="9"/>
      <c r="C15" s="9"/>
      <c r="D15" s="7"/>
      <c r="E15" s="10"/>
      <c r="F15" s="9"/>
      <c r="G15" s="3"/>
    </row>
    <row r="16" spans="2:7" x14ac:dyDescent="0.25">
      <c r="B16" s="11" t="s">
        <v>59</v>
      </c>
      <c r="C16" s="49"/>
      <c r="D16" s="7"/>
      <c r="F16" s="9"/>
      <c r="G16" s="3"/>
    </row>
    <row r="17" spans="2:7" x14ac:dyDescent="0.25">
      <c r="B17" s="11" t="s">
        <v>47</v>
      </c>
      <c r="C17" s="17"/>
      <c r="D17" s="7"/>
      <c r="F17" s="9"/>
      <c r="G17" s="3"/>
    </row>
    <row r="18" spans="2:7" x14ac:dyDescent="0.25">
      <c r="B18" s="11" t="s">
        <v>48</v>
      </c>
      <c r="C18" s="17"/>
      <c r="D18" s="7"/>
      <c r="E18" s="10"/>
      <c r="F18" s="9"/>
      <c r="G18" s="3"/>
    </row>
    <row r="19" spans="2:7" x14ac:dyDescent="0.25">
      <c r="B19" s="10"/>
      <c r="C19" s="9"/>
      <c r="D19" s="7"/>
      <c r="E19" s="10"/>
      <c r="F19" s="9"/>
      <c r="G19" s="3"/>
    </row>
    <row r="20" spans="2:7" x14ac:dyDescent="0.25">
      <c r="B20" s="10"/>
      <c r="C20" s="9"/>
      <c r="D20" s="8" t="s">
        <v>153</v>
      </c>
      <c r="E20" s="10"/>
      <c r="F20" s="9"/>
      <c r="G20" s="3"/>
    </row>
    <row r="21" spans="2:7" x14ac:dyDescent="0.25">
      <c r="B21" s="12" t="s">
        <v>128</v>
      </c>
      <c r="C21" s="17"/>
      <c r="D21" s="242"/>
      <c r="E21" s="242"/>
      <c r="F21" s="242"/>
    </row>
    <row r="22" spans="2:7" x14ac:dyDescent="0.25">
      <c r="B22" s="7"/>
      <c r="C22" s="7"/>
      <c r="D22" s="7"/>
      <c r="E22" s="6"/>
      <c r="F22" s="6"/>
    </row>
    <row r="23" spans="2:7" ht="16.5" customHeight="1" x14ac:dyDescent="0.25">
      <c r="B23" s="351" t="s">
        <v>148</v>
      </c>
      <c r="C23" s="351"/>
      <c r="D23" s="351"/>
      <c r="E23" s="351"/>
      <c r="F23" s="351"/>
    </row>
    <row r="25" spans="2:7" x14ac:dyDescent="0.25">
      <c r="B25" s="33" t="s">
        <v>269</v>
      </c>
    </row>
    <row r="26" spans="2:7" x14ac:dyDescent="0.25">
      <c r="B26" s="2" t="s">
        <v>273</v>
      </c>
    </row>
    <row r="28" spans="2:7" x14ac:dyDescent="0.25">
      <c r="B28" s="12" t="s">
        <v>270</v>
      </c>
      <c r="C28" s="352"/>
    </row>
    <row r="29" spans="2:7" x14ac:dyDescent="0.25">
      <c r="B29" s="12" t="s">
        <v>271</v>
      </c>
      <c r="C29" s="353"/>
    </row>
    <row r="30" spans="2:7" x14ac:dyDescent="0.25">
      <c r="B30" s="12" t="s">
        <v>272</v>
      </c>
      <c r="C30" s="354"/>
      <c r="D30" s="354"/>
    </row>
    <row r="32" spans="2:7" x14ac:dyDescent="0.25">
      <c r="B32" s="33" t="s">
        <v>139</v>
      </c>
      <c r="C32" s="34"/>
      <c r="D32" s="34"/>
      <c r="E32" s="34"/>
      <c r="F32" s="34"/>
    </row>
    <row r="33" spans="2:7" x14ac:dyDescent="0.25">
      <c r="B33" s="8" t="s">
        <v>274</v>
      </c>
      <c r="C33" s="7"/>
      <c r="D33" s="8"/>
      <c r="E33" s="6"/>
      <c r="F33" s="6"/>
    </row>
    <row r="34" spans="2:7" x14ac:dyDescent="0.25">
      <c r="B34" s="8"/>
      <c r="C34" s="7"/>
      <c r="D34" s="8"/>
      <c r="E34" s="6"/>
      <c r="F34" s="6"/>
    </row>
    <row r="35" spans="2:7" x14ac:dyDescent="0.25">
      <c r="B35" s="9"/>
      <c r="C35" s="13">
        <f ca="1">YEAR(TODAY())-1</f>
        <v>2016</v>
      </c>
      <c r="D35" s="9"/>
      <c r="E35" s="10"/>
      <c r="F35" s="9"/>
      <c r="G35" s="3"/>
    </row>
    <row r="36" spans="2:7" x14ac:dyDescent="0.25">
      <c r="B36" s="11" t="s">
        <v>23</v>
      </c>
      <c r="C36" s="50"/>
      <c r="D36" s="35"/>
      <c r="E36" s="10"/>
      <c r="F36" s="9"/>
      <c r="G36" s="3"/>
    </row>
    <row r="37" spans="2:7" x14ac:dyDescent="0.25">
      <c r="B37" s="11" t="s">
        <v>24</v>
      </c>
      <c r="C37" s="50"/>
      <c r="D37" s="35"/>
      <c r="E37" s="10"/>
      <c r="F37" s="9"/>
      <c r="G37" s="3"/>
    </row>
    <row r="38" spans="2:7" x14ac:dyDescent="0.25">
      <c r="B38" s="11" t="s">
        <v>25</v>
      </c>
      <c r="C38" s="50"/>
      <c r="D38" s="35"/>
      <c r="E38" s="10"/>
      <c r="F38" s="9"/>
      <c r="G38" s="3"/>
    </row>
    <row r="39" spans="2:7" x14ac:dyDescent="0.25">
      <c r="B39" s="11" t="s">
        <v>26</v>
      </c>
      <c r="C39" s="50"/>
      <c r="D39" s="35"/>
      <c r="E39" s="10"/>
      <c r="F39" s="9"/>
      <c r="G39" s="3"/>
    </row>
    <row r="40" spans="2:7" x14ac:dyDescent="0.25">
      <c r="B40" s="11" t="s">
        <v>27</v>
      </c>
      <c r="C40" s="50"/>
      <c r="D40" s="35"/>
      <c r="E40" s="10"/>
      <c r="F40" s="9"/>
      <c r="G40" s="3"/>
    </row>
    <row r="41" spans="2:7" x14ac:dyDescent="0.25">
      <c r="B41" s="11" t="s">
        <v>28</v>
      </c>
      <c r="C41" s="50"/>
      <c r="D41" s="35"/>
      <c r="E41" s="10"/>
      <c r="F41" s="9"/>
      <c r="G41" s="3"/>
    </row>
    <row r="42" spans="2:7" x14ac:dyDescent="0.25">
      <c r="B42" s="11" t="s">
        <v>29</v>
      </c>
      <c r="C42" s="50"/>
      <c r="D42" s="35"/>
      <c r="E42" s="10"/>
      <c r="F42" s="9"/>
      <c r="G42" s="3"/>
    </row>
    <row r="43" spans="2:7" x14ac:dyDescent="0.25">
      <c r="B43" s="11" t="s">
        <v>30</v>
      </c>
      <c r="C43" s="50"/>
      <c r="D43" s="35"/>
      <c r="E43" s="10"/>
      <c r="F43" s="9"/>
      <c r="G43" s="3"/>
    </row>
    <row r="44" spans="2:7" x14ac:dyDescent="0.25">
      <c r="B44" s="11" t="s">
        <v>31</v>
      </c>
      <c r="C44" s="50"/>
      <c r="D44" s="35"/>
      <c r="E44" s="10"/>
      <c r="F44" s="9"/>
      <c r="G44" s="3"/>
    </row>
    <row r="45" spans="2:7" x14ac:dyDescent="0.25">
      <c r="B45" s="8"/>
      <c r="C45" s="7"/>
      <c r="D45" s="8"/>
      <c r="E45" s="6"/>
      <c r="F45" s="6"/>
    </row>
    <row r="46" spans="2:7" x14ac:dyDescent="0.25">
      <c r="B46" s="33" t="s">
        <v>134</v>
      </c>
      <c r="C46" s="34"/>
      <c r="D46" s="34"/>
      <c r="E46" s="34"/>
      <c r="F46" s="34"/>
    </row>
    <row r="47" spans="2:7" x14ac:dyDescent="0.25">
      <c r="B47" s="7"/>
      <c r="C47" s="7"/>
      <c r="D47" s="7"/>
      <c r="E47" s="7"/>
      <c r="F47" s="9"/>
    </row>
    <row r="48" spans="2:7" x14ac:dyDescent="0.25">
      <c r="B48" s="27" t="s">
        <v>78</v>
      </c>
      <c r="C48" s="46" t="s">
        <v>79</v>
      </c>
      <c r="D48" s="46" t="s">
        <v>76</v>
      </c>
      <c r="E48" s="24" t="s">
        <v>77</v>
      </c>
      <c r="F48" s="9"/>
    </row>
    <row r="49" spans="2:7" ht="16.5" customHeight="1" x14ac:dyDescent="0.25">
      <c r="B49" s="28"/>
      <c r="C49" s="52"/>
      <c r="D49" s="30"/>
      <c r="E49" s="25"/>
      <c r="F49" s="9"/>
    </row>
    <row r="50" spans="2:7" ht="16.5" customHeight="1" x14ac:dyDescent="0.25">
      <c r="B50" s="28"/>
      <c r="C50" s="52"/>
      <c r="D50" s="30"/>
      <c r="E50" s="236"/>
      <c r="F50" s="9"/>
    </row>
    <row r="51" spans="2:7" x14ac:dyDescent="0.25">
      <c r="B51" s="29"/>
      <c r="C51" s="53"/>
      <c r="D51" s="30"/>
      <c r="E51" s="26"/>
      <c r="F51" s="9"/>
    </row>
    <row r="52" spans="2:7" x14ac:dyDescent="0.25">
      <c r="B52" s="29"/>
      <c r="C52" s="53"/>
      <c r="D52" s="31"/>
      <c r="E52" s="26"/>
      <c r="F52" s="9"/>
    </row>
    <row r="53" spans="2:7" x14ac:dyDescent="0.25">
      <c r="B53" s="8"/>
      <c r="C53" s="7"/>
      <c r="D53" s="8"/>
      <c r="E53" s="6"/>
      <c r="F53" s="6"/>
    </row>
    <row r="54" spans="2:7" x14ac:dyDescent="0.25">
      <c r="B54" s="33" t="s">
        <v>33</v>
      </c>
      <c r="C54" s="34"/>
      <c r="D54" s="34"/>
      <c r="E54" s="34"/>
      <c r="F54" s="34"/>
    </row>
    <row r="55" spans="2:7" x14ac:dyDescent="0.25">
      <c r="B55" s="8" t="s">
        <v>34</v>
      </c>
      <c r="C55" s="7"/>
      <c r="D55" s="7"/>
      <c r="E55" s="6"/>
      <c r="F55" s="6"/>
    </row>
    <row r="56" spans="2:7" x14ac:dyDescent="0.25">
      <c r="B56" s="8"/>
      <c r="C56" s="7"/>
      <c r="D56" s="7"/>
      <c r="E56" s="6"/>
      <c r="F56" s="6"/>
    </row>
    <row r="57" spans="2:7" ht="15.75" customHeight="1" x14ac:dyDescent="0.25">
      <c r="B57" s="48" t="s">
        <v>35</v>
      </c>
      <c r="C57" s="17"/>
      <c r="D57" s="7"/>
      <c r="E57" s="6"/>
      <c r="F57" s="6"/>
    </row>
    <row r="58" spans="2:7" ht="15.75" customHeight="1" x14ac:dyDescent="0.25">
      <c r="B58" s="48" t="s">
        <v>36</v>
      </c>
      <c r="C58" s="17"/>
      <c r="D58" s="7"/>
      <c r="E58" s="6"/>
      <c r="F58" s="6"/>
    </row>
    <row r="59" spans="2:7" ht="15.75" customHeight="1" x14ac:dyDescent="0.25">
      <c r="B59" s="48" t="s">
        <v>37</v>
      </c>
      <c r="C59" s="17"/>
      <c r="D59" s="7"/>
      <c r="E59" s="6"/>
      <c r="F59" s="6"/>
    </row>
    <row r="60" spans="2:7" ht="15.75" customHeight="1" x14ac:dyDescent="0.25">
      <c r="B60" s="48" t="s">
        <v>38</v>
      </c>
      <c r="C60" s="17"/>
      <c r="D60" s="7"/>
      <c r="E60" s="6"/>
      <c r="F60" s="6"/>
    </row>
    <row r="61" spans="2:7" x14ac:dyDescent="0.25">
      <c r="B61" s="8"/>
      <c r="C61" s="7"/>
      <c r="D61" s="8"/>
      <c r="E61" s="6"/>
      <c r="F61" s="6"/>
    </row>
    <row r="62" spans="2:7" x14ac:dyDescent="0.25">
      <c r="B62" s="33" t="s">
        <v>133</v>
      </c>
      <c r="C62" s="34"/>
      <c r="D62" s="34"/>
      <c r="E62" s="34"/>
      <c r="F62" s="34"/>
    </row>
    <row r="63" spans="2:7" x14ac:dyDescent="0.25">
      <c r="B63" s="8" t="s">
        <v>235</v>
      </c>
      <c r="C63" s="34"/>
      <c r="D63" s="34"/>
      <c r="E63" s="34"/>
      <c r="F63" s="34"/>
    </row>
    <row r="64" spans="2:7" x14ac:dyDescent="0.25">
      <c r="B64" s="10" t="s">
        <v>72</v>
      </c>
      <c r="C64" s="9"/>
      <c r="D64" s="8" t="s">
        <v>215</v>
      </c>
      <c r="E64" s="10"/>
      <c r="F64" s="9"/>
      <c r="G64" s="3"/>
    </row>
    <row r="65" spans="2:7" x14ac:dyDescent="0.25">
      <c r="B65" s="14" t="s">
        <v>32</v>
      </c>
      <c r="C65" s="17"/>
      <c r="D65" s="240"/>
      <c r="E65" s="240"/>
      <c r="F65" s="240"/>
    </row>
    <row r="66" spans="2:7" x14ac:dyDescent="0.25">
      <c r="B66" s="14" t="s">
        <v>39</v>
      </c>
      <c r="C66" s="17"/>
      <c r="D66" s="240"/>
      <c r="E66" s="240"/>
      <c r="F66" s="240"/>
    </row>
    <row r="67" spans="2:7" x14ac:dyDescent="0.25">
      <c r="B67" s="14" t="s">
        <v>40</v>
      </c>
      <c r="C67" s="17"/>
      <c r="D67" s="240"/>
      <c r="E67" s="240"/>
      <c r="F67" s="240"/>
    </row>
    <row r="68" spans="2:7" x14ac:dyDescent="0.25">
      <c r="B68" s="14" t="s">
        <v>41</v>
      </c>
      <c r="C68" s="17"/>
      <c r="D68" s="240"/>
      <c r="E68" s="240"/>
      <c r="F68" s="240"/>
    </row>
    <row r="69" spans="2:7" x14ac:dyDescent="0.25">
      <c r="B69" s="8"/>
      <c r="C69" s="7"/>
      <c r="D69" s="8"/>
      <c r="E69" s="6"/>
      <c r="F69" s="6"/>
    </row>
    <row r="70" spans="2:7" x14ac:dyDescent="0.25">
      <c r="B70" s="11" t="s">
        <v>49</v>
      </c>
      <c r="C70" s="17"/>
      <c r="D70" s="240"/>
      <c r="E70" s="240"/>
      <c r="F70" s="240"/>
      <c r="G70" s="3"/>
    </row>
    <row r="71" spans="2:7" x14ac:dyDescent="0.25">
      <c r="B71" s="11" t="s">
        <v>50</v>
      </c>
      <c r="C71" s="17"/>
      <c r="D71" s="240"/>
      <c r="E71" s="240"/>
      <c r="F71" s="240"/>
      <c r="G71" s="3"/>
    </row>
    <row r="72" spans="2:7" x14ac:dyDescent="0.25">
      <c r="B72" s="11" t="s">
        <v>60</v>
      </c>
      <c r="C72" s="17"/>
      <c r="D72" s="240"/>
      <c r="E72" s="240"/>
      <c r="F72" s="240"/>
      <c r="G72" s="3"/>
    </row>
    <row r="73" spans="2:7" x14ac:dyDescent="0.25">
      <c r="B73" s="11" t="s">
        <v>226</v>
      </c>
      <c r="C73" s="17"/>
      <c r="D73" s="240"/>
      <c r="E73" s="240"/>
      <c r="F73" s="240"/>
      <c r="G73" s="3"/>
    </row>
    <row r="74" spans="2:7" x14ac:dyDescent="0.25">
      <c r="B74" s="11" t="s">
        <v>80</v>
      </c>
      <c r="C74" s="51"/>
      <c r="D74" s="240"/>
      <c r="E74" s="240"/>
      <c r="F74" s="240"/>
      <c r="G74" s="3"/>
    </row>
    <row r="76" spans="2:7" ht="16.5" customHeight="1" x14ac:dyDescent="0.25">
      <c r="B76" s="32" t="s">
        <v>149</v>
      </c>
      <c r="C76" s="32"/>
      <c r="D76" s="32"/>
      <c r="E76" s="32"/>
      <c r="F76" s="32"/>
    </row>
    <row r="77" spans="2:7" x14ac:dyDescent="0.25">
      <c r="C77" s="7"/>
      <c r="D77" s="7"/>
      <c r="E77" s="6"/>
      <c r="F77" s="6"/>
    </row>
    <row r="78" spans="2:7" x14ac:dyDescent="0.25">
      <c r="B78" s="33" t="s">
        <v>138</v>
      </c>
      <c r="C78" s="34"/>
      <c r="D78" s="34"/>
      <c r="E78" s="34"/>
      <c r="F78" s="34"/>
    </row>
    <row r="79" spans="2:7" x14ac:dyDescent="0.25">
      <c r="B79" s="8" t="s">
        <v>44</v>
      </c>
      <c r="C79" s="9"/>
      <c r="D79" s="7"/>
      <c r="E79" s="10"/>
      <c r="F79" s="9"/>
      <c r="G79" s="3"/>
    </row>
    <row r="80" spans="2:7" x14ac:dyDescent="0.25">
      <c r="B80" s="8"/>
      <c r="C80" s="9"/>
      <c r="D80" s="7"/>
      <c r="E80" s="10"/>
      <c r="F80" s="9"/>
      <c r="G80" s="3"/>
    </row>
    <row r="81" spans="2:7" x14ac:dyDescent="0.25">
      <c r="B81" s="13" t="s">
        <v>65</v>
      </c>
      <c r="C81" s="13" t="s">
        <v>45</v>
      </c>
      <c r="D81" s="13" t="s">
        <v>46</v>
      </c>
      <c r="E81" s="10"/>
      <c r="F81" s="9"/>
      <c r="G81" s="3"/>
    </row>
    <row r="82" spans="2:7" x14ac:dyDescent="0.25">
      <c r="B82" s="15">
        <f t="shared" ref="B82:B85" si="0">B83-30</f>
        <v>-210</v>
      </c>
      <c r="C82" s="17"/>
      <c r="D82" s="17"/>
      <c r="E82" s="10"/>
      <c r="F82" s="9"/>
      <c r="G82" s="3"/>
    </row>
    <row r="83" spans="2:7" x14ac:dyDescent="0.25">
      <c r="B83" s="15">
        <f t="shared" si="0"/>
        <v>-180</v>
      </c>
      <c r="C83" s="17"/>
      <c r="D83" s="17"/>
      <c r="E83" s="10"/>
      <c r="F83" s="9"/>
      <c r="G83" s="3"/>
    </row>
    <row r="84" spans="2:7" x14ac:dyDescent="0.25">
      <c r="B84" s="15">
        <f t="shared" si="0"/>
        <v>-150</v>
      </c>
      <c r="C84" s="17"/>
      <c r="D84" s="17"/>
      <c r="E84" s="10"/>
      <c r="F84" s="9"/>
      <c r="G84" s="3"/>
    </row>
    <row r="85" spans="2:7" x14ac:dyDescent="0.25">
      <c r="B85" s="15">
        <f t="shared" si="0"/>
        <v>-120</v>
      </c>
      <c r="C85" s="17"/>
      <c r="D85" s="17"/>
      <c r="E85" s="10"/>
      <c r="F85" s="9"/>
      <c r="G85" s="3"/>
    </row>
    <row r="86" spans="2:7" x14ac:dyDescent="0.25">
      <c r="B86" s="15">
        <f>B87-30</f>
        <v>-90</v>
      </c>
      <c r="C86" s="17"/>
      <c r="D86" s="17"/>
      <c r="E86" s="10"/>
      <c r="F86" s="9"/>
      <c r="G86" s="3"/>
    </row>
    <row r="87" spans="2:7" x14ac:dyDescent="0.25">
      <c r="B87" s="15">
        <f>C11-60</f>
        <v>-60</v>
      </c>
      <c r="C87" s="17"/>
      <c r="D87" s="17"/>
      <c r="E87" s="10"/>
      <c r="F87" s="9"/>
      <c r="G87" s="3"/>
    </row>
    <row r="88" spans="2:7" x14ac:dyDescent="0.25">
      <c r="B88" s="16"/>
      <c r="C88" s="9"/>
      <c r="D88" s="9"/>
      <c r="E88" s="10"/>
      <c r="F88" s="9"/>
      <c r="G88" s="3"/>
    </row>
    <row r="89" spans="2:7" x14ac:dyDescent="0.25">
      <c r="B89" s="33" t="s">
        <v>251</v>
      </c>
      <c r="C89" s="9"/>
      <c r="D89" s="9"/>
      <c r="E89" s="10"/>
      <c r="F89" s="9"/>
      <c r="G89" s="3"/>
    </row>
    <row r="90" spans="2:7" x14ac:dyDescent="0.25">
      <c r="B90" s="54" t="s">
        <v>252</v>
      </c>
      <c r="C90" s="9"/>
      <c r="D90" s="9"/>
      <c r="E90" s="10"/>
      <c r="F90" s="9"/>
      <c r="G90" s="3"/>
    </row>
    <row r="91" spans="2:7" x14ac:dyDescent="0.25">
      <c r="B91" s="54"/>
      <c r="C91" s="9"/>
      <c r="D91" s="9"/>
      <c r="E91" s="10"/>
      <c r="F91" s="9"/>
      <c r="G91" s="3"/>
    </row>
    <row r="92" spans="2:7" x14ac:dyDescent="0.25">
      <c r="B92" s="48" t="s">
        <v>253</v>
      </c>
      <c r="C92" s="17"/>
      <c r="D92" s="9"/>
      <c r="E92" s="10"/>
      <c r="F92" s="9"/>
      <c r="G92" s="3"/>
    </row>
    <row r="93" spans="2:7" ht="30" x14ac:dyDescent="0.25">
      <c r="B93" s="55" t="s">
        <v>267</v>
      </c>
      <c r="C93" s="17"/>
      <c r="D93" s="9"/>
      <c r="E93" s="10"/>
      <c r="F93" s="9"/>
      <c r="G93" s="3"/>
    </row>
    <row r="94" spans="2:7" ht="30" x14ac:dyDescent="0.25">
      <c r="B94" s="55" t="s">
        <v>268</v>
      </c>
      <c r="C94" s="56"/>
      <c r="D94" s="9"/>
      <c r="E94" s="10"/>
      <c r="F94" s="9"/>
      <c r="G94" s="3"/>
    </row>
    <row r="95" spans="2:7" x14ac:dyDescent="0.25">
      <c r="B95" s="8"/>
      <c r="C95" s="7"/>
      <c r="D95" s="7"/>
      <c r="E95" s="44"/>
      <c r="F95" s="44"/>
      <c r="G95" s="3"/>
    </row>
    <row r="96" spans="2:7" x14ac:dyDescent="0.25">
      <c r="B96" s="33" t="s">
        <v>137</v>
      </c>
      <c r="C96" s="34"/>
      <c r="D96" s="34"/>
      <c r="E96" s="34"/>
      <c r="F96" s="34"/>
    </row>
    <row r="97" spans="2:7" x14ac:dyDescent="0.25">
      <c r="B97" s="8" t="s">
        <v>275</v>
      </c>
      <c r="C97" s="7"/>
      <c r="D97" s="7"/>
      <c r="E97" s="253"/>
      <c r="F97" s="253"/>
      <c r="G97" s="3"/>
    </row>
    <row r="98" spans="2:7" x14ac:dyDescent="0.25">
      <c r="B98" s="8"/>
      <c r="C98" s="7"/>
      <c r="D98" s="7"/>
      <c r="E98" s="44"/>
      <c r="F98" s="44"/>
      <c r="G98" s="3"/>
    </row>
    <row r="99" spans="2:7" x14ac:dyDescent="0.25">
      <c r="B99" s="11" t="s">
        <v>66</v>
      </c>
      <c r="C99" s="17"/>
      <c r="D99" s="7"/>
      <c r="E99" s="44"/>
      <c r="F99" s="44"/>
      <c r="G99" s="3"/>
    </row>
    <row r="100" spans="2:7" x14ac:dyDescent="0.25">
      <c r="B100" s="5"/>
      <c r="C100" s="7"/>
      <c r="D100" s="7"/>
      <c r="E100" s="253"/>
      <c r="F100" s="253"/>
      <c r="G100" s="3"/>
    </row>
    <row r="101" spans="2:7" x14ac:dyDescent="0.25">
      <c r="B101" s="13" t="s">
        <v>7</v>
      </c>
      <c r="C101" s="13" t="s">
        <v>18</v>
      </c>
      <c r="D101" s="13" t="s">
        <v>86</v>
      </c>
      <c r="E101" s="13" t="s">
        <v>42</v>
      </c>
      <c r="F101" s="3"/>
      <c r="G101" s="3"/>
    </row>
    <row r="102" spans="2:7" x14ac:dyDescent="0.25">
      <c r="B102" s="237"/>
      <c r="C102" s="18"/>
      <c r="D102" s="19"/>
      <c r="E102" s="17"/>
      <c r="F102" s="3"/>
      <c r="G102" s="3"/>
    </row>
    <row r="103" spans="2:7" x14ac:dyDescent="0.25">
      <c r="B103" s="237"/>
      <c r="C103" s="18"/>
      <c r="D103" s="19"/>
      <c r="E103" s="17"/>
    </row>
    <row r="104" spans="2:7" x14ac:dyDescent="0.25">
      <c r="B104" s="237"/>
      <c r="C104" s="18"/>
      <c r="D104" s="19"/>
      <c r="E104" s="17"/>
    </row>
    <row r="105" spans="2:7" x14ac:dyDescent="0.25">
      <c r="B105" s="237"/>
      <c r="C105" s="238"/>
      <c r="D105" s="17"/>
      <c r="E105" s="17"/>
      <c r="F105" s="7"/>
    </row>
    <row r="106" spans="2:7" x14ac:dyDescent="0.25">
      <c r="B106" s="237"/>
      <c r="C106" s="238"/>
      <c r="D106" s="17"/>
      <c r="E106" s="17"/>
      <c r="F106" s="7"/>
    </row>
    <row r="107" spans="2:7" x14ac:dyDescent="0.25">
      <c r="B107" s="7"/>
      <c r="C107" s="7"/>
      <c r="D107" s="7"/>
      <c r="E107" s="6"/>
      <c r="F107" s="6"/>
    </row>
    <row r="108" spans="2:7" ht="16.5" customHeight="1" x14ac:dyDescent="0.25">
      <c r="B108" s="32" t="s">
        <v>150</v>
      </c>
      <c r="C108" s="32"/>
      <c r="D108" s="32"/>
      <c r="E108" s="32"/>
      <c r="F108" s="32"/>
    </row>
    <row r="109" spans="2:7" x14ac:dyDescent="0.25">
      <c r="B109" s="8" t="s">
        <v>276</v>
      </c>
      <c r="C109" s="7"/>
      <c r="D109" s="7"/>
      <c r="E109" s="10"/>
      <c r="F109" s="9"/>
      <c r="G109" s="3"/>
    </row>
    <row r="110" spans="2:7" x14ac:dyDescent="0.25">
      <c r="B110" s="5"/>
      <c r="C110" s="7"/>
      <c r="D110" s="7"/>
      <c r="E110" s="10"/>
      <c r="F110" s="9"/>
      <c r="G110" s="3"/>
    </row>
    <row r="111" spans="2:7" x14ac:dyDescent="0.25">
      <c r="B111" s="45"/>
      <c r="C111" s="45" t="s">
        <v>22</v>
      </c>
      <c r="D111" s="7"/>
      <c r="E111" s="10"/>
      <c r="F111" s="9"/>
      <c r="G111" s="3"/>
    </row>
    <row r="112" spans="2:7" x14ac:dyDescent="0.25">
      <c r="B112" s="13" t="s">
        <v>0</v>
      </c>
      <c r="C112" s="17"/>
      <c r="D112" s="7"/>
      <c r="E112" s="10"/>
      <c r="F112" s="9"/>
      <c r="G112" s="3"/>
    </row>
    <row r="113" spans="2:8" ht="37.5" customHeight="1" x14ac:dyDescent="0.25">
      <c r="B113" s="57" t="s">
        <v>256</v>
      </c>
      <c r="C113" s="17"/>
      <c r="D113" s="7"/>
      <c r="E113" s="10"/>
      <c r="F113" s="9"/>
      <c r="G113" s="3"/>
    </row>
    <row r="114" spans="2:8" x14ac:dyDescent="0.25">
      <c r="B114" s="13" t="s">
        <v>236</v>
      </c>
      <c r="C114" s="17"/>
      <c r="D114" s="7"/>
      <c r="E114" s="10"/>
      <c r="F114" s="9"/>
      <c r="G114" s="3"/>
    </row>
    <row r="115" spans="2:8" x14ac:dyDescent="0.25">
      <c r="B115" s="13" t="s">
        <v>230</v>
      </c>
      <c r="C115" s="17"/>
      <c r="D115" s="7"/>
      <c r="E115" s="6"/>
      <c r="F115" s="6"/>
    </row>
    <row r="116" spans="2:8" x14ac:dyDescent="0.25">
      <c r="B116" s="13" t="s">
        <v>15</v>
      </c>
      <c r="C116" s="17"/>
      <c r="D116" s="7"/>
      <c r="E116" s="6"/>
      <c r="F116" s="6"/>
    </row>
    <row r="117" spans="2:8" x14ac:dyDescent="0.25">
      <c r="B117" s="13" t="s">
        <v>14</v>
      </c>
      <c r="C117" s="17"/>
      <c r="D117" s="7"/>
      <c r="E117" s="6"/>
      <c r="F117" s="6"/>
    </row>
    <row r="118" spans="2:8" x14ac:dyDescent="0.25">
      <c r="B118" s="13" t="s">
        <v>19</v>
      </c>
      <c r="C118" s="17"/>
      <c r="D118" s="7"/>
      <c r="E118" s="6"/>
      <c r="F118" s="6"/>
    </row>
    <row r="119" spans="2:8" x14ac:dyDescent="0.25">
      <c r="B119" s="13" t="s">
        <v>20</v>
      </c>
      <c r="C119" s="17"/>
      <c r="D119" s="7"/>
      <c r="E119" s="6"/>
      <c r="F119" s="6"/>
    </row>
    <row r="120" spans="2:8" x14ac:dyDescent="0.25">
      <c r="B120" s="7"/>
      <c r="C120" s="7"/>
      <c r="D120" s="7"/>
      <c r="E120" s="7"/>
      <c r="F120" s="7"/>
    </row>
    <row r="121" spans="2:8" ht="16.5" customHeight="1" x14ac:dyDescent="0.25">
      <c r="B121" s="32" t="s">
        <v>151</v>
      </c>
      <c r="C121" s="32"/>
      <c r="D121" s="32"/>
      <c r="E121" s="32"/>
      <c r="F121" s="32"/>
    </row>
    <row r="122" spans="2:8" x14ac:dyDescent="0.25">
      <c r="B122" s="8" t="s">
        <v>277</v>
      </c>
      <c r="C122" s="7"/>
      <c r="D122" s="7"/>
      <c r="E122" s="7"/>
      <c r="F122" s="7"/>
    </row>
    <row r="124" spans="2:8" x14ac:dyDescent="0.25">
      <c r="B124" s="11" t="s">
        <v>132</v>
      </c>
      <c r="C124" s="17"/>
      <c r="D124" s="7"/>
      <c r="E124" s="7"/>
      <c r="F124" s="7"/>
    </row>
    <row r="125" spans="2:8" x14ac:dyDescent="0.25">
      <c r="B125" s="7"/>
      <c r="C125" s="7"/>
      <c r="D125" s="7"/>
      <c r="E125" s="7"/>
      <c r="F125" s="7"/>
    </row>
    <row r="126" spans="2:8" ht="15.75" customHeight="1" x14ac:dyDescent="0.25">
      <c r="B126" s="254" t="s">
        <v>1</v>
      </c>
      <c r="C126" s="255" t="s">
        <v>2</v>
      </c>
      <c r="D126" s="254" t="s">
        <v>3</v>
      </c>
      <c r="E126" s="255" t="s">
        <v>13</v>
      </c>
      <c r="F126" s="241" t="s">
        <v>6</v>
      </c>
      <c r="G126" s="252" t="s">
        <v>4</v>
      </c>
      <c r="H126" s="252" t="s">
        <v>5</v>
      </c>
    </row>
    <row r="127" spans="2:8" ht="17.25" customHeight="1" x14ac:dyDescent="0.25">
      <c r="B127" s="254"/>
      <c r="C127" s="255"/>
      <c r="D127" s="254"/>
      <c r="E127" s="255"/>
      <c r="F127" s="241"/>
      <c r="G127" s="252"/>
      <c r="H127" s="252"/>
    </row>
    <row r="128" spans="2:8" x14ac:dyDescent="0.25">
      <c r="B128" s="21">
        <f>+B130-2</f>
        <v>1897</v>
      </c>
      <c r="C128" s="19"/>
      <c r="D128" s="19"/>
      <c r="E128" s="19"/>
      <c r="F128" s="36" t="str">
        <f>+IFERROR(G128*H128/1000,"-")</f>
        <v>-</v>
      </c>
      <c r="G128" s="20" t="str">
        <f>+IFERROR(D128*1000000/C128,"-")</f>
        <v>-</v>
      </c>
      <c r="H128" s="20" t="str">
        <f>+IFERROR(E128*1000000/C128,"-")</f>
        <v>-</v>
      </c>
    </row>
    <row r="129" spans="2:8" x14ac:dyDescent="0.25">
      <c r="B129" s="21">
        <f>+B130-1</f>
        <v>1898</v>
      </c>
      <c r="C129" s="19"/>
      <c r="D129" s="19"/>
      <c r="E129" s="19"/>
      <c r="F129" s="36" t="str">
        <f>+IFERROR(G129*H129/1000,"-")</f>
        <v>-</v>
      </c>
      <c r="G129" s="20" t="str">
        <f>+IFERROR(D129*1000000/C129,"-")</f>
        <v>-</v>
      </c>
      <c r="H129" s="20" t="str">
        <f>+IFERROR(E129*1000000/C129,"-")</f>
        <v>-</v>
      </c>
    </row>
    <row r="130" spans="2:8" x14ac:dyDescent="0.25">
      <c r="B130" s="21">
        <f>YEAR(C11)-1</f>
        <v>1899</v>
      </c>
      <c r="C130" s="19"/>
      <c r="D130" s="19"/>
      <c r="E130" s="19"/>
      <c r="F130" s="36" t="str">
        <f>+IFERROR(G130*H130/1000,"-")</f>
        <v>-</v>
      </c>
      <c r="G130" s="20" t="str">
        <f>+IFERROR(D130*1000000/C130,"-")</f>
        <v>-</v>
      </c>
      <c r="H130" s="20" t="str">
        <f>+IFERROR(E130*1000000/C130,"-")</f>
        <v>-</v>
      </c>
    </row>
    <row r="131" spans="2:8" x14ac:dyDescent="0.25">
      <c r="B131" s="7"/>
      <c r="C131" s="7"/>
      <c r="D131" s="7"/>
      <c r="E131" s="7"/>
      <c r="F131" s="7"/>
    </row>
    <row r="132" spans="2:8" x14ac:dyDescent="0.25">
      <c r="B132" s="8" t="s">
        <v>278</v>
      </c>
      <c r="C132" s="7"/>
      <c r="D132" s="7"/>
      <c r="E132" s="7"/>
      <c r="F132" s="7"/>
    </row>
    <row r="133" spans="2:8" x14ac:dyDescent="0.25">
      <c r="B133" s="45"/>
      <c r="C133" s="45" t="s">
        <v>22</v>
      </c>
      <c r="D133" s="7"/>
      <c r="E133" s="10"/>
      <c r="F133" s="9"/>
      <c r="G133" s="3"/>
    </row>
    <row r="134" spans="2:8" x14ac:dyDescent="0.25">
      <c r="B134" s="13" t="s">
        <v>8</v>
      </c>
      <c r="C134" s="17"/>
      <c r="D134" s="7"/>
      <c r="E134" s="22"/>
      <c r="F134" s="9"/>
      <c r="G134" s="3"/>
    </row>
    <row r="135" spans="2:8" x14ac:dyDescent="0.25">
      <c r="B135" s="13" t="s">
        <v>9</v>
      </c>
      <c r="C135" s="17"/>
      <c r="D135" s="7"/>
      <c r="E135" s="22"/>
      <c r="F135" s="9"/>
      <c r="G135" s="3"/>
    </row>
    <row r="136" spans="2:8" ht="35.25" customHeight="1" x14ac:dyDescent="0.25">
      <c r="B136" s="57" t="s">
        <v>261</v>
      </c>
      <c r="C136" s="17"/>
      <c r="D136" s="7"/>
      <c r="E136" s="22"/>
      <c r="F136" s="9"/>
      <c r="G136" s="3"/>
    </row>
    <row r="137" spans="2:8" x14ac:dyDescent="0.25">
      <c r="B137" s="13" t="s">
        <v>262</v>
      </c>
      <c r="C137" s="17"/>
      <c r="D137" s="7"/>
      <c r="E137" s="22"/>
      <c r="F137" s="9"/>
      <c r="G137" s="3"/>
    </row>
    <row r="138" spans="2:8" x14ac:dyDescent="0.25">
      <c r="D138" s="8" t="s">
        <v>153</v>
      </c>
    </row>
    <row r="139" spans="2:8" x14ac:dyDescent="0.25">
      <c r="B139" s="47" t="s">
        <v>126</v>
      </c>
      <c r="C139" s="17"/>
      <c r="D139" s="240"/>
      <c r="E139" s="240"/>
      <c r="F139" s="240"/>
    </row>
    <row r="140" spans="2:8" x14ac:dyDescent="0.25">
      <c r="B140" s="47" t="s">
        <v>127</v>
      </c>
      <c r="C140" s="17"/>
      <c r="D140" s="240"/>
      <c r="E140" s="240"/>
      <c r="F140" s="240"/>
    </row>
    <row r="141" spans="2:8" x14ac:dyDescent="0.25">
      <c r="B141" s="47" t="s">
        <v>144</v>
      </c>
      <c r="C141" s="17"/>
      <c r="D141" s="240"/>
      <c r="E141" s="240"/>
      <c r="F141" s="240"/>
    </row>
    <row r="142" spans="2:8" x14ac:dyDescent="0.25">
      <c r="B142" s="7"/>
      <c r="C142" s="7"/>
      <c r="D142" s="7"/>
      <c r="E142" s="6"/>
      <c r="F142" s="6"/>
    </row>
    <row r="143" spans="2:8" ht="16.5" customHeight="1" x14ac:dyDescent="0.25">
      <c r="B143" s="32" t="s">
        <v>152</v>
      </c>
      <c r="C143" s="32"/>
      <c r="D143" s="32"/>
      <c r="E143" s="32"/>
      <c r="F143" s="32"/>
    </row>
    <row r="145" spans="2:7" x14ac:dyDescent="0.25">
      <c r="B145" s="8" t="s">
        <v>279</v>
      </c>
      <c r="C145" s="7"/>
    </row>
    <row r="146" spans="2:7" x14ac:dyDescent="0.25">
      <c r="B146" s="45"/>
      <c r="C146" s="45" t="s">
        <v>22</v>
      </c>
    </row>
    <row r="147" spans="2:7" x14ac:dyDescent="0.25">
      <c r="B147" s="13" t="s">
        <v>21</v>
      </c>
      <c r="C147" s="17"/>
      <c r="D147" s="7"/>
      <c r="E147" s="6"/>
      <c r="F147" s="6"/>
    </row>
    <row r="149" spans="2:7" x14ac:dyDescent="0.25">
      <c r="D149" s="8" t="s">
        <v>153</v>
      </c>
    </row>
    <row r="150" spans="2:7" ht="15.75" customHeight="1" x14ac:dyDescent="0.25">
      <c r="B150" s="47" t="s">
        <v>146</v>
      </c>
      <c r="C150" s="17"/>
      <c r="D150" s="240"/>
      <c r="E150" s="240"/>
      <c r="F150" s="240"/>
    </row>
    <row r="151" spans="2:7" x14ac:dyDescent="0.25">
      <c r="B151" s="7"/>
      <c r="C151" s="7"/>
      <c r="D151" s="7"/>
      <c r="E151" s="6"/>
      <c r="F151" s="6"/>
    </row>
    <row r="154" spans="2:7" x14ac:dyDescent="0.25">
      <c r="D154" s="7"/>
      <c r="E154" s="22"/>
      <c r="F154" s="9"/>
      <c r="G154" s="3"/>
    </row>
    <row r="155" spans="2:7" x14ac:dyDescent="0.25">
      <c r="D155" s="7"/>
      <c r="E155" s="10"/>
      <c r="F155" s="9"/>
      <c r="G155" s="3"/>
    </row>
    <row r="156" spans="2:7" x14ac:dyDescent="0.25">
      <c r="D156" s="7"/>
      <c r="E156" s="10"/>
      <c r="F156" s="9"/>
      <c r="G156" s="3"/>
    </row>
    <row r="157" spans="2:7" x14ac:dyDescent="0.25">
      <c r="D157" s="7"/>
      <c r="E157" s="10"/>
      <c r="F157" s="9"/>
      <c r="G157" s="3"/>
    </row>
    <row r="158" spans="2:7" x14ac:dyDescent="0.25">
      <c r="D158" s="7"/>
      <c r="E158" s="10"/>
      <c r="F158" s="9"/>
      <c r="G158" s="3"/>
    </row>
    <row r="159" spans="2:7" x14ac:dyDescent="0.25">
      <c r="D159" s="7"/>
      <c r="E159" s="10"/>
      <c r="F159" s="9"/>
      <c r="G159" s="3"/>
    </row>
    <row r="160" spans="2:7" x14ac:dyDescent="0.25">
      <c r="B160" s="7"/>
      <c r="C160" s="7"/>
      <c r="D160" s="7"/>
      <c r="E160" s="7"/>
      <c r="F160" s="7"/>
    </row>
    <row r="161" spans="2:6" x14ac:dyDescent="0.25">
      <c r="B161" s="9"/>
      <c r="C161" s="23"/>
      <c r="D161" s="23"/>
      <c r="E161" s="23"/>
      <c r="F161" s="23"/>
    </row>
  </sheetData>
  <sheetProtection algorithmName="SHA-512" hashValue="jbGXJPhjKWw4jKtxYfG+8zAy6J063cammsFCfTU+Bp2URbeeDa4amV9A6ltIwkcj3JBL8twSMiSeD52wZKHJIw==" saltValue="PCquCVWHLa3gMCl2v+vMSA==" spinCount="100000" sheet="1" selectLockedCells="1"/>
  <mergeCells count="35">
    <mergeCell ref="B23:F23"/>
    <mergeCell ref="H126:H127"/>
    <mergeCell ref="E100:F100"/>
    <mergeCell ref="E97:F97"/>
    <mergeCell ref="B126:B127"/>
    <mergeCell ref="C126:C127"/>
    <mergeCell ref="D126:D127"/>
    <mergeCell ref="E126:E127"/>
    <mergeCell ref="G126:G127"/>
    <mergeCell ref="D21:F21"/>
    <mergeCell ref="B2:B3"/>
    <mergeCell ref="C5:D5"/>
    <mergeCell ref="C6:D6"/>
    <mergeCell ref="C7:D7"/>
    <mergeCell ref="C9:D9"/>
    <mergeCell ref="C11:D11"/>
    <mergeCell ref="C8:D8"/>
    <mergeCell ref="C10:D10"/>
    <mergeCell ref="C2:E2"/>
    <mergeCell ref="C3:E3"/>
    <mergeCell ref="C30:D30"/>
    <mergeCell ref="D150:F150"/>
    <mergeCell ref="D139:F139"/>
    <mergeCell ref="D140:F140"/>
    <mergeCell ref="D141:F141"/>
    <mergeCell ref="D65:F65"/>
    <mergeCell ref="D66:F66"/>
    <mergeCell ref="D67:F67"/>
    <mergeCell ref="D68:F68"/>
    <mergeCell ref="D70:F70"/>
    <mergeCell ref="D71:F71"/>
    <mergeCell ref="D72:F72"/>
    <mergeCell ref="D73:F73"/>
    <mergeCell ref="D74:F74"/>
    <mergeCell ref="F126:F127"/>
  </mergeCells>
  <dataValidations count="3">
    <dataValidation type="list" allowBlank="1" showInputMessage="1" showErrorMessage="1" sqref="C19:C20">
      <formula1>$B$6:$B$8</formula1>
    </dataValidation>
    <dataValidation type="list" allowBlank="1" showInputMessage="1" showErrorMessage="1" sqref="C120">
      <formula1>$B$39:$B$40</formula1>
    </dataValidation>
    <dataValidation type="decimal" operator="greaterThanOrEqual" allowBlank="1" showInputMessage="1" showErrorMessage="1" sqref="C93">
      <formula1>0</formula1>
    </dataValidation>
  </dataValidations>
  <pageMargins left="0.70866141732283472" right="0.70866141732283472" top="0.74803149606299213" bottom="0.74803149606299213" header="0.31496062992125984" footer="0.31496062992125984"/>
  <pageSetup paperSize="9" scale="46" fitToHeight="0" orientation="landscape" r:id="rId1"/>
  <rowBreaks count="2" manualBreakCount="2">
    <brk id="75" max="6" man="1"/>
    <brk id="120" max="6" man="1"/>
  </rowBreaks>
  <drawing r:id="rId2"/>
  <extLst>
    <ext xmlns:x14="http://schemas.microsoft.com/office/spreadsheetml/2009/9/main" uri="{CCE6A557-97BC-4b89-ADB6-D9C93CAAB3DF}">
      <x14:dataValidations xmlns:xm="http://schemas.microsoft.com/office/excel/2006/main" count="13">
        <x14:dataValidation type="list" allowBlank="1" showInputMessage="1" showErrorMessage="1">
          <x14:formula1>
            <xm:f>Datos!$B$3:$B$4</xm:f>
          </x14:formula1>
          <xm:sqref>C17</xm:sqref>
        </x14:dataValidation>
        <x14:dataValidation type="list" allowBlank="1" showInputMessage="1" showErrorMessage="1">
          <x14:formula1>
            <xm:f>Datos!$B$7:$B$9</xm:f>
          </x14:formula1>
          <xm:sqref>C79:C80 C18</xm:sqref>
        </x14:dataValidation>
        <x14:dataValidation type="list" allowBlank="1" showInputMessage="1" showErrorMessage="1">
          <x14:formula1>
            <xm:f>Datos!$B$12:$B$13</xm:f>
          </x14:formula1>
          <xm:sqref>C70</xm:sqref>
        </x14:dataValidation>
        <x14:dataValidation type="list" allowBlank="1" showInputMessage="1" showErrorMessage="1">
          <x14:formula1>
            <xm:f>Datos!$B$16:$B$17</xm:f>
          </x14:formula1>
          <xm:sqref>C71</xm:sqref>
        </x14:dataValidation>
        <x14:dataValidation type="list" allowBlank="1" showInputMessage="1" showErrorMessage="1">
          <x14:formula1>
            <xm:f>Datos!$B$20:$B$23</xm:f>
          </x14:formula1>
          <xm:sqref>C72:C73</xm:sqref>
        </x14:dataValidation>
        <x14:dataValidation type="list" allowBlank="1" showInputMessage="1" showErrorMessage="1">
          <x14:formula1>
            <xm:f>Datos!$B$27:$B$30</xm:f>
          </x14:formula1>
          <xm:sqref>C99</xm:sqref>
        </x14:dataValidation>
        <x14:dataValidation type="list" allowBlank="1" showInputMessage="1" showErrorMessage="1">
          <x14:formula1>
            <xm:f>Datos!$B$33:$B$34</xm:f>
          </x14:formula1>
          <xm:sqref>C65:C68 C112 C114 C116:C119 C134:C135 C137 C139:C141 C147 C150 C21</xm:sqref>
        </x14:dataValidation>
        <x14:dataValidation type="list" allowBlank="1" showInputMessage="1" showErrorMessage="1">
          <x14:formula1>
            <xm:f>Datos!$B$33:$B$35</xm:f>
          </x14:formula1>
          <xm:sqref>C57:C60</xm:sqref>
        </x14:dataValidation>
        <x14:dataValidation type="list" allowBlank="1" showInputMessage="1" showErrorMessage="1">
          <x14:formula1>
            <xm:f>Datos!$B$38:$B$41</xm:f>
          </x14:formula1>
          <xm:sqref>C124</xm:sqref>
        </x14:dataValidation>
        <x14:dataValidation type="list" allowBlank="1" showInputMessage="1" showErrorMessage="1">
          <x14:formula1>
            <xm:f>Datos!$B$44:$B$49</xm:f>
          </x14:formula1>
          <xm:sqref>C115</xm:sqref>
        </x14:dataValidation>
        <x14:dataValidation type="list" allowBlank="1" showInputMessage="1" showErrorMessage="1">
          <x14:formula1>
            <xm:f>Datos!$B$53:$B$64</xm:f>
          </x14:formula1>
          <xm:sqref>C9:D9</xm:sqref>
        </x14:dataValidation>
        <x14:dataValidation type="list" allowBlank="1" showInputMessage="1" showErrorMessage="1">
          <x14:formula1>
            <xm:f>Datos!$B$67:$B$69</xm:f>
          </x14:formula1>
          <xm:sqref>C92</xm:sqref>
        </x14:dataValidation>
        <x14:dataValidation type="list" allowBlank="1" showInputMessage="1" showErrorMessage="1">
          <x14:formula1>
            <xm:f>Datos!$B$72:$B$74</xm:f>
          </x14:formula1>
          <xm:sqref>C113 C136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240"/>
  <sheetViews>
    <sheetView zoomScale="80" zoomScaleNormal="80" zoomScaleSheetLayoutView="55" workbookViewId="0">
      <selection activeCell="G13" sqref="G13:H13"/>
    </sheetView>
  </sheetViews>
  <sheetFormatPr baseColWidth="10" defaultRowHeight="12.75" outlineLevelCol="1" x14ac:dyDescent="0.2"/>
  <cols>
    <col min="1" max="1" width="3.140625" style="62" customWidth="1"/>
    <col min="2" max="3" width="13.85546875" style="62" customWidth="1"/>
    <col min="4" max="4" width="69.42578125" style="62" customWidth="1"/>
    <col min="5" max="5" width="5.85546875" style="62" customWidth="1"/>
    <col min="6" max="6" width="20.140625" style="62" customWidth="1"/>
    <col min="7" max="7" width="19.140625" style="62" customWidth="1"/>
    <col min="8" max="8" width="33.5703125" style="62" customWidth="1"/>
    <col min="9" max="10" width="6.28515625" style="62" customWidth="1"/>
    <col min="11" max="15" width="15.140625" style="81" hidden="1" customWidth="1" outlineLevel="1"/>
    <col min="16" max="17" width="11.42578125" style="62" hidden="1" customWidth="1" outlineLevel="1"/>
    <col min="18" max="18" width="11.42578125" style="62" collapsed="1"/>
    <col min="19" max="16384" width="11.42578125" style="62"/>
  </cols>
  <sheetData>
    <row r="1" spans="1:8" x14ac:dyDescent="0.2">
      <c r="A1" s="80"/>
      <c r="B1" s="239" t="s">
        <v>266</v>
      </c>
      <c r="C1" s="80"/>
      <c r="D1" s="80"/>
      <c r="E1" s="80"/>
      <c r="F1" s="80"/>
      <c r="G1" s="80"/>
      <c r="H1" s="80"/>
    </row>
    <row r="2" spans="1:8" ht="25.5" customHeight="1" x14ac:dyDescent="0.2">
      <c r="A2" s="80"/>
      <c r="B2" s="272"/>
      <c r="C2" s="272"/>
      <c r="D2" s="256" t="s">
        <v>282</v>
      </c>
      <c r="E2" s="257"/>
      <c r="F2" s="257"/>
      <c r="G2" s="258"/>
      <c r="H2" s="82" t="s">
        <v>284</v>
      </c>
    </row>
    <row r="3" spans="1:8" ht="25.5" customHeight="1" x14ac:dyDescent="0.2">
      <c r="A3" s="80"/>
      <c r="B3" s="272"/>
      <c r="C3" s="272"/>
      <c r="D3" s="256" t="s">
        <v>285</v>
      </c>
      <c r="E3" s="257"/>
      <c r="F3" s="257"/>
      <c r="G3" s="258"/>
      <c r="H3" s="82" t="s">
        <v>281</v>
      </c>
    </row>
    <row r="4" spans="1:8" x14ac:dyDescent="0.2">
      <c r="A4" s="80"/>
      <c r="B4" s="83"/>
      <c r="C4" s="83"/>
      <c r="D4" s="83"/>
      <c r="E4" s="83"/>
      <c r="F4" s="83"/>
      <c r="G4" s="83"/>
      <c r="H4" s="83"/>
    </row>
    <row r="5" spans="1:8" x14ac:dyDescent="0.2">
      <c r="A5" s="80"/>
      <c r="B5" s="273" t="s">
        <v>10</v>
      </c>
      <c r="C5" s="273"/>
      <c r="D5" s="84">
        <f>+'COG-F-013'!C5</f>
        <v>0</v>
      </c>
      <c r="E5" s="84"/>
      <c r="F5" s="80"/>
      <c r="G5" s="80"/>
      <c r="H5" s="80"/>
    </row>
    <row r="6" spans="1:8" x14ac:dyDescent="0.2">
      <c r="A6" s="80"/>
      <c r="B6" s="85" t="s">
        <v>11</v>
      </c>
      <c r="C6" s="84"/>
      <c r="D6" s="84">
        <f>+'COG-F-013'!C6</f>
        <v>0</v>
      </c>
      <c r="E6" s="84"/>
      <c r="F6" s="80"/>
      <c r="G6" s="80"/>
      <c r="H6" s="80"/>
    </row>
    <row r="7" spans="1:8" x14ac:dyDescent="0.2">
      <c r="A7" s="80"/>
      <c r="B7" s="85" t="s">
        <v>12</v>
      </c>
      <c r="C7" s="84"/>
      <c r="D7" s="84">
        <f>+'COG-F-013'!C7</f>
        <v>0</v>
      </c>
      <c r="E7" s="84"/>
      <c r="F7" s="80"/>
      <c r="G7" s="80"/>
      <c r="H7" s="80"/>
    </row>
    <row r="8" spans="1:8" x14ac:dyDescent="0.2">
      <c r="A8" s="80"/>
      <c r="B8" s="85" t="s">
        <v>43</v>
      </c>
      <c r="C8" s="84"/>
      <c r="D8" s="84">
        <f>+'COG-F-013'!C9</f>
        <v>0</v>
      </c>
      <c r="E8" s="84"/>
      <c r="F8" s="80"/>
      <c r="G8" s="80"/>
      <c r="H8" s="80"/>
    </row>
    <row r="9" spans="1:8" x14ac:dyDescent="0.2">
      <c r="A9" s="80"/>
      <c r="B9" s="86" t="s">
        <v>209</v>
      </c>
      <c r="C9" s="80"/>
      <c r="D9" s="84">
        <f>+'COG-F-013'!C10</f>
        <v>0</v>
      </c>
      <c r="E9" s="84"/>
      <c r="F9" s="80"/>
      <c r="G9" s="80"/>
      <c r="H9" s="80"/>
    </row>
    <row r="10" spans="1:8" ht="13.5" thickBot="1" x14ac:dyDescent="0.25">
      <c r="A10" s="80"/>
      <c r="B10" s="80"/>
      <c r="C10" s="80"/>
      <c r="D10" s="80"/>
      <c r="E10" s="80"/>
      <c r="F10" s="80"/>
      <c r="G10" s="80"/>
      <c r="H10" s="80"/>
    </row>
    <row r="11" spans="1:8" ht="25.5" customHeight="1" thickBot="1" x14ac:dyDescent="0.25">
      <c r="B11" s="286" t="s">
        <v>194</v>
      </c>
      <c r="C11" s="287"/>
      <c r="D11" s="287"/>
      <c r="E11" s="287"/>
      <c r="F11" s="287"/>
      <c r="G11" s="287"/>
      <c r="H11" s="288"/>
    </row>
    <row r="12" spans="1:8" ht="13.5" thickBot="1" x14ac:dyDescent="0.25"/>
    <row r="13" spans="1:8" x14ac:dyDescent="0.2">
      <c r="B13" s="291" t="s">
        <v>114</v>
      </c>
      <c r="C13" s="292"/>
      <c r="D13" s="292"/>
      <c r="E13" s="292"/>
      <c r="F13" s="292"/>
      <c r="G13" s="293" t="e">
        <f>G24</f>
        <v>#N/A</v>
      </c>
      <c r="H13" s="294"/>
    </row>
    <row r="14" spans="1:8" ht="13.5" thickBot="1" x14ac:dyDescent="0.25">
      <c r="B14" s="295" t="s">
        <v>115</v>
      </c>
      <c r="C14" s="296"/>
      <c r="D14" s="296"/>
      <c r="E14" s="296"/>
      <c r="F14" s="296"/>
      <c r="G14" s="297" t="e">
        <f>IF(H24&lt;G29,B29,IF(H24&lt;G31,B30,IF(H24&lt;G32,B31,IF(H24&lt;G33,B32,B33))))</f>
        <v>#N/A</v>
      </c>
      <c r="H14" s="298"/>
    </row>
    <row r="16" spans="1:8" ht="15" customHeight="1" x14ac:dyDescent="0.2">
      <c r="B16" s="290" t="s">
        <v>201</v>
      </c>
      <c r="C16" s="290"/>
      <c r="D16" s="290"/>
      <c r="E16" s="87" t="s">
        <v>211</v>
      </c>
      <c r="F16" s="88" t="s">
        <v>199</v>
      </c>
      <c r="G16" s="88" t="s">
        <v>200</v>
      </c>
      <c r="H16" s="88" t="s">
        <v>213</v>
      </c>
    </row>
    <row r="17" spans="2:8" x14ac:dyDescent="0.2">
      <c r="B17" s="69" t="s">
        <v>135</v>
      </c>
      <c r="C17" s="289" t="str">
        <f>+C37</f>
        <v>COMERCIAL</v>
      </c>
      <c r="D17" s="289"/>
      <c r="E17" s="89" t="e">
        <f>VLOOKUP(C17,Puntajes!$B$7:$N$63,HLOOKUP($D$8,Puntajes!$C$7:$N$8,2,0),0)</f>
        <v>#N/A</v>
      </c>
      <c r="F17" s="90" t="e">
        <f>+F37</f>
        <v>#N/A</v>
      </c>
      <c r="G17" s="91">
        <f>+IFERROR(H37,0)</f>
        <v>0</v>
      </c>
      <c r="H17" s="71">
        <f>+IFERROR(G17/F17,0)</f>
        <v>0</v>
      </c>
    </row>
    <row r="18" spans="2:8" x14ac:dyDescent="0.2">
      <c r="B18" s="69" t="s">
        <v>136</v>
      </c>
      <c r="C18" s="289" t="str">
        <f>+C53</f>
        <v>INFORMACIÓN FINANCIERA Y OBLIGACIONES LEGALES</v>
      </c>
      <c r="D18" s="289"/>
      <c r="E18" s="89" t="e">
        <f>VLOOKUP(C18,Puntajes!$B$7:$N$63,HLOOKUP($D$8,Puntajes!$C$7:$N$8,2,0),0)</f>
        <v>#N/A</v>
      </c>
      <c r="F18" s="90" t="e">
        <f>+F53</f>
        <v>#N/A</v>
      </c>
      <c r="G18" s="91">
        <f>+IFERROR(H53,0)</f>
        <v>0</v>
      </c>
      <c r="H18" s="71">
        <f>+IFERROR(G18/F18,0)</f>
        <v>0</v>
      </c>
    </row>
    <row r="19" spans="2:8" ht="12.75" customHeight="1" x14ac:dyDescent="0.2">
      <c r="B19" s="69" t="s">
        <v>141</v>
      </c>
      <c r="C19" s="289" t="str">
        <f>+C128</f>
        <v>CAPACIDAD OPERATIVA</v>
      </c>
      <c r="D19" s="289"/>
      <c r="E19" s="89" t="e">
        <f>VLOOKUP(C19,Puntajes!$B$7:$N$63,HLOOKUP($D$8,Puntajes!$C$7:$N$8,2,0),0)</f>
        <v>#N/A</v>
      </c>
      <c r="F19" s="90" t="e">
        <f>+F128</f>
        <v>#N/A</v>
      </c>
      <c r="G19" s="91">
        <f>+IFERROR(H128,0)</f>
        <v>0</v>
      </c>
      <c r="H19" s="71">
        <f>+IFERROR(G19/F19,0)</f>
        <v>0</v>
      </c>
    </row>
    <row r="20" spans="2:8" ht="12.75" customHeight="1" x14ac:dyDescent="0.2">
      <c r="B20" s="69" t="s">
        <v>142</v>
      </c>
      <c r="C20" s="289" t="str">
        <f>+C158</f>
        <v>GESTIÓN DE LA CALIDAD</v>
      </c>
      <c r="D20" s="289"/>
      <c r="E20" s="89" t="e">
        <f>VLOOKUP(C20,Puntajes!$B$7:$N$63,HLOOKUP($D$8,Puntajes!$C$7:$N$8,2,0),0)</f>
        <v>#N/A</v>
      </c>
      <c r="F20" s="90" t="e">
        <f>+F158</f>
        <v>#N/A</v>
      </c>
      <c r="G20" s="91">
        <f>+IFERROR(H158,0)</f>
        <v>0</v>
      </c>
      <c r="H20" s="71">
        <f>+IFERROR(G20/F20,0)</f>
        <v>0</v>
      </c>
    </row>
    <row r="21" spans="2:8" ht="12.75" customHeight="1" x14ac:dyDescent="0.2">
      <c r="B21" s="69" t="s">
        <v>198</v>
      </c>
      <c r="C21" s="289" t="str">
        <f>+C191</f>
        <v>SUSTENTABILIDAD</v>
      </c>
      <c r="D21" s="289"/>
      <c r="E21" s="89" t="e">
        <f>VLOOKUP(C21,Puntajes!$B$7:$N$63,HLOOKUP($D$8,Puntajes!$C$7:$N$8,2,0),0)</f>
        <v>#N/A</v>
      </c>
      <c r="F21" s="90" t="e">
        <f>+F191</f>
        <v>#N/A</v>
      </c>
      <c r="G21" s="91">
        <f>+IFERROR(H191,0)</f>
        <v>0</v>
      </c>
      <c r="H21" s="71">
        <f>+IFERROR(G21/F21,0)</f>
        <v>0</v>
      </c>
    </row>
    <row r="22" spans="2:8" x14ac:dyDescent="0.2">
      <c r="B22" s="69" t="s">
        <v>197</v>
      </c>
      <c r="C22" s="289" t="str">
        <f>+C219</f>
        <v>BASC</v>
      </c>
      <c r="D22" s="289"/>
      <c r="E22" s="89" t="e">
        <f>VLOOKUP(C22,Puntajes!$B$7:$N$63,HLOOKUP($D$8,Puntajes!$C$7:$N$8,2,0),0)</f>
        <v>#N/A</v>
      </c>
      <c r="F22" s="90" t="e">
        <f>+F219</f>
        <v>#N/A</v>
      </c>
      <c r="G22" s="91">
        <f>+IFERROR(H219,0)</f>
        <v>0</v>
      </c>
      <c r="H22" s="71">
        <f>+IFERROR(G22/F22,0)</f>
        <v>0</v>
      </c>
    </row>
    <row r="23" spans="2:8" x14ac:dyDescent="0.2">
      <c r="B23" s="92"/>
      <c r="C23" s="93"/>
      <c r="D23" s="93"/>
      <c r="E23" s="94"/>
      <c r="F23" s="95"/>
      <c r="G23" s="95"/>
      <c r="H23" s="83"/>
    </row>
    <row r="24" spans="2:8" x14ac:dyDescent="0.2">
      <c r="B24" s="92"/>
      <c r="C24" s="93"/>
      <c r="D24" s="93"/>
      <c r="E24" s="96"/>
      <c r="F24" s="90" t="e">
        <f>+SUMPRODUCT(E17:E22,F17:F22)</f>
        <v>#N/A</v>
      </c>
      <c r="G24" s="91" t="e">
        <f>+IF(G43=D45,0,SUMPRODUCT(E17:E22,G17:G22))</f>
        <v>#N/A</v>
      </c>
      <c r="H24" s="71" t="e">
        <f>+IF(G43=D45,0,SUMPRODUCT(E17:E22,H17:H22))</f>
        <v>#N/A</v>
      </c>
    </row>
    <row r="25" spans="2:8" ht="13.5" thickBot="1" x14ac:dyDescent="0.25"/>
    <row r="26" spans="2:8" ht="24.75" customHeight="1" thickBot="1" x14ac:dyDescent="0.25">
      <c r="B26" s="286" t="s">
        <v>195</v>
      </c>
      <c r="C26" s="287"/>
      <c r="D26" s="287"/>
      <c r="E26" s="287"/>
      <c r="F26" s="287"/>
      <c r="G26" s="287"/>
      <c r="H26" s="288"/>
    </row>
    <row r="28" spans="2:8" x14ac:dyDescent="0.2">
      <c r="B28" s="274" t="s">
        <v>214</v>
      </c>
      <c r="C28" s="275"/>
      <c r="D28" s="275"/>
      <c r="E28" s="275"/>
      <c r="F28" s="276"/>
      <c r="G28" s="276"/>
      <c r="H28" s="277"/>
    </row>
    <row r="29" spans="2:8" x14ac:dyDescent="0.2">
      <c r="B29" s="278" t="s">
        <v>90</v>
      </c>
      <c r="C29" s="279"/>
      <c r="D29" s="279"/>
      <c r="E29" s="97"/>
      <c r="F29" s="98" t="s">
        <v>92</v>
      </c>
      <c r="G29" s="99">
        <v>0.5</v>
      </c>
      <c r="H29" s="100"/>
    </row>
    <row r="30" spans="2:8" x14ac:dyDescent="0.2">
      <c r="B30" s="278" t="s">
        <v>91</v>
      </c>
      <c r="C30" s="279"/>
      <c r="D30" s="279"/>
      <c r="E30" s="97"/>
      <c r="F30" s="98" t="s">
        <v>96</v>
      </c>
      <c r="G30" s="99">
        <v>0.5</v>
      </c>
      <c r="H30" s="100"/>
    </row>
    <row r="31" spans="2:8" x14ac:dyDescent="0.2">
      <c r="B31" s="278" t="s">
        <v>93</v>
      </c>
      <c r="C31" s="279"/>
      <c r="D31" s="279"/>
      <c r="E31" s="97"/>
      <c r="F31" s="98" t="s">
        <v>96</v>
      </c>
      <c r="G31" s="99">
        <v>0.65</v>
      </c>
      <c r="H31" s="100"/>
    </row>
    <row r="32" spans="2:8" x14ac:dyDescent="0.2">
      <c r="B32" s="278" t="s">
        <v>94</v>
      </c>
      <c r="C32" s="279"/>
      <c r="D32" s="279"/>
      <c r="E32" s="97"/>
      <c r="F32" s="98" t="s">
        <v>96</v>
      </c>
      <c r="G32" s="99">
        <v>0.8</v>
      </c>
      <c r="H32" s="100"/>
    </row>
    <row r="33" spans="2:16" x14ac:dyDescent="0.2">
      <c r="B33" s="278" t="s">
        <v>95</v>
      </c>
      <c r="C33" s="279"/>
      <c r="D33" s="279"/>
      <c r="E33" s="97"/>
      <c r="F33" s="98" t="s">
        <v>96</v>
      </c>
      <c r="G33" s="99">
        <v>0.95</v>
      </c>
      <c r="H33" s="100"/>
    </row>
    <row r="34" spans="2:16" ht="13.5" thickBot="1" x14ac:dyDescent="0.25"/>
    <row r="35" spans="2:16" x14ac:dyDescent="0.2">
      <c r="B35" s="280" t="s">
        <v>97</v>
      </c>
      <c r="C35" s="282" t="s">
        <v>98</v>
      </c>
      <c r="D35" s="282"/>
      <c r="E35" s="311" t="s">
        <v>211</v>
      </c>
      <c r="F35" s="311" t="s">
        <v>99</v>
      </c>
      <c r="G35" s="284" t="s">
        <v>100</v>
      </c>
      <c r="H35" s="285"/>
    </row>
    <row r="36" spans="2:16" ht="13.5" thickBot="1" x14ac:dyDescent="0.25">
      <c r="B36" s="281"/>
      <c r="C36" s="283"/>
      <c r="D36" s="283"/>
      <c r="E36" s="312"/>
      <c r="F36" s="312"/>
      <c r="G36" s="101" t="s">
        <v>101</v>
      </c>
      <c r="H36" s="102" t="s">
        <v>196</v>
      </c>
    </row>
    <row r="37" spans="2:16" ht="16.5" customHeight="1" thickBot="1" x14ac:dyDescent="0.25">
      <c r="B37" s="103" t="s">
        <v>135</v>
      </c>
      <c r="C37" s="271" t="s">
        <v>129</v>
      </c>
      <c r="D37" s="271"/>
      <c r="E37" s="104"/>
      <c r="F37" s="104" t="e">
        <f>+E38*F42+E50*F51</f>
        <v>#N/A</v>
      </c>
      <c r="G37" s="105"/>
      <c r="H37" s="106" t="e">
        <f>+IF(G43=D45,0,SUMPRODUCT(E38:E52,H38:H52))</f>
        <v>#N/A</v>
      </c>
      <c r="K37" s="107" t="s">
        <v>248</v>
      </c>
      <c r="L37" s="69" t="s">
        <v>237</v>
      </c>
      <c r="M37" s="69" t="s">
        <v>246</v>
      </c>
      <c r="N37" s="69" t="s">
        <v>238</v>
      </c>
      <c r="O37" s="69" t="s">
        <v>210</v>
      </c>
    </row>
    <row r="38" spans="2:16" x14ac:dyDescent="0.2">
      <c r="B38" s="305">
        <v>1</v>
      </c>
      <c r="C38" s="306" t="s">
        <v>102</v>
      </c>
      <c r="D38" s="306"/>
      <c r="E38" s="108" t="e">
        <f>VLOOKUP(C38,Puntajes!$B$9:$N$63,HLOOKUP($D$8,Puntajes!$C$7:$N$8,2,0),0)</f>
        <v>#N/A</v>
      </c>
      <c r="F38" s="109"/>
      <c r="G38" s="110">
        <f>YEAR('COG-F-013'!C11)-YEAR('COG-F-013'!C16)</f>
        <v>0</v>
      </c>
      <c r="H38" s="111">
        <f>+IF(G38="","-",IF(G38&lt;$D$39,$F$39,IF(G38&lt;$D$40,$F$40,IF(G38&lt;$D$41,$F$41,$F$42))))</f>
        <v>10</v>
      </c>
    </row>
    <row r="39" spans="2:16" s="80" customFormat="1" x14ac:dyDescent="0.2">
      <c r="B39" s="304"/>
      <c r="C39" s="112" t="s">
        <v>92</v>
      </c>
      <c r="D39" s="113">
        <f>+IF('COG-F-013'!$C$9='COG-F-014'!$K$37,'COG-F-014'!K39,IF('COG-F-013'!$C$9='COG-F-014'!$L$37,'COG-F-014'!L39,IF('COG-F-013'!$C$9='COG-F-014'!$M$37,'COG-F-014'!M39,IF('COG-F-013'!$C$9='COG-F-014'!$N$37,'COG-F-014'!N39,IF('COG-F-013'!$C$9='COG-F-014'!$O$37,'COG-F-014'!O39,'COG-F-014'!P39)))))</f>
        <v>5</v>
      </c>
      <c r="E39" s="114"/>
      <c r="F39" s="115">
        <v>10</v>
      </c>
      <c r="G39" s="92"/>
      <c r="H39" s="116"/>
      <c r="K39" s="117">
        <v>5</v>
      </c>
      <c r="L39" s="117">
        <v>3</v>
      </c>
      <c r="M39" s="117">
        <v>1</v>
      </c>
      <c r="N39" s="117">
        <v>1</v>
      </c>
      <c r="O39" s="117">
        <v>5</v>
      </c>
      <c r="P39" s="80">
        <v>5</v>
      </c>
    </row>
    <row r="40" spans="2:16" s="80" customFormat="1" x14ac:dyDescent="0.2">
      <c r="B40" s="304"/>
      <c r="C40" s="118" t="s">
        <v>92</v>
      </c>
      <c r="D40" s="119">
        <f>+IF('COG-F-013'!$C$9='COG-F-014'!$K$37,'COG-F-014'!K40,IF('COG-F-013'!$C$9='COG-F-014'!$L$37,'COG-F-014'!L40,IF('COG-F-013'!$C$9='COG-F-014'!$M$37,'COG-F-014'!M40,IF('COG-F-013'!$C$9='COG-F-014'!$N$37,'COG-F-014'!N40,IF('COG-F-013'!$C$9='COG-F-014'!$O$37,'COG-F-014'!O40,'COG-F-014'!P40)))))</f>
        <v>10</v>
      </c>
      <c r="E40" s="120"/>
      <c r="F40" s="121">
        <v>30</v>
      </c>
      <c r="G40" s="92"/>
      <c r="H40" s="116"/>
      <c r="K40" s="117">
        <v>10</v>
      </c>
      <c r="L40" s="117">
        <v>5</v>
      </c>
      <c r="M40" s="117">
        <v>3</v>
      </c>
      <c r="N40" s="117">
        <v>3</v>
      </c>
      <c r="O40" s="117">
        <v>10</v>
      </c>
      <c r="P40" s="80">
        <v>10</v>
      </c>
    </row>
    <row r="41" spans="2:16" s="80" customFormat="1" x14ac:dyDescent="0.2">
      <c r="B41" s="304"/>
      <c r="C41" s="118" t="s">
        <v>92</v>
      </c>
      <c r="D41" s="119">
        <f>+IF('COG-F-013'!$C$9='COG-F-014'!$K$37,'COG-F-014'!K41,IF('COG-F-013'!$C$9='COG-F-014'!$L$37,'COG-F-014'!L41,IF('COG-F-013'!$C$9='COG-F-014'!$M$37,'COG-F-014'!M41,IF('COG-F-013'!$C$9='COG-F-014'!$N$37,'COG-F-014'!N41,IF('COG-F-013'!$C$9='COG-F-014'!$O$37,'COG-F-014'!O41,'COG-F-014'!P41)))))</f>
        <v>20</v>
      </c>
      <c r="E41" s="120"/>
      <c r="F41" s="121">
        <v>70</v>
      </c>
      <c r="G41" s="92"/>
      <c r="H41" s="116"/>
      <c r="K41" s="117">
        <v>20</v>
      </c>
      <c r="L41" s="117">
        <v>10</v>
      </c>
      <c r="M41" s="117">
        <v>5</v>
      </c>
      <c r="N41" s="117">
        <v>5</v>
      </c>
      <c r="O41" s="117">
        <v>20</v>
      </c>
      <c r="P41" s="80">
        <v>20</v>
      </c>
    </row>
    <row r="42" spans="2:16" s="80" customFormat="1" x14ac:dyDescent="0.2">
      <c r="B42" s="304"/>
      <c r="C42" s="122" t="s">
        <v>96</v>
      </c>
      <c r="D42" s="123">
        <f>+IF('COG-F-013'!$C$9='COG-F-014'!$K$37,'COG-F-014'!K42,IF('COG-F-013'!$C$9='COG-F-014'!$L$37,'COG-F-014'!L42,IF('COG-F-013'!$C$9='COG-F-014'!$M$37,'COG-F-014'!M42,IF('COG-F-013'!$C$9='COG-F-014'!$N$37,'COG-F-014'!N42,IF('COG-F-013'!$C$9='COG-F-014'!$O$37,'COG-F-014'!O42,'COG-F-014'!P42)))))</f>
        <v>20</v>
      </c>
      <c r="E42" s="120"/>
      <c r="F42" s="121">
        <v>100</v>
      </c>
      <c r="G42" s="92"/>
      <c r="H42" s="116"/>
      <c r="K42" s="117">
        <v>20</v>
      </c>
      <c r="L42" s="117">
        <v>10</v>
      </c>
      <c r="M42" s="117">
        <v>5</v>
      </c>
      <c r="N42" s="117">
        <v>5</v>
      </c>
      <c r="O42" s="117">
        <v>20</v>
      </c>
      <c r="P42" s="80">
        <v>20</v>
      </c>
    </row>
    <row r="43" spans="2:16" x14ac:dyDescent="0.2">
      <c r="B43" s="304">
        <v>2</v>
      </c>
      <c r="C43" s="268" t="s">
        <v>47</v>
      </c>
      <c r="D43" s="269"/>
      <c r="E43" s="124" t="e">
        <f>VLOOKUP(C43,Puntajes!$B$9:$N$63,HLOOKUP($D$8,Puntajes!$C$7:$N$8,2,0),0)</f>
        <v>#N/A</v>
      </c>
      <c r="F43" s="82"/>
      <c r="G43" s="125">
        <f>+'COG-F-013'!C17</f>
        <v>0</v>
      </c>
      <c r="H43" s="126">
        <f>+IF(G43="","-",IF(G43=D44,F44,F45))</f>
        <v>-100</v>
      </c>
      <c r="K43" s="81" t="s">
        <v>239</v>
      </c>
    </row>
    <row r="44" spans="2:16" s="80" customFormat="1" x14ac:dyDescent="0.2">
      <c r="B44" s="304"/>
      <c r="C44" s="127"/>
      <c r="D44" s="113" t="s">
        <v>51</v>
      </c>
      <c r="E44" s="114"/>
      <c r="F44" s="115">
        <v>0</v>
      </c>
      <c r="G44" s="92"/>
      <c r="H44" s="116"/>
      <c r="K44" s="117"/>
      <c r="L44" s="117"/>
      <c r="M44" s="117"/>
      <c r="N44" s="117"/>
      <c r="O44" s="117"/>
    </row>
    <row r="45" spans="2:16" s="80" customFormat="1" x14ac:dyDescent="0.2">
      <c r="B45" s="304"/>
      <c r="C45" s="128"/>
      <c r="D45" s="123" t="s">
        <v>52</v>
      </c>
      <c r="E45" s="129"/>
      <c r="F45" s="130">
        <v>-100</v>
      </c>
      <c r="G45" s="131"/>
      <c r="H45" s="132"/>
      <c r="K45" s="117"/>
      <c r="L45" s="117"/>
      <c r="M45" s="117"/>
      <c r="N45" s="117"/>
      <c r="O45" s="117"/>
    </row>
    <row r="46" spans="2:16" x14ac:dyDescent="0.2">
      <c r="B46" s="304">
        <v>3</v>
      </c>
      <c r="C46" s="307" t="s">
        <v>48</v>
      </c>
      <c r="D46" s="269"/>
      <c r="E46" s="124" t="e">
        <f>VLOOKUP(C46,Puntajes!$B$9:$N$63,HLOOKUP($D$8,Puntajes!$C$7:$N$8,2,0),0)</f>
        <v>#N/A</v>
      </c>
      <c r="F46" s="133"/>
      <c r="G46" s="134">
        <f>+'COG-F-013'!C18</f>
        <v>0</v>
      </c>
      <c r="H46" s="126">
        <f>+IF(G46="","-",IF(G46=D47,F47,IF(G46=D48,F48,F49)))</f>
        <v>-100</v>
      </c>
    </row>
    <row r="47" spans="2:16" s="80" customFormat="1" x14ac:dyDescent="0.2">
      <c r="B47" s="304"/>
      <c r="C47" s="135"/>
      <c r="D47" s="113" t="s">
        <v>53</v>
      </c>
      <c r="E47" s="114"/>
      <c r="F47" s="115">
        <v>0</v>
      </c>
      <c r="G47" s="92"/>
      <c r="H47" s="116"/>
      <c r="K47" s="117"/>
      <c r="L47" s="117"/>
      <c r="M47" s="117"/>
      <c r="N47" s="117"/>
      <c r="O47" s="117"/>
    </row>
    <row r="48" spans="2:16" s="80" customFormat="1" x14ac:dyDescent="0.2">
      <c r="B48" s="304"/>
      <c r="C48" s="92"/>
      <c r="D48" s="119" t="s">
        <v>54</v>
      </c>
      <c r="E48" s="120"/>
      <c r="F48" s="136">
        <v>-50</v>
      </c>
      <c r="G48" s="137"/>
      <c r="H48" s="116"/>
      <c r="K48" s="117"/>
      <c r="L48" s="117"/>
      <c r="M48" s="117"/>
      <c r="N48" s="117"/>
      <c r="O48" s="117"/>
    </row>
    <row r="49" spans="2:15" s="80" customFormat="1" x14ac:dyDescent="0.2">
      <c r="B49" s="304"/>
      <c r="C49" s="92"/>
      <c r="D49" s="119" t="s">
        <v>264</v>
      </c>
      <c r="E49" s="120"/>
      <c r="F49" s="130">
        <v>-100</v>
      </c>
      <c r="G49" s="92"/>
      <c r="H49" s="116"/>
      <c r="K49" s="117"/>
      <c r="L49" s="117"/>
      <c r="M49" s="117"/>
      <c r="N49" s="117"/>
      <c r="O49" s="117"/>
    </row>
    <row r="50" spans="2:15" x14ac:dyDescent="0.2">
      <c r="B50" s="304">
        <v>4</v>
      </c>
      <c r="C50" s="266" t="s">
        <v>156</v>
      </c>
      <c r="D50" s="267"/>
      <c r="E50" s="124" t="e">
        <f>VLOOKUP(C50,Puntajes!$B$9:$N$63,HLOOKUP($D$8,Puntajes!$C$7:$N$8,2,0),0)</f>
        <v>#N/A</v>
      </c>
      <c r="F50" s="82"/>
      <c r="G50" s="125">
        <f>+'COG-F-013'!C21</f>
        <v>0</v>
      </c>
      <c r="H50" s="138">
        <f>+IF(G50="","-",IF(G50=D51,F51,F52))</f>
        <v>0</v>
      </c>
    </row>
    <row r="51" spans="2:15" s="80" customFormat="1" x14ac:dyDescent="0.2">
      <c r="B51" s="304"/>
      <c r="C51" s="127"/>
      <c r="D51" s="113" t="s">
        <v>17</v>
      </c>
      <c r="E51" s="114"/>
      <c r="F51" s="115">
        <v>100</v>
      </c>
      <c r="G51" s="92"/>
      <c r="H51" s="116"/>
      <c r="K51" s="117"/>
      <c r="L51" s="117"/>
      <c r="M51" s="117"/>
      <c r="N51" s="117"/>
      <c r="O51" s="117"/>
    </row>
    <row r="52" spans="2:15" s="80" customFormat="1" ht="13.5" thickBot="1" x14ac:dyDescent="0.25">
      <c r="B52" s="308"/>
      <c r="C52" s="139"/>
      <c r="D52" s="140" t="s">
        <v>16</v>
      </c>
      <c r="E52" s="141"/>
      <c r="F52" s="142">
        <v>0</v>
      </c>
      <c r="G52" s="143"/>
      <c r="H52" s="144"/>
      <c r="K52" s="117"/>
      <c r="L52" s="117"/>
      <c r="M52" s="117"/>
      <c r="N52" s="117"/>
      <c r="O52" s="117"/>
    </row>
    <row r="53" spans="2:15" ht="16.5" customHeight="1" thickBot="1" x14ac:dyDescent="0.25">
      <c r="B53" s="103" t="s">
        <v>136</v>
      </c>
      <c r="C53" s="271" t="s">
        <v>130</v>
      </c>
      <c r="D53" s="271"/>
      <c r="E53" s="104"/>
      <c r="F53" s="104" t="e">
        <f>+E54*F55+E57*F58+E60*F61+E63*F64+E66*F67+E69*F70+E72*F77+E78*F79+E82*F83+E86*F87+E90*F91+E122*F127</f>
        <v>#N/A</v>
      </c>
      <c r="G53" s="145"/>
      <c r="H53" s="106" t="e">
        <f>+SUMPRODUCT(E54:E127,H54:H127)</f>
        <v>#N/A</v>
      </c>
    </row>
    <row r="54" spans="2:15" s="80" customFormat="1" x14ac:dyDescent="0.2">
      <c r="B54" s="321">
        <v>1</v>
      </c>
      <c r="C54" s="309" t="s">
        <v>157</v>
      </c>
      <c r="D54" s="309"/>
      <c r="E54" s="108" t="e">
        <f>VLOOKUP(C54,Puntajes!$B$9:$N$63,HLOOKUP($D$8,Puntajes!$C$7:$N$8,2,0),0)</f>
        <v>#N/A</v>
      </c>
      <c r="F54" s="146"/>
      <c r="G54" s="147" t="str">
        <f>IFERROR('COG-F-013'!C36/'COG-F-013'!C38,"")</f>
        <v/>
      </c>
      <c r="H54" s="111" t="str">
        <f>+IF(G54="","-",IF(G54&lt;1,F56,IF(G54&gt;2,F56,F55)))</f>
        <v>-</v>
      </c>
      <c r="K54" s="117" t="s">
        <v>240</v>
      </c>
      <c r="L54" s="117" t="s">
        <v>240</v>
      </c>
      <c r="M54" s="117" t="s">
        <v>241</v>
      </c>
      <c r="N54" s="117" t="s">
        <v>240</v>
      </c>
      <c r="O54" s="117" t="s">
        <v>240</v>
      </c>
    </row>
    <row r="55" spans="2:15" s="80" customFormat="1" x14ac:dyDescent="0.2">
      <c r="B55" s="322"/>
      <c r="C55" s="148" t="s">
        <v>105</v>
      </c>
      <c r="D55" s="149" t="s">
        <v>158</v>
      </c>
      <c r="E55" s="150"/>
      <c r="F55" s="151">
        <v>100</v>
      </c>
      <c r="G55" s="152"/>
      <c r="H55" s="116"/>
      <c r="K55" s="117"/>
      <c r="L55" s="117"/>
      <c r="M55" s="117"/>
      <c r="N55" s="117"/>
      <c r="O55" s="117"/>
    </row>
    <row r="56" spans="2:15" s="80" customFormat="1" x14ac:dyDescent="0.2">
      <c r="B56" s="322"/>
      <c r="C56" s="153" t="s">
        <v>104</v>
      </c>
      <c r="D56" s="154" t="s">
        <v>159</v>
      </c>
      <c r="E56" s="155"/>
      <c r="F56" s="156">
        <v>50</v>
      </c>
      <c r="G56" s="157"/>
      <c r="H56" s="132"/>
      <c r="K56" s="117"/>
      <c r="L56" s="117"/>
      <c r="M56" s="117"/>
      <c r="N56" s="117"/>
      <c r="O56" s="117"/>
    </row>
    <row r="57" spans="2:15" s="80" customFormat="1" x14ac:dyDescent="0.2">
      <c r="B57" s="265">
        <v>2</v>
      </c>
      <c r="C57" s="310" t="s">
        <v>160</v>
      </c>
      <c r="D57" s="310"/>
      <c r="E57" s="158" t="e">
        <f>VLOOKUP(C57,Puntajes!$B$9:$N$63,HLOOKUP($D$8,Puntajes!$C$7:$N$8,2,0),0)</f>
        <v>#N/A</v>
      </c>
      <c r="F57" s="159"/>
      <c r="G57" s="160" t="str">
        <f>IFERROR('COG-F-013'!C41/'COG-F-013'!C37,"")</f>
        <v/>
      </c>
      <c r="H57" s="161" t="str">
        <f>+IF(G57="","-",IF(G57&gt;=0.6,F58,F59))</f>
        <v>-</v>
      </c>
      <c r="K57" s="117" t="s">
        <v>240</v>
      </c>
      <c r="L57" s="117" t="s">
        <v>240</v>
      </c>
      <c r="M57" s="117" t="s">
        <v>241</v>
      </c>
      <c r="N57" s="117" t="s">
        <v>240</v>
      </c>
      <c r="O57" s="117" t="s">
        <v>240</v>
      </c>
    </row>
    <row r="58" spans="2:15" s="80" customFormat="1" x14ac:dyDescent="0.2">
      <c r="B58" s="322"/>
      <c r="C58" s="148" t="s">
        <v>105</v>
      </c>
      <c r="D58" s="149" t="s">
        <v>161</v>
      </c>
      <c r="E58" s="150"/>
      <c r="F58" s="151">
        <v>100</v>
      </c>
      <c r="G58" s="152"/>
      <c r="H58" s="116"/>
      <c r="K58" s="117"/>
      <c r="L58" s="117"/>
      <c r="M58" s="117"/>
      <c r="N58" s="117"/>
      <c r="O58" s="117"/>
    </row>
    <row r="59" spans="2:15" s="80" customFormat="1" x14ac:dyDescent="0.2">
      <c r="B59" s="264"/>
      <c r="C59" s="162" t="s">
        <v>104</v>
      </c>
      <c r="D59" s="163" t="s">
        <v>162</v>
      </c>
      <c r="E59" s="164"/>
      <c r="F59" s="165">
        <v>50</v>
      </c>
      <c r="G59" s="152"/>
      <c r="H59" s="116"/>
      <c r="K59" s="117"/>
      <c r="L59" s="117"/>
      <c r="M59" s="117"/>
      <c r="N59" s="117"/>
      <c r="O59" s="117"/>
    </row>
    <row r="60" spans="2:15" s="80" customFormat="1" x14ac:dyDescent="0.2">
      <c r="B60" s="322">
        <v>3</v>
      </c>
      <c r="C60" s="313" t="s">
        <v>163</v>
      </c>
      <c r="D60" s="313"/>
      <c r="E60" s="124" t="e">
        <f>VLOOKUP(C60,Puntajes!$B$9:$N$63,HLOOKUP($D$8,Puntajes!$C$7:$N$8,2,0),0)</f>
        <v>#N/A</v>
      </c>
      <c r="F60" s="166"/>
      <c r="G60" s="167" t="str">
        <f>IFERROR('COG-F-013'!C41/'COG-F-013'!C42,"")</f>
        <v/>
      </c>
      <c r="H60" s="126" t="str">
        <f>+IF(G60="","-",IF(G60&gt;=2,F61,F62))</f>
        <v>-</v>
      </c>
      <c r="K60" s="117" t="s">
        <v>240</v>
      </c>
      <c r="L60" s="117" t="s">
        <v>240</v>
      </c>
      <c r="M60" s="117" t="s">
        <v>241</v>
      </c>
      <c r="N60" s="117" t="s">
        <v>240</v>
      </c>
      <c r="O60" s="117" t="s">
        <v>240</v>
      </c>
    </row>
    <row r="61" spans="2:15" s="80" customFormat="1" x14ac:dyDescent="0.2">
      <c r="B61" s="322"/>
      <c r="C61" s="151" t="s">
        <v>105</v>
      </c>
      <c r="D61" s="149" t="s">
        <v>164</v>
      </c>
      <c r="E61" s="150"/>
      <c r="F61" s="151">
        <v>100</v>
      </c>
      <c r="G61" s="152"/>
      <c r="H61" s="116"/>
      <c r="K61" s="117"/>
      <c r="L61" s="117"/>
      <c r="M61" s="117"/>
      <c r="N61" s="117"/>
      <c r="O61" s="117"/>
    </row>
    <row r="62" spans="2:15" s="80" customFormat="1" x14ac:dyDescent="0.2">
      <c r="B62" s="322"/>
      <c r="C62" s="156" t="s">
        <v>104</v>
      </c>
      <c r="D62" s="154" t="s">
        <v>165</v>
      </c>
      <c r="E62" s="155"/>
      <c r="F62" s="156">
        <v>50</v>
      </c>
      <c r="G62" s="157"/>
      <c r="H62" s="132"/>
      <c r="K62" s="117"/>
      <c r="L62" s="117"/>
      <c r="M62" s="117"/>
      <c r="N62" s="117"/>
      <c r="O62" s="117"/>
    </row>
    <row r="63" spans="2:15" s="80" customFormat="1" x14ac:dyDescent="0.2">
      <c r="B63" s="265">
        <v>4</v>
      </c>
      <c r="C63" s="314" t="s">
        <v>166</v>
      </c>
      <c r="D63" s="315"/>
      <c r="E63" s="158" t="e">
        <f>VLOOKUP(C63,Puntajes!$B$9:$N$63,HLOOKUP($D$8,Puntajes!$C$7:$N$8,2,0),0)</f>
        <v>#N/A</v>
      </c>
      <c r="F63" s="159"/>
      <c r="G63" s="160" t="str">
        <f>IFERROR('COG-F-013'!C39/'COG-F-013'!C37,"")</f>
        <v/>
      </c>
      <c r="H63" s="161" t="str">
        <f>+IF(G63="","-",IF(G63&gt;0.5,F65,F64))</f>
        <v>-</v>
      </c>
      <c r="K63" s="117" t="s">
        <v>240</v>
      </c>
      <c r="L63" s="117" t="s">
        <v>240</v>
      </c>
      <c r="M63" s="117" t="s">
        <v>241</v>
      </c>
      <c r="N63" s="117" t="s">
        <v>240</v>
      </c>
      <c r="O63" s="117" t="s">
        <v>240</v>
      </c>
    </row>
    <row r="64" spans="2:15" s="80" customFormat="1" x14ac:dyDescent="0.2">
      <c r="B64" s="322"/>
      <c r="C64" s="148" t="s">
        <v>105</v>
      </c>
      <c r="D64" s="168" t="s">
        <v>167</v>
      </c>
      <c r="E64" s="169"/>
      <c r="F64" s="151">
        <v>100</v>
      </c>
      <c r="G64" s="152"/>
      <c r="H64" s="116"/>
      <c r="K64" s="117"/>
      <c r="L64" s="117"/>
      <c r="M64" s="117"/>
      <c r="N64" s="117"/>
      <c r="O64" s="117"/>
    </row>
    <row r="65" spans="2:15" s="80" customFormat="1" x14ac:dyDescent="0.2">
      <c r="B65" s="264"/>
      <c r="C65" s="162" t="s">
        <v>104</v>
      </c>
      <c r="D65" s="170" t="s">
        <v>168</v>
      </c>
      <c r="E65" s="171"/>
      <c r="F65" s="165">
        <v>50</v>
      </c>
      <c r="G65" s="152"/>
      <c r="H65" s="116"/>
      <c r="K65" s="117"/>
      <c r="L65" s="117"/>
      <c r="M65" s="117"/>
      <c r="N65" s="117"/>
      <c r="O65" s="117"/>
    </row>
    <row r="66" spans="2:15" s="80" customFormat="1" x14ac:dyDescent="0.2">
      <c r="B66" s="322">
        <v>5</v>
      </c>
      <c r="C66" s="316" t="s">
        <v>169</v>
      </c>
      <c r="D66" s="317"/>
      <c r="E66" s="124" t="e">
        <f>VLOOKUP(C66,Puntajes!$B$9:$N$63,HLOOKUP($D$8,Puntajes!$C$7:$N$8,2,0),0)</f>
        <v>#N/A</v>
      </c>
      <c r="F66" s="166"/>
      <c r="G66" s="71" t="str">
        <f>IFERROR('COG-F-013'!C43/'COG-F-013'!C37,"")</f>
        <v/>
      </c>
      <c r="H66" s="126" t="str">
        <f>+IF(G66="","-",IF(G66&gt;=0.1,F67,F68))</f>
        <v>-</v>
      </c>
      <c r="K66" s="117" t="s">
        <v>240</v>
      </c>
      <c r="L66" s="117" t="s">
        <v>240</v>
      </c>
      <c r="M66" s="117" t="s">
        <v>241</v>
      </c>
      <c r="N66" s="117" t="s">
        <v>240</v>
      </c>
      <c r="O66" s="117" t="s">
        <v>240</v>
      </c>
    </row>
    <row r="67" spans="2:15" s="80" customFormat="1" x14ac:dyDescent="0.2">
      <c r="B67" s="322"/>
      <c r="C67" s="148" t="s">
        <v>105</v>
      </c>
      <c r="D67" s="168" t="s">
        <v>170</v>
      </c>
      <c r="E67" s="169"/>
      <c r="F67" s="151">
        <v>100</v>
      </c>
      <c r="G67" s="152"/>
      <c r="H67" s="116"/>
      <c r="K67" s="117"/>
      <c r="L67" s="117"/>
      <c r="M67" s="117"/>
      <c r="N67" s="117"/>
      <c r="O67" s="117"/>
    </row>
    <row r="68" spans="2:15" s="80" customFormat="1" x14ac:dyDescent="0.2">
      <c r="B68" s="322"/>
      <c r="C68" s="153" t="s">
        <v>104</v>
      </c>
      <c r="D68" s="172" t="s">
        <v>171</v>
      </c>
      <c r="E68" s="173"/>
      <c r="F68" s="156">
        <v>50</v>
      </c>
      <c r="G68" s="157"/>
      <c r="H68" s="132"/>
      <c r="K68" s="117"/>
      <c r="L68" s="117"/>
      <c r="M68" s="117"/>
      <c r="N68" s="117"/>
      <c r="O68" s="117"/>
    </row>
    <row r="69" spans="2:15" s="80" customFormat="1" x14ac:dyDescent="0.2">
      <c r="B69" s="264">
        <v>6</v>
      </c>
      <c r="C69" s="313" t="s">
        <v>172</v>
      </c>
      <c r="D69" s="313"/>
      <c r="E69" s="124" t="e">
        <f>VLOOKUP(C69,Puntajes!$B$9:$N$63,HLOOKUP($D$8,Puntajes!$C$7:$N$8,2,0),0)</f>
        <v>#N/A</v>
      </c>
      <c r="F69" s="166"/>
      <c r="G69" s="71" t="str">
        <f>IFERROR('COG-F-013'!C44/'COG-F-013'!C40,"")</f>
        <v/>
      </c>
      <c r="H69" s="126" t="str">
        <f>+IF(G69="","-",IF(G69&gt;=0.14,F70,F71))</f>
        <v>-</v>
      </c>
      <c r="K69" s="117" t="s">
        <v>240</v>
      </c>
      <c r="L69" s="117" t="s">
        <v>240</v>
      </c>
      <c r="M69" s="117" t="s">
        <v>241</v>
      </c>
      <c r="N69" s="117" t="s">
        <v>240</v>
      </c>
      <c r="O69" s="117" t="s">
        <v>240</v>
      </c>
    </row>
    <row r="70" spans="2:15" s="80" customFormat="1" x14ac:dyDescent="0.2">
      <c r="B70" s="260"/>
      <c r="C70" s="151" t="s">
        <v>105</v>
      </c>
      <c r="D70" s="149" t="s">
        <v>173</v>
      </c>
      <c r="E70" s="150"/>
      <c r="F70" s="151">
        <v>100</v>
      </c>
      <c r="G70" s="152"/>
      <c r="H70" s="116"/>
      <c r="K70" s="117"/>
      <c r="L70" s="117"/>
      <c r="M70" s="117"/>
      <c r="N70" s="117"/>
      <c r="O70" s="117"/>
    </row>
    <row r="71" spans="2:15" s="80" customFormat="1" x14ac:dyDescent="0.2">
      <c r="B71" s="265"/>
      <c r="C71" s="156" t="s">
        <v>104</v>
      </c>
      <c r="D71" s="154" t="s">
        <v>174</v>
      </c>
      <c r="E71" s="155"/>
      <c r="F71" s="156">
        <v>50</v>
      </c>
      <c r="G71" s="157"/>
      <c r="H71" s="132"/>
      <c r="K71" s="117"/>
      <c r="L71" s="117"/>
      <c r="M71" s="117"/>
      <c r="N71" s="117"/>
      <c r="O71" s="117"/>
    </row>
    <row r="72" spans="2:15" x14ac:dyDescent="0.2">
      <c r="B72" s="264">
        <v>7</v>
      </c>
      <c r="C72" s="270" t="s">
        <v>183</v>
      </c>
      <c r="D72" s="270"/>
      <c r="E72" s="124" t="e">
        <f>VLOOKUP(C72,Puntajes!$B$9:$N$63,HLOOKUP($D$8,Puntajes!$C$7:$N$8,2,0),0)</f>
        <v>#N/A</v>
      </c>
      <c r="F72" s="174"/>
      <c r="G72" s="167" t="str">
        <f>IFERROR(F73/F74,"")</f>
        <v/>
      </c>
      <c r="H72" s="126" t="str">
        <f>+IF(G72="","-",IF(G72&lt;=0.1,F75,IF(G72&lt;0.5,F76,F77)))</f>
        <v>-</v>
      </c>
      <c r="K72" s="117" t="s">
        <v>240</v>
      </c>
      <c r="L72" s="117" t="s">
        <v>240</v>
      </c>
      <c r="M72" s="117" t="s">
        <v>241</v>
      </c>
      <c r="N72" s="117" t="s">
        <v>240</v>
      </c>
      <c r="O72" s="117" t="s">
        <v>240</v>
      </c>
    </row>
    <row r="73" spans="2:15" s="80" customFormat="1" x14ac:dyDescent="0.2">
      <c r="B73" s="260"/>
      <c r="C73" s="127" t="s">
        <v>107</v>
      </c>
      <c r="D73" s="113" t="s">
        <v>184</v>
      </c>
      <c r="E73" s="114"/>
      <c r="F73" s="175">
        <f>+SUM('COG-F-013'!C49:C52)</f>
        <v>0</v>
      </c>
      <c r="G73" s="152"/>
      <c r="H73" s="176"/>
      <c r="K73" s="117"/>
      <c r="L73" s="117"/>
      <c r="M73" s="117"/>
      <c r="N73" s="117"/>
      <c r="O73" s="117"/>
    </row>
    <row r="74" spans="2:15" s="80" customFormat="1" x14ac:dyDescent="0.2">
      <c r="B74" s="260"/>
      <c r="C74" s="177" t="s">
        <v>109</v>
      </c>
      <c r="D74" s="119" t="s">
        <v>182</v>
      </c>
      <c r="E74" s="120"/>
      <c r="F74" s="178">
        <f>+'COG-F-013'!C41</f>
        <v>0</v>
      </c>
      <c r="G74" s="177"/>
      <c r="H74" s="116"/>
      <c r="K74" s="117"/>
      <c r="L74" s="117"/>
      <c r="M74" s="117"/>
      <c r="N74" s="117"/>
      <c r="O74" s="117"/>
    </row>
    <row r="75" spans="2:15" s="80" customFormat="1" x14ac:dyDescent="0.2">
      <c r="B75" s="260"/>
      <c r="C75" s="177" t="s">
        <v>103</v>
      </c>
      <c r="D75" s="119" t="s">
        <v>185</v>
      </c>
      <c r="E75" s="120"/>
      <c r="F75" s="177">
        <v>10</v>
      </c>
      <c r="G75" s="177"/>
      <c r="H75" s="116"/>
      <c r="K75" s="117"/>
      <c r="L75" s="117"/>
      <c r="M75" s="117"/>
      <c r="N75" s="117"/>
      <c r="O75" s="117"/>
    </row>
    <row r="76" spans="2:15" s="80" customFormat="1" x14ac:dyDescent="0.2">
      <c r="B76" s="260"/>
      <c r="C76" s="177" t="s">
        <v>104</v>
      </c>
      <c r="D76" s="119" t="s">
        <v>186</v>
      </c>
      <c r="E76" s="120"/>
      <c r="F76" s="177">
        <v>50</v>
      </c>
      <c r="G76" s="177"/>
      <c r="H76" s="116"/>
      <c r="K76" s="117"/>
      <c r="L76" s="117"/>
      <c r="M76" s="117"/>
      <c r="N76" s="117"/>
      <c r="O76" s="117"/>
    </row>
    <row r="77" spans="2:15" s="80" customFormat="1" x14ac:dyDescent="0.2">
      <c r="B77" s="265"/>
      <c r="C77" s="128" t="s">
        <v>105</v>
      </c>
      <c r="D77" s="123" t="s">
        <v>187</v>
      </c>
      <c r="E77" s="129"/>
      <c r="F77" s="128">
        <v>100</v>
      </c>
      <c r="G77" s="128"/>
      <c r="H77" s="132"/>
      <c r="K77" s="117"/>
      <c r="L77" s="117"/>
      <c r="M77" s="117"/>
      <c r="N77" s="117"/>
      <c r="O77" s="117"/>
    </row>
    <row r="78" spans="2:15" x14ac:dyDescent="0.2">
      <c r="B78" s="264">
        <v>8</v>
      </c>
      <c r="C78" s="266" t="s">
        <v>35</v>
      </c>
      <c r="D78" s="267"/>
      <c r="E78" s="124" t="e">
        <f>VLOOKUP(C78,Puntajes!$B$9:$N$63,HLOOKUP($D$8,Puntajes!$C$7:$N$8,2,0),0)</f>
        <v>#N/A</v>
      </c>
      <c r="F78" s="174"/>
      <c r="G78" s="125">
        <f>'COG-F-013'!C57</f>
        <v>0</v>
      </c>
      <c r="H78" s="126" t="e">
        <f>VLOOKUP(G78,D79:F81,3,0)</f>
        <v>#N/A</v>
      </c>
      <c r="K78" s="117" t="s">
        <v>240</v>
      </c>
      <c r="L78" s="117" t="s">
        <v>240</v>
      </c>
      <c r="M78" s="117" t="s">
        <v>241</v>
      </c>
      <c r="N78" s="117" t="s">
        <v>240</v>
      </c>
      <c r="O78" s="117" t="s">
        <v>241</v>
      </c>
    </row>
    <row r="79" spans="2:15" s="80" customFormat="1" x14ac:dyDescent="0.2">
      <c r="B79" s="260"/>
      <c r="C79" s="127"/>
      <c r="D79" s="113" t="s">
        <v>124</v>
      </c>
      <c r="E79" s="114"/>
      <c r="F79" s="127">
        <v>100</v>
      </c>
      <c r="G79" s="177"/>
      <c r="H79" s="116"/>
      <c r="K79" s="117"/>
      <c r="L79" s="117"/>
      <c r="M79" s="117"/>
      <c r="N79" s="117"/>
      <c r="O79" s="117"/>
    </row>
    <row r="80" spans="2:15" s="80" customFormat="1" x14ac:dyDescent="0.2">
      <c r="B80" s="260"/>
      <c r="C80" s="177"/>
      <c r="D80" s="119" t="s">
        <v>125</v>
      </c>
      <c r="E80" s="120"/>
      <c r="F80" s="177">
        <v>10</v>
      </c>
      <c r="G80" s="177"/>
      <c r="H80" s="116"/>
      <c r="K80" s="117"/>
      <c r="L80" s="117"/>
      <c r="M80" s="117"/>
      <c r="N80" s="117"/>
      <c r="O80" s="117"/>
    </row>
    <row r="81" spans="2:15" s="80" customFormat="1" x14ac:dyDescent="0.2">
      <c r="B81" s="265"/>
      <c r="C81" s="128"/>
      <c r="D81" s="123" t="s">
        <v>75</v>
      </c>
      <c r="E81" s="129"/>
      <c r="F81" s="128">
        <v>100</v>
      </c>
      <c r="G81" s="128"/>
      <c r="H81" s="132"/>
      <c r="K81" s="117"/>
      <c r="L81" s="117"/>
      <c r="M81" s="117"/>
      <c r="N81" s="117"/>
      <c r="O81" s="117"/>
    </row>
    <row r="82" spans="2:15" x14ac:dyDescent="0.2">
      <c r="B82" s="264">
        <v>9</v>
      </c>
      <c r="C82" s="266" t="s">
        <v>36</v>
      </c>
      <c r="D82" s="267"/>
      <c r="E82" s="124" t="e">
        <f>VLOOKUP(C82,Puntajes!$B$9:$N$63,HLOOKUP($D$8,Puntajes!$C$7:$N$8,2,0),0)</f>
        <v>#N/A</v>
      </c>
      <c r="F82" s="174"/>
      <c r="G82" s="125">
        <f>'COG-F-013'!C58</f>
        <v>0</v>
      </c>
      <c r="H82" s="126" t="e">
        <f>VLOOKUP(G82,D83:F85,3,0)</f>
        <v>#N/A</v>
      </c>
      <c r="K82" s="117" t="s">
        <v>240</v>
      </c>
      <c r="L82" s="117" t="s">
        <v>240</v>
      </c>
      <c r="M82" s="117" t="s">
        <v>240</v>
      </c>
      <c r="N82" s="117" t="s">
        <v>240</v>
      </c>
      <c r="O82" s="117" t="s">
        <v>241</v>
      </c>
    </row>
    <row r="83" spans="2:15" s="80" customFormat="1" x14ac:dyDescent="0.2">
      <c r="B83" s="260"/>
      <c r="C83" s="127"/>
      <c r="D83" s="113" t="s">
        <v>124</v>
      </c>
      <c r="E83" s="114"/>
      <c r="F83" s="127">
        <v>100</v>
      </c>
      <c r="G83" s="177"/>
      <c r="H83" s="116"/>
      <c r="K83" s="117"/>
      <c r="L83" s="117"/>
      <c r="M83" s="117"/>
      <c r="N83" s="117"/>
      <c r="O83" s="117"/>
    </row>
    <row r="84" spans="2:15" s="80" customFormat="1" x14ac:dyDescent="0.2">
      <c r="B84" s="260"/>
      <c r="C84" s="177"/>
      <c r="D84" s="119" t="s">
        <v>125</v>
      </c>
      <c r="E84" s="120"/>
      <c r="F84" s="177">
        <v>10</v>
      </c>
      <c r="G84" s="177"/>
      <c r="H84" s="116"/>
      <c r="K84" s="117"/>
      <c r="L84" s="117"/>
      <c r="M84" s="117"/>
      <c r="N84" s="117"/>
      <c r="O84" s="117"/>
    </row>
    <row r="85" spans="2:15" s="80" customFormat="1" x14ac:dyDescent="0.2">
      <c r="B85" s="265"/>
      <c r="C85" s="128"/>
      <c r="D85" s="123" t="s">
        <v>75</v>
      </c>
      <c r="E85" s="129"/>
      <c r="F85" s="128">
        <v>100</v>
      </c>
      <c r="G85" s="128"/>
      <c r="H85" s="132"/>
      <c r="K85" s="117"/>
      <c r="L85" s="117"/>
      <c r="M85" s="117"/>
      <c r="N85" s="117"/>
      <c r="O85" s="117"/>
    </row>
    <row r="86" spans="2:15" x14ac:dyDescent="0.2">
      <c r="B86" s="264">
        <v>10</v>
      </c>
      <c r="C86" s="266" t="s">
        <v>37</v>
      </c>
      <c r="D86" s="267"/>
      <c r="E86" s="124" t="e">
        <f>VLOOKUP(C86,Puntajes!$B$9:$N$63,HLOOKUP($D$8,Puntajes!$C$7:$N$8,2,0),0)</f>
        <v>#N/A</v>
      </c>
      <c r="F86" s="174"/>
      <c r="G86" s="125">
        <f>'COG-F-013'!C59</f>
        <v>0</v>
      </c>
      <c r="H86" s="126" t="e">
        <f>VLOOKUP(G86,D87:F89,3,0)</f>
        <v>#N/A</v>
      </c>
      <c r="K86" s="117" t="s">
        <v>240</v>
      </c>
      <c r="L86" s="117" t="s">
        <v>240</v>
      </c>
      <c r="M86" s="117" t="s">
        <v>241</v>
      </c>
      <c r="N86" s="117" t="s">
        <v>240</v>
      </c>
      <c r="O86" s="117" t="s">
        <v>241</v>
      </c>
    </row>
    <row r="87" spans="2:15" s="80" customFormat="1" x14ac:dyDescent="0.2">
      <c r="B87" s="260"/>
      <c r="C87" s="127"/>
      <c r="D87" s="113" t="s">
        <v>124</v>
      </c>
      <c r="E87" s="114"/>
      <c r="F87" s="127">
        <v>100</v>
      </c>
      <c r="G87" s="177"/>
      <c r="H87" s="116"/>
      <c r="K87" s="117"/>
      <c r="L87" s="117"/>
      <c r="M87" s="117"/>
      <c r="N87" s="117"/>
      <c r="O87" s="117"/>
    </row>
    <row r="88" spans="2:15" s="80" customFormat="1" x14ac:dyDescent="0.2">
      <c r="B88" s="260"/>
      <c r="C88" s="177"/>
      <c r="D88" s="119" t="s">
        <v>125</v>
      </c>
      <c r="E88" s="120"/>
      <c r="F88" s="177">
        <v>10</v>
      </c>
      <c r="G88" s="177"/>
      <c r="H88" s="116"/>
      <c r="K88" s="117"/>
      <c r="L88" s="117"/>
      <c r="M88" s="117"/>
      <c r="N88" s="117"/>
      <c r="O88" s="117"/>
    </row>
    <row r="89" spans="2:15" s="80" customFormat="1" x14ac:dyDescent="0.2">
      <c r="B89" s="265"/>
      <c r="C89" s="128"/>
      <c r="D89" s="123" t="s">
        <v>75</v>
      </c>
      <c r="E89" s="129"/>
      <c r="F89" s="128">
        <v>100</v>
      </c>
      <c r="G89" s="128"/>
      <c r="H89" s="132"/>
      <c r="K89" s="117"/>
      <c r="L89" s="117"/>
      <c r="M89" s="117"/>
      <c r="N89" s="117"/>
      <c r="O89" s="117"/>
    </row>
    <row r="90" spans="2:15" x14ac:dyDescent="0.2">
      <c r="B90" s="264">
        <v>11</v>
      </c>
      <c r="C90" s="266" t="s">
        <v>38</v>
      </c>
      <c r="D90" s="267"/>
      <c r="E90" s="124" t="e">
        <f>VLOOKUP(C90,Puntajes!$B$9:$N$63,HLOOKUP($D$8,Puntajes!$C$7:$N$8,2,0),0)</f>
        <v>#N/A</v>
      </c>
      <c r="F90" s="174"/>
      <c r="G90" s="125">
        <f>'COG-F-013'!C60</f>
        <v>0</v>
      </c>
      <c r="H90" s="126" t="e">
        <f>VLOOKUP(G90,D91:F93,3,0)</f>
        <v>#N/A</v>
      </c>
      <c r="K90" s="117" t="s">
        <v>240</v>
      </c>
      <c r="L90" s="117" t="s">
        <v>240</v>
      </c>
      <c r="M90" s="117" t="s">
        <v>240</v>
      </c>
      <c r="N90" s="117" t="s">
        <v>240</v>
      </c>
      <c r="O90" s="117" t="s">
        <v>240</v>
      </c>
    </row>
    <row r="91" spans="2:15" s="80" customFormat="1" x14ac:dyDescent="0.2">
      <c r="B91" s="260"/>
      <c r="C91" s="127"/>
      <c r="D91" s="113" t="s">
        <v>124</v>
      </c>
      <c r="E91" s="114"/>
      <c r="F91" s="127">
        <v>100</v>
      </c>
      <c r="G91" s="177"/>
      <c r="H91" s="116"/>
      <c r="K91" s="117"/>
      <c r="L91" s="117"/>
      <c r="M91" s="117"/>
      <c r="N91" s="117"/>
      <c r="O91" s="117"/>
    </row>
    <row r="92" spans="2:15" s="80" customFormat="1" x14ac:dyDescent="0.2">
      <c r="B92" s="260"/>
      <c r="C92" s="177"/>
      <c r="D92" s="119" t="s">
        <v>125</v>
      </c>
      <c r="E92" s="120"/>
      <c r="F92" s="177">
        <v>10</v>
      </c>
      <c r="G92" s="177"/>
      <c r="H92" s="116"/>
      <c r="K92" s="117"/>
      <c r="L92" s="117"/>
      <c r="M92" s="117"/>
      <c r="N92" s="117"/>
      <c r="O92" s="117"/>
    </row>
    <row r="93" spans="2:15" s="80" customFormat="1" x14ac:dyDescent="0.2">
      <c r="B93" s="265"/>
      <c r="C93" s="128"/>
      <c r="D93" s="123" t="s">
        <v>75</v>
      </c>
      <c r="E93" s="129"/>
      <c r="F93" s="128">
        <v>100</v>
      </c>
      <c r="G93" s="128"/>
      <c r="H93" s="132"/>
      <c r="K93" s="117"/>
      <c r="L93" s="117"/>
      <c r="M93" s="117"/>
      <c r="N93" s="117"/>
      <c r="O93" s="117"/>
    </row>
    <row r="94" spans="2:15" x14ac:dyDescent="0.2">
      <c r="B94" s="264">
        <v>12</v>
      </c>
      <c r="C94" s="266" t="s">
        <v>121</v>
      </c>
      <c r="D94" s="267"/>
      <c r="E94" s="124" t="e">
        <f>VLOOKUP(C94,Puntajes!$B$9:$N$63,HLOOKUP($D$8,Puntajes!$C$7:$N$8,2,0),0)</f>
        <v>#N/A</v>
      </c>
      <c r="F94" s="174"/>
      <c r="G94" s="125">
        <f>+'COG-F-013'!C65</f>
        <v>0</v>
      </c>
      <c r="H94" s="126">
        <f>+IF(G94="","-",IF(G94=D95,F95,F96))</f>
        <v>-100</v>
      </c>
      <c r="K94" s="117" t="s">
        <v>240</v>
      </c>
      <c r="L94" s="117" t="s">
        <v>240</v>
      </c>
      <c r="M94" s="117" t="s">
        <v>240</v>
      </c>
      <c r="N94" s="117" t="s">
        <v>240</v>
      </c>
      <c r="O94" s="117" t="s">
        <v>240</v>
      </c>
    </row>
    <row r="95" spans="2:15" s="80" customFormat="1" x14ac:dyDescent="0.2">
      <c r="B95" s="260"/>
      <c r="C95" s="127"/>
      <c r="D95" s="113" t="s">
        <v>125</v>
      </c>
      <c r="E95" s="114"/>
      <c r="F95" s="127">
        <v>0</v>
      </c>
      <c r="G95" s="177"/>
      <c r="H95" s="116"/>
      <c r="K95" s="117"/>
      <c r="L95" s="117"/>
      <c r="M95" s="117"/>
      <c r="N95" s="117"/>
      <c r="O95" s="117"/>
    </row>
    <row r="96" spans="2:15" s="80" customFormat="1" x14ac:dyDescent="0.2">
      <c r="B96" s="265"/>
      <c r="C96" s="128"/>
      <c r="D96" s="123" t="s">
        <v>124</v>
      </c>
      <c r="E96" s="129"/>
      <c r="F96" s="128">
        <v>-100</v>
      </c>
      <c r="G96" s="128"/>
      <c r="H96" s="132"/>
      <c r="K96" s="117"/>
      <c r="L96" s="117"/>
      <c r="M96" s="117"/>
      <c r="N96" s="117"/>
      <c r="O96" s="117"/>
    </row>
    <row r="97" spans="2:15" x14ac:dyDescent="0.2">
      <c r="B97" s="264">
        <v>13</v>
      </c>
      <c r="C97" s="266" t="s">
        <v>120</v>
      </c>
      <c r="D97" s="267"/>
      <c r="E97" s="124" t="e">
        <f>VLOOKUP(C97,Puntajes!$B$9:$N$63,HLOOKUP($D$8,Puntajes!$C$7:$N$8,2,0),0)</f>
        <v>#N/A</v>
      </c>
      <c r="F97" s="174"/>
      <c r="G97" s="125">
        <f>+'COG-F-013'!C66</f>
        <v>0</v>
      </c>
      <c r="H97" s="179">
        <f>+IF(G97="","-",IF(G97=D98,F98,F99))</f>
        <v>-100</v>
      </c>
      <c r="K97" s="117" t="s">
        <v>240</v>
      </c>
      <c r="L97" s="117" t="s">
        <v>240</v>
      </c>
      <c r="M97" s="117" t="s">
        <v>240</v>
      </c>
      <c r="N97" s="117" t="s">
        <v>240</v>
      </c>
      <c r="O97" s="117" t="s">
        <v>240</v>
      </c>
    </row>
    <row r="98" spans="2:15" s="80" customFormat="1" x14ac:dyDescent="0.2">
      <c r="B98" s="260"/>
      <c r="C98" s="127"/>
      <c r="D98" s="113" t="s">
        <v>125</v>
      </c>
      <c r="E98" s="114"/>
      <c r="F98" s="127">
        <v>0</v>
      </c>
      <c r="G98" s="177"/>
      <c r="H98" s="116"/>
      <c r="K98" s="117"/>
      <c r="L98" s="117"/>
      <c r="M98" s="117"/>
      <c r="N98" s="117"/>
      <c r="O98" s="117"/>
    </row>
    <row r="99" spans="2:15" s="80" customFormat="1" x14ac:dyDescent="0.2">
      <c r="B99" s="265"/>
      <c r="C99" s="128"/>
      <c r="D99" s="123" t="s">
        <v>124</v>
      </c>
      <c r="E99" s="129"/>
      <c r="F99" s="128">
        <v>-100</v>
      </c>
      <c r="G99" s="128"/>
      <c r="H99" s="132"/>
      <c r="K99" s="117"/>
      <c r="L99" s="117"/>
      <c r="M99" s="117"/>
      <c r="N99" s="117"/>
      <c r="O99" s="117"/>
    </row>
    <row r="100" spans="2:15" x14ac:dyDescent="0.2">
      <c r="B100" s="264">
        <v>14</v>
      </c>
      <c r="C100" s="266" t="s">
        <v>122</v>
      </c>
      <c r="D100" s="267"/>
      <c r="E100" s="124" t="e">
        <f>VLOOKUP(C100,Puntajes!$B$9:$N$63,HLOOKUP($D$8,Puntajes!$C$7:$N$8,2,0),0)</f>
        <v>#N/A</v>
      </c>
      <c r="F100" s="174"/>
      <c r="G100" s="125">
        <f>+'COG-F-013'!C67</f>
        <v>0</v>
      </c>
      <c r="H100" s="179">
        <f>+IF(G100="","-",IF(G100=D101,F101,F102))</f>
        <v>-100</v>
      </c>
      <c r="K100" s="117" t="s">
        <v>240</v>
      </c>
      <c r="L100" s="117" t="s">
        <v>240</v>
      </c>
      <c r="M100" s="117" t="s">
        <v>240</v>
      </c>
      <c r="N100" s="117" t="s">
        <v>240</v>
      </c>
      <c r="O100" s="117" t="s">
        <v>240</v>
      </c>
    </row>
    <row r="101" spans="2:15" s="80" customFormat="1" x14ac:dyDescent="0.2">
      <c r="B101" s="260"/>
      <c r="C101" s="127"/>
      <c r="D101" s="113" t="s">
        <v>125</v>
      </c>
      <c r="E101" s="114"/>
      <c r="F101" s="127">
        <v>0</v>
      </c>
      <c r="G101" s="177"/>
      <c r="H101" s="116"/>
      <c r="K101" s="117"/>
      <c r="L101" s="117"/>
      <c r="M101" s="117"/>
      <c r="N101" s="117"/>
      <c r="O101" s="117"/>
    </row>
    <row r="102" spans="2:15" s="80" customFormat="1" x14ac:dyDescent="0.2">
      <c r="B102" s="265"/>
      <c r="C102" s="128"/>
      <c r="D102" s="123" t="s">
        <v>124</v>
      </c>
      <c r="E102" s="129"/>
      <c r="F102" s="128">
        <v>-100</v>
      </c>
      <c r="G102" s="128"/>
      <c r="H102" s="132"/>
      <c r="K102" s="117"/>
      <c r="L102" s="117"/>
      <c r="M102" s="117"/>
      <c r="N102" s="117"/>
      <c r="O102" s="117"/>
    </row>
    <row r="103" spans="2:15" x14ac:dyDescent="0.2">
      <c r="B103" s="264">
        <v>15</v>
      </c>
      <c r="C103" s="266" t="s">
        <v>123</v>
      </c>
      <c r="D103" s="267"/>
      <c r="E103" s="124" t="e">
        <f>VLOOKUP(C103,Puntajes!$B$9:$N$63,HLOOKUP($D$8,Puntajes!$C$7:$N$8,2,0),0)</f>
        <v>#N/A</v>
      </c>
      <c r="F103" s="174"/>
      <c r="G103" s="125">
        <f>+'COG-F-013'!C68</f>
        <v>0</v>
      </c>
      <c r="H103" s="179">
        <f>+IF(G103="","-",IF(G103=D104,F104,F105))</f>
        <v>-100</v>
      </c>
      <c r="K103" s="117" t="s">
        <v>240</v>
      </c>
      <c r="L103" s="117" t="s">
        <v>240</v>
      </c>
      <c r="M103" s="117" t="s">
        <v>240</v>
      </c>
      <c r="N103" s="117" t="s">
        <v>240</v>
      </c>
      <c r="O103" s="117" t="s">
        <v>240</v>
      </c>
    </row>
    <row r="104" spans="2:15" s="80" customFormat="1" x14ac:dyDescent="0.2">
      <c r="B104" s="260"/>
      <c r="C104" s="127"/>
      <c r="D104" s="113" t="s">
        <v>125</v>
      </c>
      <c r="E104" s="114"/>
      <c r="F104" s="127">
        <v>0</v>
      </c>
      <c r="G104" s="177"/>
      <c r="H104" s="116"/>
      <c r="K104" s="117"/>
      <c r="L104" s="117"/>
      <c r="M104" s="117"/>
      <c r="N104" s="117"/>
      <c r="O104" s="117"/>
    </row>
    <row r="105" spans="2:15" s="80" customFormat="1" x14ac:dyDescent="0.2">
      <c r="B105" s="265"/>
      <c r="C105" s="128"/>
      <c r="D105" s="123" t="s">
        <v>124</v>
      </c>
      <c r="E105" s="129"/>
      <c r="F105" s="128">
        <v>-100</v>
      </c>
      <c r="G105" s="128"/>
      <c r="H105" s="132"/>
      <c r="K105" s="117"/>
      <c r="L105" s="117"/>
      <c r="M105" s="117"/>
      <c r="N105" s="117"/>
      <c r="O105" s="117"/>
    </row>
    <row r="106" spans="2:15" x14ac:dyDescent="0.2">
      <c r="B106" s="264">
        <v>16</v>
      </c>
      <c r="C106" s="266" t="s">
        <v>49</v>
      </c>
      <c r="D106" s="267"/>
      <c r="E106" s="124" t="e">
        <f>VLOOKUP(C106,Puntajes!$B$9:$N$63,HLOOKUP($D$8,Puntajes!$C$7:$N$8,2,0),0)</f>
        <v>#N/A</v>
      </c>
      <c r="F106" s="174"/>
      <c r="G106" s="125">
        <f>+'COG-F-013'!C70</f>
        <v>0</v>
      </c>
      <c r="H106" s="179">
        <f>+IF(G106="","-",IF(G106=D107,F107,F108))</f>
        <v>-100</v>
      </c>
      <c r="K106" s="117" t="s">
        <v>240</v>
      </c>
      <c r="L106" s="117" t="s">
        <v>240</v>
      </c>
      <c r="M106" s="117" t="s">
        <v>240</v>
      </c>
      <c r="N106" s="117" t="s">
        <v>240</v>
      </c>
      <c r="O106" s="117" t="s">
        <v>240</v>
      </c>
    </row>
    <row r="107" spans="2:15" s="80" customFormat="1" x14ac:dyDescent="0.2">
      <c r="B107" s="260"/>
      <c r="C107" s="127"/>
      <c r="D107" s="113" t="s">
        <v>55</v>
      </c>
      <c r="E107" s="114"/>
      <c r="F107" s="127">
        <v>0</v>
      </c>
      <c r="G107" s="177"/>
      <c r="H107" s="116"/>
      <c r="K107" s="117"/>
      <c r="L107" s="117"/>
      <c r="M107" s="117"/>
      <c r="N107" s="117"/>
      <c r="O107" s="117"/>
    </row>
    <row r="108" spans="2:15" s="80" customFormat="1" x14ac:dyDescent="0.2">
      <c r="B108" s="265"/>
      <c r="C108" s="128"/>
      <c r="D108" s="123" t="s">
        <v>56</v>
      </c>
      <c r="E108" s="129"/>
      <c r="F108" s="128">
        <v>-100</v>
      </c>
      <c r="G108" s="128"/>
      <c r="H108" s="132"/>
      <c r="K108" s="117"/>
      <c r="L108" s="117"/>
      <c r="M108" s="117"/>
      <c r="N108" s="117"/>
      <c r="O108" s="117"/>
    </row>
    <row r="109" spans="2:15" x14ac:dyDescent="0.2">
      <c r="B109" s="264">
        <v>17</v>
      </c>
      <c r="C109" s="266" t="s">
        <v>50</v>
      </c>
      <c r="D109" s="267"/>
      <c r="E109" s="124" t="e">
        <f>VLOOKUP(C109,Puntajes!$B$9:$N$63,HLOOKUP($D$8,Puntajes!$C$7:$N$8,2,0),0)</f>
        <v>#N/A</v>
      </c>
      <c r="F109" s="174"/>
      <c r="G109" s="125">
        <f>+'COG-F-013'!C71</f>
        <v>0</v>
      </c>
      <c r="H109" s="179">
        <f>+IF(G109="","-",IF(G109=D110,F110,F111))</f>
        <v>-100</v>
      </c>
      <c r="K109" s="117" t="s">
        <v>240</v>
      </c>
      <c r="L109" s="117" t="s">
        <v>240</v>
      </c>
      <c r="M109" s="117" t="s">
        <v>240</v>
      </c>
      <c r="N109" s="117" t="s">
        <v>240</v>
      </c>
      <c r="O109" s="117" t="s">
        <v>240</v>
      </c>
    </row>
    <row r="110" spans="2:15" s="80" customFormat="1" x14ac:dyDescent="0.2">
      <c r="B110" s="260"/>
      <c r="C110" s="127"/>
      <c r="D110" s="113" t="s">
        <v>57</v>
      </c>
      <c r="E110" s="114"/>
      <c r="F110" s="127">
        <v>0</v>
      </c>
      <c r="G110" s="177"/>
      <c r="H110" s="116"/>
      <c r="K110" s="117"/>
      <c r="L110" s="117"/>
      <c r="M110" s="117"/>
      <c r="N110" s="117"/>
      <c r="O110" s="117"/>
    </row>
    <row r="111" spans="2:15" s="80" customFormat="1" x14ac:dyDescent="0.2">
      <c r="B111" s="265"/>
      <c r="C111" s="128"/>
      <c r="D111" s="123" t="s">
        <v>58</v>
      </c>
      <c r="E111" s="129"/>
      <c r="F111" s="128">
        <v>-100</v>
      </c>
      <c r="G111" s="128"/>
      <c r="H111" s="132"/>
      <c r="K111" s="117"/>
      <c r="L111" s="117"/>
      <c r="M111" s="117"/>
      <c r="N111" s="117"/>
      <c r="O111" s="117"/>
    </row>
    <row r="112" spans="2:15" x14ac:dyDescent="0.2">
      <c r="B112" s="264">
        <v>18</v>
      </c>
      <c r="C112" s="266" t="s">
        <v>245</v>
      </c>
      <c r="D112" s="267"/>
      <c r="E112" s="124" t="e">
        <f>VLOOKUP(C112,Puntajes!$B$9:$N$63,HLOOKUP($D$8,Puntajes!$C$7:$N$8,2,0),0)</f>
        <v>#N/A</v>
      </c>
      <c r="F112" s="174"/>
      <c r="G112" s="125">
        <f>+'COG-F-013'!C72</f>
        <v>0</v>
      </c>
      <c r="H112" s="179">
        <f>+IF(G112="","-",IF(G112=$D$113,$F$113,IF(G112=$D$114,$F$114,IF(G112=$D$115,$F$115,$F$116))))</f>
        <v>0</v>
      </c>
      <c r="K112" s="117" t="s">
        <v>240</v>
      </c>
      <c r="L112" s="117" t="s">
        <v>240</v>
      </c>
      <c r="M112" s="117" t="s">
        <v>240</v>
      </c>
      <c r="N112" s="117" t="s">
        <v>240</v>
      </c>
      <c r="O112" s="117" t="s">
        <v>240</v>
      </c>
    </row>
    <row r="113" spans="2:15" s="80" customFormat="1" x14ac:dyDescent="0.2">
      <c r="B113" s="260"/>
      <c r="C113" s="112"/>
      <c r="D113" s="180" t="s">
        <v>61</v>
      </c>
      <c r="E113" s="181"/>
      <c r="F113" s="127">
        <v>-100</v>
      </c>
      <c r="G113" s="177"/>
      <c r="H113" s="116"/>
      <c r="K113" s="117"/>
      <c r="L113" s="117"/>
      <c r="M113" s="117"/>
      <c r="N113" s="117"/>
      <c r="O113" s="117"/>
    </row>
    <row r="114" spans="2:15" s="80" customFormat="1" x14ac:dyDescent="0.2">
      <c r="B114" s="260"/>
      <c r="C114" s="118"/>
      <c r="D114" s="182" t="s">
        <v>62</v>
      </c>
      <c r="E114" s="183"/>
      <c r="F114" s="177">
        <v>-70</v>
      </c>
      <c r="G114" s="177"/>
      <c r="H114" s="116"/>
      <c r="K114" s="117"/>
      <c r="L114" s="117"/>
      <c r="M114" s="117"/>
      <c r="N114" s="117"/>
      <c r="O114" s="117"/>
    </row>
    <row r="115" spans="2:15" s="80" customFormat="1" x14ac:dyDescent="0.2">
      <c r="B115" s="260"/>
      <c r="C115" s="118"/>
      <c r="D115" s="182" t="s">
        <v>63</v>
      </c>
      <c r="E115" s="183"/>
      <c r="F115" s="177">
        <v>-1</v>
      </c>
      <c r="G115" s="177"/>
      <c r="H115" s="116"/>
      <c r="K115" s="117"/>
      <c r="L115" s="117"/>
      <c r="M115" s="117"/>
      <c r="N115" s="117"/>
      <c r="O115" s="117"/>
    </row>
    <row r="116" spans="2:15" s="80" customFormat="1" x14ac:dyDescent="0.2">
      <c r="B116" s="265"/>
      <c r="C116" s="122"/>
      <c r="D116" s="184" t="s">
        <v>64</v>
      </c>
      <c r="E116" s="185"/>
      <c r="F116" s="128">
        <v>0</v>
      </c>
      <c r="G116" s="128"/>
      <c r="H116" s="132"/>
      <c r="K116" s="117"/>
      <c r="L116" s="117"/>
      <c r="M116" s="117"/>
      <c r="N116" s="117"/>
      <c r="O116" s="117"/>
    </row>
    <row r="117" spans="2:15" x14ac:dyDescent="0.2">
      <c r="B117" s="264">
        <v>19</v>
      </c>
      <c r="C117" s="266" t="str">
        <f>+'COG-F-013'!B73</f>
        <v>Evaluación Sentinel de Empresas relacionadas</v>
      </c>
      <c r="D117" s="267"/>
      <c r="E117" s="124" t="e">
        <f>VLOOKUP(C117,Puntajes!$B$9:$N$63,HLOOKUP($D$8,Puntajes!$C$7:$N$8,2,0),0)</f>
        <v>#N/A</v>
      </c>
      <c r="F117" s="174"/>
      <c r="G117" s="125">
        <f>+'COG-F-013'!C73</f>
        <v>0</v>
      </c>
      <c r="H117" s="179">
        <f>+IF(G117="","-",IF(G117=$D$118,$F$118,IF(G117=$D$119,$F$119,IF(G117=$D$120,$F$120,$F$121))))</f>
        <v>0</v>
      </c>
      <c r="K117" s="117" t="s">
        <v>240</v>
      </c>
      <c r="L117" s="117" t="s">
        <v>240</v>
      </c>
      <c r="M117" s="117" t="s">
        <v>240</v>
      </c>
      <c r="N117" s="117" t="s">
        <v>240</v>
      </c>
      <c r="O117" s="117" t="s">
        <v>240</v>
      </c>
    </row>
    <row r="118" spans="2:15" s="80" customFormat="1" x14ac:dyDescent="0.2">
      <c r="B118" s="260"/>
      <c r="C118" s="112"/>
      <c r="D118" s="180" t="s">
        <v>61</v>
      </c>
      <c r="E118" s="181"/>
      <c r="F118" s="127">
        <v>-100</v>
      </c>
      <c r="G118" s="177"/>
      <c r="H118" s="116"/>
      <c r="K118" s="117"/>
      <c r="L118" s="117"/>
      <c r="M118" s="117"/>
      <c r="N118" s="117"/>
      <c r="O118" s="117"/>
    </row>
    <row r="119" spans="2:15" s="80" customFormat="1" x14ac:dyDescent="0.2">
      <c r="B119" s="260"/>
      <c r="C119" s="118"/>
      <c r="D119" s="182" t="s">
        <v>62</v>
      </c>
      <c r="E119" s="183"/>
      <c r="F119" s="177">
        <v>-70</v>
      </c>
      <c r="G119" s="177"/>
      <c r="H119" s="116"/>
      <c r="K119" s="117"/>
      <c r="L119" s="117"/>
      <c r="M119" s="117"/>
      <c r="N119" s="117"/>
      <c r="O119" s="117"/>
    </row>
    <row r="120" spans="2:15" s="80" customFormat="1" x14ac:dyDescent="0.2">
      <c r="B120" s="260"/>
      <c r="C120" s="118"/>
      <c r="D120" s="182" t="s">
        <v>63</v>
      </c>
      <c r="E120" s="183"/>
      <c r="F120" s="177">
        <v>-1</v>
      </c>
      <c r="G120" s="177"/>
      <c r="H120" s="116"/>
      <c r="K120" s="117"/>
      <c r="L120" s="117"/>
      <c r="M120" s="117"/>
      <c r="N120" s="117"/>
      <c r="O120" s="117"/>
    </row>
    <row r="121" spans="2:15" s="80" customFormat="1" x14ac:dyDescent="0.2">
      <c r="B121" s="265"/>
      <c r="C121" s="122"/>
      <c r="D121" s="184" t="s">
        <v>64</v>
      </c>
      <c r="E121" s="185"/>
      <c r="F121" s="128">
        <v>0</v>
      </c>
      <c r="G121" s="128"/>
      <c r="H121" s="132"/>
      <c r="K121" s="117"/>
      <c r="L121" s="117"/>
      <c r="M121" s="117"/>
      <c r="N121" s="117"/>
      <c r="O121" s="117"/>
    </row>
    <row r="122" spans="2:15" s="80" customFormat="1" x14ac:dyDescent="0.2">
      <c r="B122" s="324">
        <v>20</v>
      </c>
      <c r="C122" s="313" t="s">
        <v>119</v>
      </c>
      <c r="D122" s="313"/>
      <c r="E122" s="124" t="e">
        <f>VLOOKUP(C122,Puntajes!$B$9:$N$63,HLOOKUP($D$8,Puntajes!$C$7:$N$8,2,0),0)</f>
        <v>#N/A</v>
      </c>
      <c r="F122" s="186"/>
      <c r="G122" s="187" t="str">
        <f>IFERROR(+F123/F124,"")</f>
        <v/>
      </c>
      <c r="H122" s="188" t="str">
        <f>+IF(G122="","-",IF(G122&gt;$C$125,$F$125,IF(G122&gt;$C$126,$F$125,$F$127)))</f>
        <v>-</v>
      </c>
      <c r="K122" s="117" t="s">
        <v>240</v>
      </c>
      <c r="L122" s="117" t="s">
        <v>240</v>
      </c>
      <c r="M122" s="117" t="s">
        <v>241</v>
      </c>
      <c r="N122" s="117" t="s">
        <v>240</v>
      </c>
      <c r="O122" s="117" t="s">
        <v>240</v>
      </c>
    </row>
    <row r="123" spans="2:15" s="80" customFormat="1" x14ac:dyDescent="0.2">
      <c r="B123" s="325"/>
      <c r="C123" s="148" t="s">
        <v>107</v>
      </c>
      <c r="D123" s="149" t="s">
        <v>108</v>
      </c>
      <c r="E123" s="189"/>
      <c r="F123" s="190">
        <f>+'COG-F-013'!C74</f>
        <v>0</v>
      </c>
      <c r="G123" s="165"/>
      <c r="H123" s="191"/>
      <c r="K123" s="117"/>
      <c r="L123" s="117"/>
      <c r="M123" s="117"/>
      <c r="N123" s="117"/>
      <c r="O123" s="117"/>
    </row>
    <row r="124" spans="2:15" s="80" customFormat="1" x14ac:dyDescent="0.2">
      <c r="B124" s="325"/>
      <c r="C124" s="162" t="s">
        <v>109</v>
      </c>
      <c r="D124" s="163" t="s">
        <v>110</v>
      </c>
      <c r="E124" s="192"/>
      <c r="F124" s="193">
        <f>+F74</f>
        <v>0</v>
      </c>
      <c r="G124" s="165"/>
      <c r="H124" s="194"/>
      <c r="K124" s="117"/>
      <c r="L124" s="117"/>
      <c r="M124" s="117"/>
      <c r="N124" s="117"/>
      <c r="O124" s="117"/>
    </row>
    <row r="125" spans="2:15" s="80" customFormat="1" x14ac:dyDescent="0.2">
      <c r="B125" s="325"/>
      <c r="C125" s="162">
        <v>5</v>
      </c>
      <c r="D125" s="163" t="s">
        <v>111</v>
      </c>
      <c r="E125" s="192"/>
      <c r="F125" s="165">
        <v>10</v>
      </c>
      <c r="G125" s="165"/>
      <c r="H125" s="194"/>
      <c r="K125" s="117"/>
      <c r="L125" s="117"/>
      <c r="M125" s="117"/>
      <c r="N125" s="117"/>
      <c r="O125" s="117"/>
    </row>
    <row r="126" spans="2:15" s="80" customFormat="1" x14ac:dyDescent="0.2">
      <c r="B126" s="325"/>
      <c r="C126" s="162">
        <v>1</v>
      </c>
      <c r="D126" s="163" t="s">
        <v>112</v>
      </c>
      <c r="E126" s="192"/>
      <c r="F126" s="165">
        <v>50</v>
      </c>
      <c r="G126" s="165"/>
      <c r="H126" s="194"/>
      <c r="K126" s="117"/>
      <c r="L126" s="117"/>
      <c r="M126" s="117"/>
      <c r="N126" s="117"/>
      <c r="O126" s="117"/>
    </row>
    <row r="127" spans="2:15" s="80" customFormat="1" ht="13.5" thickBot="1" x14ac:dyDescent="0.25">
      <c r="B127" s="326"/>
      <c r="C127" s="195"/>
      <c r="D127" s="196" t="s">
        <v>113</v>
      </c>
      <c r="E127" s="197"/>
      <c r="F127" s="198">
        <v>100</v>
      </c>
      <c r="G127" s="198"/>
      <c r="H127" s="199"/>
      <c r="K127" s="117"/>
      <c r="L127" s="117"/>
      <c r="M127" s="117"/>
      <c r="N127" s="117"/>
      <c r="O127" s="117"/>
    </row>
    <row r="128" spans="2:15" ht="16.5" customHeight="1" thickBot="1" x14ac:dyDescent="0.25">
      <c r="B128" s="103" t="s">
        <v>141</v>
      </c>
      <c r="C128" s="271" t="s">
        <v>131</v>
      </c>
      <c r="D128" s="271"/>
      <c r="E128" s="104"/>
      <c r="F128" s="104" t="e">
        <f>+E129*F130+E134*F135+E138*F139+E143*F147+E153*F157</f>
        <v>#N/A</v>
      </c>
      <c r="G128" s="145"/>
      <c r="H128" s="106" t="e">
        <f>+SUMPRODUCT(E129:E157,H129:H157)</f>
        <v>#N/A</v>
      </c>
    </row>
    <row r="129" spans="2:21" x14ac:dyDescent="0.2">
      <c r="B129" s="299">
        <v>1</v>
      </c>
      <c r="C129" s="302" t="str">
        <f>+Puntajes!B36</f>
        <v>Distribución de instalaciones</v>
      </c>
      <c r="D129" s="303"/>
      <c r="E129" s="108" t="e">
        <f>VLOOKUP(C129,Puntajes!$B$9:$N$63,HLOOKUP($D$8,Puntajes!$C$7:$N$8,2,0),0)</f>
        <v>#N/A</v>
      </c>
      <c r="F129" s="109"/>
      <c r="G129" s="200">
        <f>+'COG-F-013'!C94</f>
        <v>0</v>
      </c>
      <c r="H129" s="111">
        <f>+IF(G129="","-",IF(G129&lt;=D133,F133,IF(G129&lt;D132,F132,IF(G129&lt;D131,F131,F130))))</f>
        <v>0</v>
      </c>
      <c r="K129" s="201"/>
      <c r="L129" s="117"/>
      <c r="M129" s="117"/>
      <c r="N129" s="202"/>
      <c r="O129" s="202"/>
      <c r="P129" s="203"/>
      <c r="S129" s="203"/>
      <c r="T129" s="203"/>
      <c r="U129" s="203"/>
    </row>
    <row r="130" spans="2:21" s="80" customFormat="1" x14ac:dyDescent="0.2">
      <c r="B130" s="300"/>
      <c r="C130" s="112" t="s">
        <v>96</v>
      </c>
      <c r="D130" s="204">
        <v>0.7</v>
      </c>
      <c r="E130" s="114"/>
      <c r="F130" s="115">
        <v>100</v>
      </c>
      <c r="G130" s="92"/>
      <c r="H130" s="116"/>
      <c r="K130" s="201"/>
      <c r="L130" s="117"/>
      <c r="M130" s="117"/>
      <c r="N130" s="117"/>
      <c r="O130" s="117"/>
      <c r="Q130" s="62"/>
      <c r="U130" s="205"/>
    </row>
    <row r="131" spans="2:21" s="80" customFormat="1" x14ac:dyDescent="0.2">
      <c r="B131" s="300"/>
      <c r="C131" s="118" t="s">
        <v>92</v>
      </c>
      <c r="D131" s="206">
        <v>0.7</v>
      </c>
      <c r="E131" s="120"/>
      <c r="F131" s="121">
        <v>70</v>
      </c>
      <c r="G131" s="92"/>
      <c r="H131" s="116"/>
      <c r="K131" s="117"/>
      <c r="L131" s="117"/>
      <c r="M131" s="117"/>
      <c r="N131" s="117"/>
      <c r="O131" s="117"/>
      <c r="U131" s="205"/>
    </row>
    <row r="132" spans="2:21" s="80" customFormat="1" x14ac:dyDescent="0.2">
      <c r="B132" s="300"/>
      <c r="C132" s="118" t="s">
        <v>92</v>
      </c>
      <c r="D132" s="206">
        <v>0.5</v>
      </c>
      <c r="E132" s="120"/>
      <c r="F132" s="121">
        <v>30</v>
      </c>
      <c r="G132" s="92"/>
      <c r="H132" s="116"/>
      <c r="K132" s="117"/>
      <c r="L132" s="117"/>
      <c r="M132" s="117"/>
      <c r="N132" s="117"/>
      <c r="O132" s="117"/>
    </row>
    <row r="133" spans="2:21" s="80" customFormat="1" x14ac:dyDescent="0.2">
      <c r="B133" s="301"/>
      <c r="C133" s="122" t="s">
        <v>227</v>
      </c>
      <c r="D133" s="207">
        <v>0.3</v>
      </c>
      <c r="E133" s="129"/>
      <c r="F133" s="130">
        <v>0</v>
      </c>
      <c r="G133" s="131"/>
      <c r="H133" s="132"/>
      <c r="K133" s="117"/>
      <c r="L133" s="117"/>
      <c r="M133" s="117"/>
      <c r="N133" s="117"/>
      <c r="O133" s="117"/>
    </row>
    <row r="134" spans="2:21" s="80" customFormat="1" x14ac:dyDescent="0.2">
      <c r="B134" s="300">
        <v>2</v>
      </c>
      <c r="C134" s="268" t="str">
        <f>+Puntajes!B37</f>
        <v>Situación de instalaciones</v>
      </c>
      <c r="D134" s="269"/>
      <c r="E134" s="158" t="e">
        <f>VLOOKUP(C134,Puntajes!$B$9:$N$63,HLOOKUP($D$8,Puntajes!$C$7:$N$8,2,0),0)</f>
        <v>#N/A</v>
      </c>
      <c r="F134" s="208"/>
      <c r="G134" s="209">
        <f>+'COG-F-013'!C92</f>
        <v>0</v>
      </c>
      <c r="H134" s="161">
        <f>+IFERROR(IF(G134=D135,F135,IF(G134=D136,F136,F137)),0)</f>
        <v>0</v>
      </c>
      <c r="K134" s="117"/>
      <c r="L134" s="117"/>
      <c r="M134" s="117"/>
      <c r="N134" s="117"/>
      <c r="O134" s="117"/>
    </row>
    <row r="135" spans="2:21" s="80" customFormat="1" x14ac:dyDescent="0.2">
      <c r="B135" s="300"/>
      <c r="C135" s="112" t="s">
        <v>105</v>
      </c>
      <c r="D135" s="113" t="str">
        <f>+Datos!B67</f>
        <v>Propio</v>
      </c>
      <c r="E135" s="114"/>
      <c r="F135" s="115">
        <v>100</v>
      </c>
      <c r="G135" s="92"/>
      <c r="H135" s="116"/>
      <c r="K135" s="117"/>
      <c r="L135" s="117"/>
      <c r="M135" s="117"/>
      <c r="N135" s="117"/>
      <c r="O135" s="117"/>
    </row>
    <row r="136" spans="2:21" s="80" customFormat="1" x14ac:dyDescent="0.2">
      <c r="B136" s="300"/>
      <c r="C136" s="118" t="s">
        <v>104</v>
      </c>
      <c r="D136" s="119" t="str">
        <f>+Datos!B68</f>
        <v>Alquilado</v>
      </c>
      <c r="E136" s="120"/>
      <c r="F136" s="121">
        <v>50</v>
      </c>
      <c r="G136" s="92"/>
      <c r="H136" s="116"/>
      <c r="K136" s="117"/>
      <c r="L136" s="117"/>
      <c r="M136" s="117"/>
      <c r="N136" s="117"/>
      <c r="O136" s="117"/>
    </row>
    <row r="137" spans="2:21" s="80" customFormat="1" x14ac:dyDescent="0.2">
      <c r="B137" s="301"/>
      <c r="C137" s="122" t="s">
        <v>103</v>
      </c>
      <c r="D137" s="123" t="str">
        <f>+Datos!B69</f>
        <v>No presenta</v>
      </c>
      <c r="E137" s="129"/>
      <c r="F137" s="130">
        <v>0</v>
      </c>
      <c r="G137" s="131"/>
      <c r="H137" s="132"/>
      <c r="K137" s="117"/>
      <c r="L137" s="117"/>
      <c r="M137" s="117"/>
      <c r="N137" s="117"/>
      <c r="O137" s="117"/>
    </row>
    <row r="138" spans="2:21" s="80" customFormat="1" x14ac:dyDescent="0.2">
      <c r="B138" s="300">
        <v>3</v>
      </c>
      <c r="C138" s="268" t="str">
        <f>+Puntajes!B38</f>
        <v>Metrado de instalaciones (m2)</v>
      </c>
      <c r="D138" s="269"/>
      <c r="E138" s="158" t="e">
        <f>VLOOKUP(C138,Puntajes!$B$9:$N$63,HLOOKUP($D$8,Puntajes!$C$7:$N$8,2,0),0)</f>
        <v>#N/A</v>
      </c>
      <c r="F138" s="208"/>
      <c r="G138" s="209">
        <f>+'COG-F-013'!C93</f>
        <v>0</v>
      </c>
      <c r="H138" s="161">
        <f>+IF(G138="","-",IF(G138&lt;$D$142,$F$142,IF(G138&lt;=$D$141,$F$141,IF(G138&lt;=$D$140,$F$140,$F$139))))</f>
        <v>0</v>
      </c>
      <c r="K138" s="117"/>
      <c r="L138" s="117"/>
      <c r="M138" s="117"/>
      <c r="N138" s="117"/>
      <c r="O138" s="117"/>
    </row>
    <row r="139" spans="2:21" s="80" customFormat="1" x14ac:dyDescent="0.2">
      <c r="B139" s="300"/>
      <c r="C139" s="112" t="s">
        <v>118</v>
      </c>
      <c r="D139" s="113">
        <v>200</v>
      </c>
      <c r="E139" s="114"/>
      <c r="F139" s="115">
        <v>100</v>
      </c>
      <c r="G139" s="92"/>
      <c r="H139" s="116"/>
      <c r="K139" s="117"/>
      <c r="L139" s="117"/>
      <c r="M139" s="117"/>
      <c r="N139" s="117"/>
      <c r="O139" s="117"/>
    </row>
    <row r="140" spans="2:21" s="80" customFormat="1" x14ac:dyDescent="0.2">
      <c r="B140" s="300"/>
      <c r="C140" s="118" t="s">
        <v>227</v>
      </c>
      <c r="D140" s="119">
        <v>200</v>
      </c>
      <c r="E140" s="120"/>
      <c r="F140" s="121">
        <v>70</v>
      </c>
      <c r="G140" s="92"/>
      <c r="H140" s="116"/>
      <c r="K140" s="117"/>
      <c r="L140" s="117"/>
      <c r="M140" s="117"/>
      <c r="N140" s="117"/>
      <c r="O140" s="117"/>
    </row>
    <row r="141" spans="2:21" s="80" customFormat="1" x14ac:dyDescent="0.2">
      <c r="B141" s="300"/>
      <c r="C141" s="118" t="s">
        <v>227</v>
      </c>
      <c r="D141" s="119">
        <v>50</v>
      </c>
      <c r="E141" s="120"/>
      <c r="F141" s="121">
        <v>30</v>
      </c>
      <c r="G141" s="92"/>
      <c r="H141" s="116"/>
      <c r="K141" s="117"/>
      <c r="L141" s="117"/>
      <c r="M141" s="117"/>
      <c r="N141" s="117"/>
      <c r="O141" s="117"/>
    </row>
    <row r="142" spans="2:21" s="80" customFormat="1" x14ac:dyDescent="0.2">
      <c r="B142" s="301"/>
      <c r="C142" s="122" t="s">
        <v>92</v>
      </c>
      <c r="D142" s="123">
        <v>20</v>
      </c>
      <c r="E142" s="129"/>
      <c r="F142" s="130">
        <v>0</v>
      </c>
      <c r="G142" s="131"/>
      <c r="H142" s="132"/>
      <c r="K142" s="117"/>
      <c r="L142" s="117"/>
      <c r="M142" s="117"/>
      <c r="N142" s="117"/>
      <c r="O142" s="117"/>
    </row>
    <row r="143" spans="2:21" x14ac:dyDescent="0.2">
      <c r="B143" s="260">
        <v>4</v>
      </c>
      <c r="C143" s="268" t="s">
        <v>116</v>
      </c>
      <c r="D143" s="269"/>
      <c r="E143" s="158" t="e">
        <f>VLOOKUP(C143,Puntajes!$B$9:$N$63,HLOOKUP($D$8,Puntajes!$C$7:$N$8,2,0),0)</f>
        <v>#N/A</v>
      </c>
      <c r="F143" s="208"/>
      <c r="G143" s="209" t="str">
        <f>IFERROR(AVERAGE('COG-F-013'!C82:C87),"")</f>
        <v/>
      </c>
      <c r="H143" s="161" t="str">
        <f>+IF(G143="","-",IF(G143&lt;$D$144,$F$144,IF(G143&lt;$D$145,$F$145,IF(G143&lt;$D$146,$F$146,$F$147))))</f>
        <v>-</v>
      </c>
      <c r="K143" s="117" t="s">
        <v>240</v>
      </c>
      <c r="L143" s="117" t="s">
        <v>240</v>
      </c>
      <c r="M143" s="117" t="s">
        <v>240</v>
      </c>
      <c r="N143" s="117" t="s">
        <v>240</v>
      </c>
      <c r="O143" s="117" t="s">
        <v>240</v>
      </c>
    </row>
    <row r="144" spans="2:21" s="80" customFormat="1" x14ac:dyDescent="0.2">
      <c r="B144" s="260"/>
      <c r="C144" s="112" t="s">
        <v>92</v>
      </c>
      <c r="D144" s="113">
        <f>+IF('COG-F-013'!$C$9='COG-F-014'!$K$37,'COG-F-014'!K144,IF('COG-F-013'!$C$9='COG-F-014'!$L$37,'COG-F-014'!L144,IF('COG-F-013'!$C$9='COG-F-014'!$M$37,'COG-F-014'!M144,IF('COG-F-013'!$C$9='COG-F-014'!$N$37,'COG-F-014'!N144,IF('COG-F-013'!$C$9='COG-F-014'!$O$37,'COG-F-014'!O144,'COG-F-014'!P144)))))</f>
        <v>10</v>
      </c>
      <c r="E144" s="114"/>
      <c r="F144" s="115">
        <v>10</v>
      </c>
      <c r="G144" s="92"/>
      <c r="H144" s="116"/>
      <c r="K144" s="117">
        <v>10</v>
      </c>
      <c r="L144" s="117">
        <v>10</v>
      </c>
      <c r="M144" s="117">
        <v>3</v>
      </c>
      <c r="N144" s="117">
        <v>5</v>
      </c>
      <c r="O144" s="117">
        <v>10</v>
      </c>
      <c r="P144" s="117">
        <v>10</v>
      </c>
    </row>
    <row r="145" spans="2:16" s="80" customFormat="1" x14ac:dyDescent="0.2">
      <c r="B145" s="260"/>
      <c r="C145" s="118" t="s">
        <v>92</v>
      </c>
      <c r="D145" s="119">
        <f>+IF('COG-F-013'!$C$9='COG-F-014'!$K$37,'COG-F-014'!K145,IF('COG-F-013'!$C$9='COG-F-014'!$L$37,'COG-F-014'!L145,IF('COG-F-013'!$C$9='COG-F-014'!$M$37,'COG-F-014'!M145,IF('COG-F-013'!$C$9='COG-F-014'!$N$37,'COG-F-014'!N145,IF('COG-F-013'!$C$9='COG-F-014'!$O$37,'COG-F-014'!O145,'COG-F-014'!P145)))))</f>
        <v>30</v>
      </c>
      <c r="E145" s="120"/>
      <c r="F145" s="121">
        <v>30</v>
      </c>
      <c r="G145" s="92"/>
      <c r="H145" s="116"/>
      <c r="K145" s="117">
        <v>30</v>
      </c>
      <c r="L145" s="117">
        <v>30</v>
      </c>
      <c r="M145" s="117">
        <v>5</v>
      </c>
      <c r="N145" s="117">
        <v>10</v>
      </c>
      <c r="O145" s="117">
        <v>30</v>
      </c>
      <c r="P145" s="117">
        <v>30</v>
      </c>
    </row>
    <row r="146" spans="2:16" s="80" customFormat="1" x14ac:dyDescent="0.2">
      <c r="B146" s="260"/>
      <c r="C146" s="118" t="s">
        <v>92</v>
      </c>
      <c r="D146" s="119">
        <f>+IF('COG-F-013'!$C$9='COG-F-014'!$K$37,'COG-F-014'!K146,IF('COG-F-013'!$C$9='COG-F-014'!$L$37,'COG-F-014'!L146,IF('COG-F-013'!$C$9='COG-F-014'!$M$37,'COG-F-014'!M146,IF('COG-F-013'!$C$9='COG-F-014'!$N$37,'COG-F-014'!N146,IF('COG-F-013'!$C$9='COG-F-014'!$O$37,'COG-F-014'!O146,'COG-F-014'!P146)))))</f>
        <v>50</v>
      </c>
      <c r="E146" s="120"/>
      <c r="F146" s="121">
        <v>70</v>
      </c>
      <c r="G146" s="92"/>
      <c r="H146" s="116"/>
      <c r="K146" s="117">
        <v>50</v>
      </c>
      <c r="L146" s="117">
        <v>50</v>
      </c>
      <c r="M146" s="117">
        <v>10</v>
      </c>
      <c r="N146" s="117">
        <v>15</v>
      </c>
      <c r="O146" s="117">
        <v>50</v>
      </c>
      <c r="P146" s="117">
        <v>50</v>
      </c>
    </row>
    <row r="147" spans="2:16" s="80" customFormat="1" x14ac:dyDescent="0.2">
      <c r="B147" s="265"/>
      <c r="C147" s="122" t="s">
        <v>96</v>
      </c>
      <c r="D147" s="123">
        <f>+IF('COG-F-013'!$C$9='COG-F-014'!$K$37,'COG-F-014'!K147,IF('COG-F-013'!$C$9='COG-F-014'!$L$37,'COG-F-014'!L147,IF('COG-F-013'!$C$9='COG-F-014'!$M$37,'COG-F-014'!M147,IF('COG-F-013'!$C$9='COG-F-014'!$N$37,'COG-F-014'!N147,IF('COG-F-013'!$C$9='COG-F-014'!$O$37,'COG-F-014'!O147,'COG-F-014'!P147)))))</f>
        <v>50</v>
      </c>
      <c r="E147" s="129"/>
      <c r="F147" s="130">
        <v>100</v>
      </c>
      <c r="G147" s="131"/>
      <c r="H147" s="132"/>
      <c r="K147" s="117">
        <v>50</v>
      </c>
      <c r="L147" s="117">
        <v>50</v>
      </c>
      <c r="M147" s="117">
        <v>10</v>
      </c>
      <c r="N147" s="117">
        <v>15</v>
      </c>
      <c r="O147" s="117">
        <v>50</v>
      </c>
      <c r="P147" s="117">
        <v>50</v>
      </c>
    </row>
    <row r="148" spans="2:16" x14ac:dyDescent="0.2">
      <c r="B148" s="264">
        <v>5</v>
      </c>
      <c r="C148" s="270" t="s">
        <v>117</v>
      </c>
      <c r="D148" s="270"/>
      <c r="E148" s="124" t="e">
        <f>VLOOKUP(C148,Puntajes!$B$9:$N$63,HLOOKUP($D$8,Puntajes!$C$7:$N$8,2,0),0)</f>
        <v>#N/A</v>
      </c>
      <c r="F148" s="82"/>
      <c r="G148" s="210" t="str">
        <f>IFERROR(AVERAGE('COG-F-013'!D82:D87)/(G143+AVERAGE('COG-F-013'!D82:D87)),"")</f>
        <v/>
      </c>
      <c r="H148" s="179" t="str">
        <f>+IF(G148="","-",IF(G148&gt;$D$149,$F$149,IF(G148&gt;$D$150,$F$150,IF(G148&gt;$D$151,$F$151,$F$152))))</f>
        <v>-</v>
      </c>
      <c r="K148" s="117" t="s">
        <v>240</v>
      </c>
      <c r="L148" s="117" t="s">
        <v>240</v>
      </c>
      <c r="M148" s="117" t="s">
        <v>240</v>
      </c>
      <c r="N148" s="117" t="s">
        <v>240</v>
      </c>
      <c r="O148" s="117" t="s">
        <v>240</v>
      </c>
    </row>
    <row r="149" spans="2:16" s="80" customFormat="1" x14ac:dyDescent="0.2">
      <c r="B149" s="260"/>
      <c r="C149" s="112" t="s">
        <v>118</v>
      </c>
      <c r="D149" s="204">
        <v>0.7</v>
      </c>
      <c r="E149" s="211"/>
      <c r="F149" s="115">
        <v>-100</v>
      </c>
      <c r="G149" s="92"/>
      <c r="H149" s="116"/>
      <c r="J149" s="212"/>
      <c r="K149" s="117"/>
      <c r="L149" s="117"/>
      <c r="M149" s="117"/>
      <c r="N149" s="117"/>
      <c r="O149" s="117"/>
    </row>
    <row r="150" spans="2:16" s="80" customFormat="1" x14ac:dyDescent="0.2">
      <c r="B150" s="260"/>
      <c r="C150" s="118" t="s">
        <v>118</v>
      </c>
      <c r="D150" s="206">
        <v>0.5</v>
      </c>
      <c r="E150" s="213"/>
      <c r="F150" s="121">
        <v>-70</v>
      </c>
      <c r="G150" s="92"/>
      <c r="H150" s="116"/>
      <c r="J150" s="212"/>
      <c r="K150" s="117"/>
      <c r="L150" s="117"/>
      <c r="M150" s="117"/>
      <c r="N150" s="117"/>
      <c r="O150" s="117"/>
    </row>
    <row r="151" spans="2:16" s="80" customFormat="1" x14ac:dyDescent="0.2">
      <c r="B151" s="260"/>
      <c r="C151" s="118" t="s">
        <v>118</v>
      </c>
      <c r="D151" s="206">
        <v>0.3</v>
      </c>
      <c r="E151" s="213"/>
      <c r="F151" s="121">
        <v>-30</v>
      </c>
      <c r="G151" s="92"/>
      <c r="H151" s="116"/>
      <c r="K151" s="117"/>
      <c r="L151" s="117"/>
      <c r="M151" s="117"/>
      <c r="N151" s="117"/>
      <c r="O151" s="117"/>
    </row>
    <row r="152" spans="2:16" s="80" customFormat="1" x14ac:dyDescent="0.2">
      <c r="B152" s="265"/>
      <c r="C152" s="122" t="s">
        <v>227</v>
      </c>
      <c r="D152" s="207">
        <v>0.3</v>
      </c>
      <c r="E152" s="214"/>
      <c r="F152" s="130">
        <v>0</v>
      </c>
      <c r="G152" s="131"/>
      <c r="H152" s="132"/>
      <c r="K152" s="117"/>
      <c r="L152" s="117"/>
      <c r="M152" s="117"/>
      <c r="N152" s="117"/>
      <c r="O152" s="117"/>
    </row>
    <row r="153" spans="2:16" x14ac:dyDescent="0.2">
      <c r="B153" s="264">
        <v>6</v>
      </c>
      <c r="C153" s="270" t="s">
        <v>71</v>
      </c>
      <c r="D153" s="270"/>
      <c r="E153" s="124" t="e">
        <f>VLOOKUP(C153,Puntajes!$B$9:$N$63,HLOOKUP($D$8,Puntajes!$C$7:$N$8,2,0),0)</f>
        <v>#N/A</v>
      </c>
      <c r="F153" s="82"/>
      <c r="G153" s="125">
        <f>'COG-F-013'!C99</f>
        <v>0</v>
      </c>
      <c r="H153" s="126">
        <f>+IF(G153="","-",IF(G153=$D$154,$F$154,IF(G153=$D$155,$F$155,IF(G153=$D$156,$F$156,$F$157))))</f>
        <v>100</v>
      </c>
      <c r="K153" s="117" t="s">
        <v>240</v>
      </c>
      <c r="L153" s="117" t="s">
        <v>240</v>
      </c>
      <c r="M153" s="117" t="s">
        <v>240</v>
      </c>
      <c r="N153" s="117" t="s">
        <v>240</v>
      </c>
      <c r="O153" s="117" t="s">
        <v>240</v>
      </c>
    </row>
    <row r="154" spans="2:16" s="80" customFormat="1" x14ac:dyDescent="0.2">
      <c r="B154" s="260"/>
      <c r="C154" s="127" t="s">
        <v>106</v>
      </c>
      <c r="D154" s="113" t="s">
        <v>67</v>
      </c>
      <c r="E154" s="114"/>
      <c r="F154" s="115">
        <v>10</v>
      </c>
      <c r="G154" s="92"/>
      <c r="H154" s="116"/>
      <c r="K154" s="117"/>
      <c r="L154" s="117"/>
      <c r="M154" s="117"/>
      <c r="N154" s="117"/>
      <c r="O154" s="117"/>
    </row>
    <row r="155" spans="2:16" s="80" customFormat="1" x14ac:dyDescent="0.2">
      <c r="B155" s="260"/>
      <c r="C155" s="177" t="s">
        <v>103</v>
      </c>
      <c r="D155" s="119" t="s">
        <v>68</v>
      </c>
      <c r="E155" s="120"/>
      <c r="F155" s="121">
        <v>30</v>
      </c>
      <c r="G155" s="92"/>
      <c r="H155" s="116"/>
      <c r="K155" s="117"/>
      <c r="L155" s="117"/>
      <c r="M155" s="117"/>
      <c r="N155" s="117"/>
      <c r="O155" s="117"/>
    </row>
    <row r="156" spans="2:16" s="80" customFormat="1" x14ac:dyDescent="0.2">
      <c r="B156" s="260"/>
      <c r="C156" s="177" t="s">
        <v>104</v>
      </c>
      <c r="D156" s="119" t="s">
        <v>69</v>
      </c>
      <c r="E156" s="120"/>
      <c r="F156" s="121">
        <v>70</v>
      </c>
      <c r="G156" s="92"/>
      <c r="H156" s="116"/>
      <c r="K156" s="117"/>
      <c r="L156" s="117"/>
      <c r="M156" s="117"/>
      <c r="N156" s="117"/>
      <c r="O156" s="117"/>
    </row>
    <row r="157" spans="2:16" s="80" customFormat="1" ht="13.5" thickBot="1" x14ac:dyDescent="0.25">
      <c r="B157" s="261"/>
      <c r="C157" s="139" t="s">
        <v>105</v>
      </c>
      <c r="D157" s="140" t="s">
        <v>70</v>
      </c>
      <c r="E157" s="141"/>
      <c r="F157" s="142">
        <v>100</v>
      </c>
      <c r="G157" s="143"/>
      <c r="H157" s="144"/>
      <c r="K157" s="117"/>
      <c r="L157" s="117"/>
      <c r="M157" s="117"/>
      <c r="N157" s="117"/>
      <c r="O157" s="117"/>
    </row>
    <row r="158" spans="2:16" ht="16.5" customHeight="1" thickBot="1" x14ac:dyDescent="0.25">
      <c r="B158" s="103" t="s">
        <v>142</v>
      </c>
      <c r="C158" s="271" t="s">
        <v>140</v>
      </c>
      <c r="D158" s="271"/>
      <c r="E158" s="104"/>
      <c r="F158" s="104" t="e">
        <f>+E159*F162+E169*F170+F164*E163</f>
        <v>#N/A</v>
      </c>
      <c r="G158" s="145"/>
      <c r="H158" s="106" t="e">
        <f>+SUMPRODUCT(E159:E190,H159:H190)</f>
        <v>#N/A</v>
      </c>
    </row>
    <row r="159" spans="2:16" x14ac:dyDescent="0.2">
      <c r="B159" s="330">
        <v>1</v>
      </c>
      <c r="C159" s="332" t="s">
        <v>257</v>
      </c>
      <c r="D159" s="332"/>
      <c r="E159" s="158" t="e">
        <f>VLOOKUP(C159,Puntajes!$B$9:$N$63,HLOOKUP($D$8,Puntajes!$C$7:$N$8,2,0),0)</f>
        <v>#N/A</v>
      </c>
      <c r="F159" s="215"/>
      <c r="G159" s="216">
        <f>+'COG-F-013'!C113</f>
        <v>0</v>
      </c>
      <c r="H159" s="217">
        <f>+IF(G159="","-",IF(G159=D160,F160,IF(G159=D161,F161,IF(G159=D162,F162,0))))</f>
        <v>0</v>
      </c>
      <c r="K159" s="117" t="s">
        <v>240</v>
      </c>
      <c r="L159" s="117" t="s">
        <v>240</v>
      </c>
      <c r="M159" s="117" t="s">
        <v>240</v>
      </c>
      <c r="N159" s="117" t="s">
        <v>240</v>
      </c>
      <c r="O159" s="117" t="s">
        <v>240</v>
      </c>
    </row>
    <row r="160" spans="2:16" x14ac:dyDescent="0.2">
      <c r="B160" s="330"/>
      <c r="C160" s="127"/>
      <c r="D160" s="113" t="s">
        <v>242</v>
      </c>
      <c r="E160" s="121"/>
      <c r="F160" s="121">
        <v>0</v>
      </c>
      <c r="G160" s="92"/>
      <c r="H160" s="116"/>
      <c r="K160" s="117"/>
      <c r="L160" s="117"/>
      <c r="M160" s="117"/>
      <c r="N160" s="117"/>
      <c r="O160" s="117"/>
    </row>
    <row r="161" spans="2:15" x14ac:dyDescent="0.2">
      <c r="B161" s="330"/>
      <c r="C161" s="177"/>
      <c r="D161" s="218" t="s">
        <v>244</v>
      </c>
      <c r="E161" s="219"/>
      <c r="F161" s="121">
        <v>50</v>
      </c>
      <c r="G161" s="92"/>
      <c r="H161" s="116"/>
      <c r="K161" s="117"/>
      <c r="L161" s="117"/>
      <c r="M161" s="117"/>
      <c r="N161" s="117"/>
      <c r="O161" s="117"/>
    </row>
    <row r="162" spans="2:15" x14ac:dyDescent="0.2">
      <c r="B162" s="331"/>
      <c r="C162" s="177"/>
      <c r="D162" s="218" t="s">
        <v>243</v>
      </c>
      <c r="E162" s="219"/>
      <c r="F162" s="121">
        <v>100</v>
      </c>
      <c r="G162" s="92"/>
      <c r="H162" s="116"/>
      <c r="K162" s="117"/>
      <c r="L162" s="117"/>
      <c r="M162" s="117"/>
      <c r="N162" s="117"/>
      <c r="O162" s="117"/>
    </row>
    <row r="163" spans="2:15" x14ac:dyDescent="0.2">
      <c r="B163" s="327">
        <v>2</v>
      </c>
      <c r="C163" s="333" t="s">
        <v>255</v>
      </c>
      <c r="D163" s="334"/>
      <c r="E163" s="124" t="e">
        <f>VLOOKUP(C163,Puntajes!$B$9:$N$63,HLOOKUP($D$8,Puntajes!$C$7:$N$8,2,0),0)</f>
        <v>#N/A</v>
      </c>
      <c r="F163" s="69"/>
      <c r="G163" s="69">
        <f>+IFERROR('COG-F-013'!C8,0)</f>
        <v>0</v>
      </c>
      <c r="H163" s="220">
        <f>+IF(G163=0,F165,F164)</f>
        <v>0</v>
      </c>
    </row>
    <row r="164" spans="2:15" x14ac:dyDescent="0.2">
      <c r="B164" s="328"/>
      <c r="C164" s="127"/>
      <c r="D164" s="113" t="s">
        <v>124</v>
      </c>
      <c r="E164" s="221"/>
      <c r="F164" s="115">
        <v>100</v>
      </c>
      <c r="G164" s="135"/>
      <c r="H164" s="222"/>
    </row>
    <row r="165" spans="2:15" ht="16.5" customHeight="1" x14ac:dyDescent="0.2">
      <c r="B165" s="329"/>
      <c r="C165" s="128"/>
      <c r="D165" s="123" t="s">
        <v>125</v>
      </c>
      <c r="E165" s="223"/>
      <c r="F165" s="130">
        <v>0</v>
      </c>
      <c r="G165" s="131"/>
      <c r="H165" s="132"/>
    </row>
    <row r="166" spans="2:15" x14ac:dyDescent="0.2">
      <c r="B166" s="260">
        <v>3</v>
      </c>
      <c r="C166" s="268" t="s">
        <v>0</v>
      </c>
      <c r="D166" s="269"/>
      <c r="E166" s="158" t="e">
        <f>VLOOKUP(C166,Puntajes!$B$9:$N$63,HLOOKUP($D$8,Puntajes!$C$7:$N$8,2,0),0)</f>
        <v>#N/A</v>
      </c>
      <c r="F166" s="208"/>
      <c r="G166" s="224">
        <f>+'COG-F-013'!C112</f>
        <v>0</v>
      </c>
      <c r="H166" s="225">
        <f>+IF(G166="","-",IF(G166=D167,F167,F168))</f>
        <v>0</v>
      </c>
      <c r="K166" s="117"/>
      <c r="L166" s="117"/>
      <c r="M166" s="117"/>
      <c r="N166" s="117"/>
      <c r="O166" s="117"/>
    </row>
    <row r="167" spans="2:15" s="80" customFormat="1" x14ac:dyDescent="0.2">
      <c r="B167" s="260"/>
      <c r="C167" s="127"/>
      <c r="D167" s="113" t="s">
        <v>124</v>
      </c>
      <c r="E167" s="114"/>
      <c r="F167" s="115">
        <v>100</v>
      </c>
      <c r="G167" s="92"/>
      <c r="H167" s="116"/>
      <c r="K167" s="117"/>
      <c r="L167" s="117"/>
      <c r="M167" s="117"/>
      <c r="N167" s="117"/>
      <c r="O167" s="117"/>
    </row>
    <row r="168" spans="2:15" s="80" customFormat="1" x14ac:dyDescent="0.2">
      <c r="B168" s="265"/>
      <c r="C168" s="128"/>
      <c r="D168" s="123" t="s">
        <v>125</v>
      </c>
      <c r="E168" s="129"/>
      <c r="F168" s="130">
        <v>0</v>
      </c>
      <c r="G168" s="131"/>
      <c r="H168" s="132"/>
      <c r="K168" s="117"/>
      <c r="L168" s="117"/>
      <c r="M168" s="117"/>
      <c r="N168" s="117"/>
      <c r="O168" s="117"/>
    </row>
    <row r="169" spans="2:15" x14ac:dyDescent="0.2">
      <c r="B169" s="260">
        <v>4</v>
      </c>
      <c r="C169" s="268" t="s">
        <v>229</v>
      </c>
      <c r="D169" s="269"/>
      <c r="E169" s="158" t="e">
        <f>VLOOKUP(C169,Puntajes!$B$9:$N$63,HLOOKUP($D$8,Puntajes!$C$7:$N$8,2,0),0)</f>
        <v>#N/A</v>
      </c>
      <c r="F169" s="208"/>
      <c r="G169" s="224">
        <f>+'COG-F-013'!C114</f>
        <v>0</v>
      </c>
      <c r="H169" s="161">
        <f>+IF(G169="","-",IF(G169=D170,F170,F171))</f>
        <v>0</v>
      </c>
    </row>
    <row r="170" spans="2:15" s="80" customFormat="1" x14ac:dyDescent="0.2">
      <c r="B170" s="260"/>
      <c r="C170" s="127"/>
      <c r="D170" s="113" t="s">
        <v>124</v>
      </c>
      <c r="E170" s="114"/>
      <c r="F170" s="115">
        <v>100</v>
      </c>
      <c r="G170" s="92"/>
      <c r="H170" s="116"/>
      <c r="K170" s="117"/>
      <c r="L170" s="117"/>
      <c r="M170" s="117"/>
      <c r="N170" s="117"/>
      <c r="O170" s="117"/>
    </row>
    <row r="171" spans="2:15" s="80" customFormat="1" x14ac:dyDescent="0.2">
      <c r="B171" s="265"/>
      <c r="C171" s="128"/>
      <c r="D171" s="123" t="s">
        <v>125</v>
      </c>
      <c r="E171" s="129"/>
      <c r="F171" s="130">
        <v>0</v>
      </c>
      <c r="G171" s="131"/>
      <c r="H171" s="132"/>
      <c r="K171" s="117"/>
      <c r="L171" s="117"/>
      <c r="M171" s="117"/>
      <c r="N171" s="117"/>
      <c r="O171" s="117"/>
    </row>
    <row r="172" spans="2:15" x14ac:dyDescent="0.2">
      <c r="B172" s="264">
        <v>5</v>
      </c>
      <c r="C172" s="266" t="s">
        <v>188</v>
      </c>
      <c r="D172" s="267"/>
      <c r="E172" s="124" t="e">
        <f>VLOOKUP(C172,Puntajes!$B$9:$N$63,HLOOKUP($D$8,Puntajes!$C$7:$N$8,2,0),0)</f>
        <v>#N/A</v>
      </c>
      <c r="F172" s="82"/>
      <c r="G172" s="125">
        <f>'COG-F-013'!C115</f>
        <v>0</v>
      </c>
      <c r="H172" s="226">
        <f>IFERROR(VLOOKUP(G172,D173:F178,3,0),0)</f>
        <v>0</v>
      </c>
    </row>
    <row r="173" spans="2:15" s="80" customFormat="1" x14ac:dyDescent="0.2">
      <c r="B173" s="260"/>
      <c r="C173" s="127"/>
      <c r="D173" s="113" t="s">
        <v>125</v>
      </c>
      <c r="E173" s="115"/>
      <c r="F173" s="115">
        <v>0</v>
      </c>
      <c r="G173" s="92"/>
      <c r="H173" s="116"/>
      <c r="K173" s="117"/>
      <c r="L173" s="117"/>
      <c r="M173" s="117"/>
      <c r="N173" s="117"/>
      <c r="O173" s="117"/>
    </row>
    <row r="174" spans="2:15" s="80" customFormat="1" x14ac:dyDescent="0.2">
      <c r="B174" s="260"/>
      <c r="C174" s="177"/>
      <c r="D174" s="218" t="s">
        <v>189</v>
      </c>
      <c r="E174" s="219"/>
      <c r="F174" s="121">
        <v>100</v>
      </c>
      <c r="G174" s="92"/>
      <c r="H174" s="116"/>
      <c r="K174" s="117"/>
      <c r="L174" s="117"/>
      <c r="M174" s="117"/>
      <c r="N174" s="117"/>
      <c r="O174" s="117"/>
    </row>
    <row r="175" spans="2:15" s="80" customFormat="1" x14ac:dyDescent="0.2">
      <c r="B175" s="260"/>
      <c r="C175" s="177"/>
      <c r="D175" s="218" t="s">
        <v>190</v>
      </c>
      <c r="E175" s="219"/>
      <c r="F175" s="121">
        <v>90</v>
      </c>
      <c r="G175" s="92"/>
      <c r="H175" s="116"/>
      <c r="K175" s="117"/>
      <c r="L175" s="117"/>
      <c r="M175" s="117"/>
      <c r="N175" s="117"/>
      <c r="O175" s="117"/>
    </row>
    <row r="176" spans="2:15" s="80" customFormat="1" x14ac:dyDescent="0.2">
      <c r="B176" s="260"/>
      <c r="C176" s="177"/>
      <c r="D176" s="218" t="s">
        <v>191</v>
      </c>
      <c r="E176" s="219"/>
      <c r="F176" s="121">
        <v>70</v>
      </c>
      <c r="G176" s="92"/>
      <c r="H176" s="116"/>
      <c r="K176" s="117"/>
      <c r="L176" s="117"/>
      <c r="M176" s="117"/>
      <c r="N176" s="117"/>
      <c r="O176" s="117"/>
    </row>
    <row r="177" spans="2:15" s="80" customFormat="1" x14ac:dyDescent="0.2">
      <c r="B177" s="260"/>
      <c r="C177" s="177"/>
      <c r="D177" s="218" t="s">
        <v>192</v>
      </c>
      <c r="E177" s="219"/>
      <c r="F177" s="121">
        <v>30</v>
      </c>
      <c r="G177" s="92"/>
      <c r="H177" s="116"/>
      <c r="K177" s="117"/>
      <c r="L177" s="117"/>
      <c r="M177" s="117"/>
      <c r="N177" s="117"/>
      <c r="O177" s="117"/>
    </row>
    <row r="178" spans="2:15" s="80" customFormat="1" x14ac:dyDescent="0.2">
      <c r="B178" s="265"/>
      <c r="C178" s="128"/>
      <c r="D178" s="227" t="s">
        <v>193</v>
      </c>
      <c r="E178" s="223"/>
      <c r="F178" s="130">
        <v>10</v>
      </c>
      <c r="G178" s="131"/>
      <c r="H178" s="132"/>
      <c r="K178" s="117"/>
      <c r="L178" s="117"/>
      <c r="M178" s="117"/>
      <c r="N178" s="117"/>
      <c r="O178" s="117"/>
    </row>
    <row r="179" spans="2:15" x14ac:dyDescent="0.2">
      <c r="B179" s="264">
        <v>6</v>
      </c>
      <c r="C179" s="266" t="s">
        <v>232</v>
      </c>
      <c r="D179" s="267"/>
      <c r="E179" s="124" t="e">
        <f>VLOOKUP(C179,Puntajes!$B$9:$N$63,HLOOKUP($D$8,Puntajes!$C$7:$N$8,2,0),0)</f>
        <v>#N/A</v>
      </c>
      <c r="F179" s="82"/>
      <c r="G179" s="125">
        <f>'COG-F-013'!C116</f>
        <v>0</v>
      </c>
      <c r="H179" s="226">
        <f>+IF(G179="","-",IF(G179=D180,F180,F181))</f>
        <v>0</v>
      </c>
    </row>
    <row r="180" spans="2:15" s="80" customFormat="1" x14ac:dyDescent="0.2">
      <c r="B180" s="260"/>
      <c r="C180" s="127"/>
      <c r="D180" s="113" t="s">
        <v>124</v>
      </c>
      <c r="E180" s="114"/>
      <c r="F180" s="115">
        <v>100</v>
      </c>
      <c r="G180" s="92"/>
      <c r="H180" s="116"/>
      <c r="K180" s="117"/>
      <c r="L180" s="117"/>
      <c r="M180" s="117"/>
      <c r="N180" s="117"/>
      <c r="O180" s="117"/>
    </row>
    <row r="181" spans="2:15" s="80" customFormat="1" x14ac:dyDescent="0.2">
      <c r="B181" s="265"/>
      <c r="C181" s="128"/>
      <c r="D181" s="123" t="s">
        <v>125</v>
      </c>
      <c r="E181" s="129"/>
      <c r="F181" s="130">
        <v>0</v>
      </c>
      <c r="G181" s="131"/>
      <c r="H181" s="132"/>
      <c r="K181" s="117"/>
      <c r="L181" s="117"/>
      <c r="M181" s="117"/>
      <c r="N181" s="117"/>
      <c r="O181" s="117"/>
    </row>
    <row r="182" spans="2:15" x14ac:dyDescent="0.2">
      <c r="B182" s="264">
        <v>7</v>
      </c>
      <c r="C182" s="266" t="s">
        <v>231</v>
      </c>
      <c r="D182" s="267"/>
      <c r="E182" s="124" t="e">
        <f>VLOOKUP(C182,Puntajes!$B$9:$N$63,HLOOKUP($D$8,Puntajes!$C$7:$N$8,2,0),0)</f>
        <v>#N/A</v>
      </c>
      <c r="F182" s="82"/>
      <c r="G182" s="125">
        <f>'COG-F-013'!C117</f>
        <v>0</v>
      </c>
      <c r="H182" s="226">
        <f>+IF(G182="","-",IF(G182=D183,F183,F184))</f>
        <v>0</v>
      </c>
    </row>
    <row r="183" spans="2:15" s="80" customFormat="1" x14ac:dyDescent="0.2">
      <c r="B183" s="260"/>
      <c r="C183" s="127"/>
      <c r="D183" s="113" t="s">
        <v>124</v>
      </c>
      <c r="E183" s="114"/>
      <c r="F183" s="115">
        <v>100</v>
      </c>
      <c r="G183" s="92"/>
      <c r="H183" s="116"/>
      <c r="K183" s="117"/>
      <c r="L183" s="117"/>
      <c r="M183" s="117"/>
      <c r="N183" s="117"/>
      <c r="O183" s="117"/>
    </row>
    <row r="184" spans="2:15" s="80" customFormat="1" x14ac:dyDescent="0.2">
      <c r="B184" s="265"/>
      <c r="C184" s="128"/>
      <c r="D184" s="123" t="s">
        <v>125</v>
      </c>
      <c r="E184" s="129"/>
      <c r="F184" s="130">
        <v>0</v>
      </c>
      <c r="G184" s="131"/>
      <c r="H184" s="132"/>
      <c r="K184" s="117"/>
      <c r="L184" s="117"/>
      <c r="M184" s="117"/>
      <c r="N184" s="117"/>
      <c r="O184" s="117"/>
    </row>
    <row r="185" spans="2:15" x14ac:dyDescent="0.2">
      <c r="B185" s="264">
        <v>8</v>
      </c>
      <c r="C185" s="266" t="s">
        <v>233</v>
      </c>
      <c r="D185" s="267"/>
      <c r="E185" s="124" t="e">
        <f>VLOOKUP(C185,Puntajes!$B$9:$N$63,HLOOKUP($D$8,Puntajes!$C$7:$N$8,2,0),0)</f>
        <v>#N/A</v>
      </c>
      <c r="F185" s="82"/>
      <c r="G185" s="125">
        <f>'COG-F-013'!C118</f>
        <v>0</v>
      </c>
      <c r="H185" s="226">
        <f>+IF(G185="","-",IF(G185=D186,F186,F187))</f>
        <v>0</v>
      </c>
    </row>
    <row r="186" spans="2:15" s="80" customFormat="1" x14ac:dyDescent="0.2">
      <c r="B186" s="260"/>
      <c r="C186" s="127"/>
      <c r="D186" s="113" t="s">
        <v>124</v>
      </c>
      <c r="E186" s="114"/>
      <c r="F186" s="115">
        <v>100</v>
      </c>
      <c r="G186" s="92"/>
      <c r="H186" s="116"/>
      <c r="K186" s="117"/>
      <c r="L186" s="117"/>
      <c r="M186" s="117"/>
      <c r="N186" s="117"/>
      <c r="O186" s="117"/>
    </row>
    <row r="187" spans="2:15" s="80" customFormat="1" x14ac:dyDescent="0.2">
      <c r="B187" s="265"/>
      <c r="C187" s="128"/>
      <c r="D187" s="123" t="s">
        <v>125</v>
      </c>
      <c r="E187" s="129"/>
      <c r="F187" s="130">
        <v>0</v>
      </c>
      <c r="G187" s="131"/>
      <c r="H187" s="132"/>
      <c r="K187" s="117"/>
      <c r="L187" s="117"/>
      <c r="M187" s="117"/>
      <c r="N187" s="117"/>
      <c r="O187" s="117"/>
    </row>
    <row r="188" spans="2:15" x14ac:dyDescent="0.2">
      <c r="B188" s="260">
        <v>9</v>
      </c>
      <c r="C188" s="268" t="s">
        <v>234</v>
      </c>
      <c r="D188" s="269"/>
      <c r="E188" s="158" t="e">
        <f>VLOOKUP(C188,Puntajes!$B$9:$N$63,HLOOKUP($D$8,Puntajes!$C$7:$N$8,2,0),0)</f>
        <v>#N/A</v>
      </c>
      <c r="F188" s="208"/>
      <c r="G188" s="224">
        <f>'COG-F-013'!C119</f>
        <v>0</v>
      </c>
      <c r="H188" s="226">
        <f>+IF(G188="","-",IF(G188=D189,F189,F190))</f>
        <v>0</v>
      </c>
    </row>
    <row r="189" spans="2:15" s="80" customFormat="1" x14ac:dyDescent="0.2">
      <c r="B189" s="260"/>
      <c r="C189" s="127"/>
      <c r="D189" s="113" t="s">
        <v>124</v>
      </c>
      <c r="E189" s="114"/>
      <c r="F189" s="115">
        <v>100</v>
      </c>
      <c r="G189" s="92"/>
      <c r="H189" s="116"/>
      <c r="K189" s="117"/>
      <c r="L189" s="117"/>
      <c r="M189" s="117"/>
      <c r="N189" s="117"/>
      <c r="O189" s="117"/>
    </row>
    <row r="190" spans="2:15" s="80" customFormat="1" ht="13.5" thickBot="1" x14ac:dyDescent="0.25">
      <c r="B190" s="261"/>
      <c r="C190" s="139"/>
      <c r="D190" s="140" t="s">
        <v>125</v>
      </c>
      <c r="E190" s="141"/>
      <c r="F190" s="142">
        <v>0</v>
      </c>
      <c r="G190" s="143"/>
      <c r="H190" s="144"/>
      <c r="K190" s="117"/>
      <c r="L190" s="117"/>
      <c r="M190" s="117"/>
      <c r="N190" s="117"/>
      <c r="O190" s="117"/>
    </row>
    <row r="191" spans="2:15" ht="16.5" customHeight="1" thickBot="1" x14ac:dyDescent="0.25">
      <c r="B191" s="103" t="s">
        <v>198</v>
      </c>
      <c r="C191" s="271" t="s">
        <v>143</v>
      </c>
      <c r="D191" s="271"/>
      <c r="E191" s="104"/>
      <c r="F191" s="104" t="e">
        <f>+E192*F196+E210*F211+E213*F214+E216*F217+E203*F206+E207*F208</f>
        <v>#N/A</v>
      </c>
      <c r="G191" s="145"/>
      <c r="H191" s="106" t="e">
        <f>SUMPRODUCT(E192:E218,H192:H218)</f>
        <v>#N/A</v>
      </c>
    </row>
    <row r="192" spans="2:15" x14ac:dyDescent="0.2">
      <c r="B192" s="260">
        <v>1</v>
      </c>
      <c r="C192" s="323" t="s">
        <v>85</v>
      </c>
      <c r="D192" s="323"/>
      <c r="E192" s="158" t="e">
        <f>VLOOKUP(C192,Puntajes!$B$9:$N$63,HLOOKUP($D$8,Puntajes!$C$7:$N$8,2,0),0)</f>
        <v>#N/A</v>
      </c>
      <c r="F192" s="208"/>
      <c r="G192" s="224">
        <f>'COG-F-013'!C124</f>
        <v>0</v>
      </c>
      <c r="H192" s="161" t="e">
        <f>VLOOKUP(G192,D193:F196,3,0)</f>
        <v>#N/A</v>
      </c>
    </row>
    <row r="193" spans="2:15" s="80" customFormat="1" x14ac:dyDescent="0.2">
      <c r="B193" s="260"/>
      <c r="C193" s="127" t="s">
        <v>106</v>
      </c>
      <c r="D193" s="113" t="s">
        <v>81</v>
      </c>
      <c r="E193" s="114"/>
      <c r="F193" s="115">
        <v>10</v>
      </c>
      <c r="G193" s="92"/>
      <c r="H193" s="116"/>
      <c r="K193" s="117"/>
      <c r="L193" s="117"/>
      <c r="M193" s="117"/>
      <c r="N193" s="117"/>
      <c r="O193" s="117"/>
    </row>
    <row r="194" spans="2:15" s="80" customFormat="1" x14ac:dyDescent="0.2">
      <c r="B194" s="260"/>
      <c r="C194" s="177" t="s">
        <v>103</v>
      </c>
      <c r="D194" s="119" t="s">
        <v>82</v>
      </c>
      <c r="E194" s="120"/>
      <c r="F194" s="121">
        <v>30</v>
      </c>
      <c r="G194" s="92"/>
      <c r="H194" s="116"/>
      <c r="K194" s="117"/>
      <c r="L194" s="117"/>
      <c r="M194" s="117"/>
      <c r="N194" s="117"/>
      <c r="O194" s="117"/>
    </row>
    <row r="195" spans="2:15" s="80" customFormat="1" x14ac:dyDescent="0.2">
      <c r="B195" s="260"/>
      <c r="C195" s="177" t="s">
        <v>104</v>
      </c>
      <c r="D195" s="119" t="s">
        <v>83</v>
      </c>
      <c r="E195" s="120"/>
      <c r="F195" s="121">
        <v>70</v>
      </c>
      <c r="G195" s="92"/>
      <c r="H195" s="116"/>
      <c r="K195" s="117"/>
      <c r="L195" s="117"/>
      <c r="M195" s="117"/>
      <c r="N195" s="117"/>
      <c r="O195" s="117"/>
    </row>
    <row r="196" spans="2:15" s="80" customFormat="1" x14ac:dyDescent="0.2">
      <c r="B196" s="265"/>
      <c r="C196" s="128" t="s">
        <v>105</v>
      </c>
      <c r="D196" s="123" t="s">
        <v>84</v>
      </c>
      <c r="E196" s="129"/>
      <c r="F196" s="130">
        <v>100</v>
      </c>
      <c r="G196" s="131"/>
      <c r="H196" s="132"/>
      <c r="K196" s="117"/>
      <c r="L196" s="117"/>
      <c r="M196" s="117"/>
      <c r="N196" s="117"/>
      <c r="O196" s="117"/>
    </row>
    <row r="197" spans="2:15" x14ac:dyDescent="0.2">
      <c r="B197" s="260">
        <v>2</v>
      </c>
      <c r="C197" s="268" t="str">
        <f>+'COG-F-013'!B134</f>
        <v>ISO 14001</v>
      </c>
      <c r="D197" s="269"/>
      <c r="E197" s="158" t="e">
        <f>VLOOKUP(C197,Puntajes!$B$9:$N$63,HLOOKUP($D$8,Puntajes!$C$7:$N$8,2,0),0)</f>
        <v>#N/A</v>
      </c>
      <c r="F197" s="208"/>
      <c r="G197" s="224">
        <f>'COG-F-013'!C134</f>
        <v>0</v>
      </c>
      <c r="H197" s="226">
        <f>+IF(G197="","-",IF(G197=D198,F198,F199))</f>
        <v>0</v>
      </c>
    </row>
    <row r="198" spans="2:15" s="80" customFormat="1" x14ac:dyDescent="0.2">
      <c r="B198" s="260"/>
      <c r="C198" s="127"/>
      <c r="D198" s="113" t="s">
        <v>124</v>
      </c>
      <c r="E198" s="114"/>
      <c r="F198" s="115">
        <v>100</v>
      </c>
      <c r="G198" s="92"/>
      <c r="H198" s="116"/>
      <c r="K198" s="117"/>
      <c r="L198" s="117"/>
      <c r="M198" s="117"/>
      <c r="N198" s="117"/>
      <c r="O198" s="117"/>
    </row>
    <row r="199" spans="2:15" s="80" customFormat="1" x14ac:dyDescent="0.2">
      <c r="B199" s="260"/>
      <c r="C199" s="177"/>
      <c r="D199" s="119" t="s">
        <v>125</v>
      </c>
      <c r="E199" s="120"/>
      <c r="F199" s="121">
        <v>0</v>
      </c>
      <c r="G199" s="92"/>
      <c r="H199" s="116"/>
      <c r="K199" s="117"/>
      <c r="L199" s="117"/>
      <c r="M199" s="117"/>
      <c r="N199" s="117"/>
      <c r="O199" s="117"/>
    </row>
    <row r="200" spans="2:15" x14ac:dyDescent="0.2">
      <c r="B200" s="264">
        <v>3</v>
      </c>
      <c r="C200" s="266" t="str">
        <f>+'COG-F-013'!B135</f>
        <v>OSHA 18001</v>
      </c>
      <c r="D200" s="267"/>
      <c r="E200" s="124" t="e">
        <f>VLOOKUP(C200,Puntajes!$B$9:$N$63,HLOOKUP($D$8,Puntajes!$C$7:$N$8,2,0),0)</f>
        <v>#N/A</v>
      </c>
      <c r="F200" s="82"/>
      <c r="G200" s="125">
        <f>'COG-F-013'!C135</f>
        <v>0</v>
      </c>
      <c r="H200" s="226">
        <f>+IF(G200="","-",IF(G200=D201,F201,F202))</f>
        <v>0</v>
      </c>
    </row>
    <row r="201" spans="2:15" s="80" customFormat="1" x14ac:dyDescent="0.2">
      <c r="B201" s="260"/>
      <c r="C201" s="127"/>
      <c r="D201" s="113" t="s">
        <v>124</v>
      </c>
      <c r="E201" s="114"/>
      <c r="F201" s="115">
        <v>100</v>
      </c>
      <c r="G201" s="135"/>
      <c r="H201" s="222"/>
      <c r="K201" s="117"/>
      <c r="L201" s="117"/>
      <c r="M201" s="117"/>
      <c r="N201" s="117"/>
      <c r="O201" s="117"/>
    </row>
    <row r="202" spans="2:15" s="80" customFormat="1" x14ac:dyDescent="0.2">
      <c r="B202" s="265"/>
      <c r="C202" s="128"/>
      <c r="D202" s="123" t="s">
        <v>125</v>
      </c>
      <c r="E202" s="129"/>
      <c r="F202" s="130">
        <v>0</v>
      </c>
      <c r="G202" s="131"/>
      <c r="H202" s="132"/>
      <c r="K202" s="117"/>
      <c r="L202" s="117"/>
      <c r="M202" s="117"/>
      <c r="N202" s="117"/>
      <c r="O202" s="117"/>
    </row>
    <row r="203" spans="2:15" x14ac:dyDescent="0.2">
      <c r="B203" s="264">
        <v>4</v>
      </c>
      <c r="C203" s="268" t="s">
        <v>261</v>
      </c>
      <c r="D203" s="269"/>
      <c r="E203" s="158" t="e">
        <f>VLOOKUP(C203,Puntajes!$B$9:$N$63,HLOOKUP($D$8,Puntajes!$C$7:$N$8,2,0),0)</f>
        <v>#N/A</v>
      </c>
      <c r="F203" s="208"/>
      <c r="G203" s="224">
        <f>+'COG-F-013'!C136</f>
        <v>0</v>
      </c>
      <c r="H203" s="217">
        <f>+IF(G203="","-",IF(G203=D204,F204,IF(G203=D205,F205,IF(G203=D206,F206,0))))</f>
        <v>0</v>
      </c>
    </row>
    <row r="204" spans="2:15" s="80" customFormat="1" x14ac:dyDescent="0.2">
      <c r="B204" s="260"/>
      <c r="C204" s="127"/>
      <c r="D204" s="113" t="s">
        <v>242</v>
      </c>
      <c r="E204" s="114"/>
      <c r="F204" s="115">
        <v>0</v>
      </c>
      <c r="G204" s="92"/>
      <c r="H204" s="116"/>
      <c r="K204" s="117"/>
      <c r="L204" s="117"/>
      <c r="M204" s="117"/>
      <c r="N204" s="117"/>
      <c r="O204" s="117"/>
    </row>
    <row r="205" spans="2:15" s="80" customFormat="1" x14ac:dyDescent="0.2">
      <c r="B205" s="260"/>
      <c r="C205" s="177"/>
      <c r="D205" s="218" t="s">
        <v>244</v>
      </c>
      <c r="E205" s="120"/>
      <c r="F205" s="121">
        <v>50</v>
      </c>
      <c r="G205" s="92"/>
      <c r="H205" s="116"/>
      <c r="K205" s="117"/>
      <c r="L205" s="117"/>
      <c r="M205" s="117"/>
      <c r="N205" s="117"/>
      <c r="O205" s="117"/>
    </row>
    <row r="206" spans="2:15" s="80" customFormat="1" x14ac:dyDescent="0.2">
      <c r="B206" s="265"/>
      <c r="C206" s="128"/>
      <c r="D206" s="218" t="s">
        <v>243</v>
      </c>
      <c r="E206" s="129"/>
      <c r="F206" s="130">
        <v>100</v>
      </c>
      <c r="G206" s="131"/>
      <c r="H206" s="132"/>
      <c r="K206" s="117"/>
      <c r="L206" s="117"/>
      <c r="M206" s="117"/>
      <c r="N206" s="117"/>
      <c r="O206" s="117"/>
    </row>
    <row r="207" spans="2:15" s="80" customFormat="1" x14ac:dyDescent="0.2">
      <c r="B207" s="264">
        <v>5</v>
      </c>
      <c r="C207" s="266" t="s">
        <v>262</v>
      </c>
      <c r="D207" s="267"/>
      <c r="E207" s="124" t="e">
        <f>VLOOKUP(C207,Puntajes!$B$9:$N$63,HLOOKUP($D$8,Puntajes!$C$7:$N$8,2,0),0)</f>
        <v>#N/A</v>
      </c>
      <c r="F207" s="82"/>
      <c r="G207" s="125">
        <f>+'COG-F-013'!C137</f>
        <v>0</v>
      </c>
      <c r="H207" s="126">
        <f>+IF(G207="","-",IF(G207=D208,F208,F209))</f>
        <v>0</v>
      </c>
      <c r="K207" s="117"/>
      <c r="L207" s="117"/>
      <c r="M207" s="117"/>
      <c r="N207" s="117"/>
      <c r="O207" s="117"/>
    </row>
    <row r="208" spans="2:15" s="80" customFormat="1" x14ac:dyDescent="0.2">
      <c r="B208" s="260"/>
      <c r="C208" s="127"/>
      <c r="D208" s="113" t="s">
        <v>124</v>
      </c>
      <c r="E208" s="114"/>
      <c r="F208" s="115">
        <v>100</v>
      </c>
      <c r="G208" s="92"/>
      <c r="H208" s="116"/>
      <c r="K208" s="117"/>
      <c r="L208" s="117"/>
      <c r="M208" s="117"/>
      <c r="N208" s="117"/>
      <c r="O208" s="117"/>
    </row>
    <row r="209" spans="2:15" s="80" customFormat="1" x14ac:dyDescent="0.2">
      <c r="B209" s="265"/>
      <c r="C209" s="128"/>
      <c r="D209" s="123" t="s">
        <v>125</v>
      </c>
      <c r="E209" s="129"/>
      <c r="F209" s="130">
        <v>0</v>
      </c>
      <c r="G209" s="131"/>
      <c r="H209" s="132"/>
      <c r="K209" s="117"/>
      <c r="L209" s="117"/>
      <c r="M209" s="117"/>
      <c r="N209" s="117"/>
      <c r="O209" s="117"/>
    </row>
    <row r="210" spans="2:15" x14ac:dyDescent="0.2">
      <c r="B210" s="264">
        <v>6</v>
      </c>
      <c r="C210" s="266" t="str">
        <f>+'COG-F-013'!B139</f>
        <v>Acepta las normas de Seguridad de Exsa</v>
      </c>
      <c r="D210" s="267"/>
      <c r="E210" s="124" t="e">
        <f>VLOOKUP(C210,Puntajes!$B$9:$N$63,HLOOKUP($D$8,Puntajes!$C$7:$N$8,2,0),0)</f>
        <v>#N/A</v>
      </c>
      <c r="F210" s="82"/>
      <c r="G210" s="125">
        <f>'COG-F-013'!C139</f>
        <v>0</v>
      </c>
      <c r="H210" s="126">
        <f>+IF(G210="","-",IF(G210=D211,F211,F212))</f>
        <v>0</v>
      </c>
    </row>
    <row r="211" spans="2:15" s="80" customFormat="1" x14ac:dyDescent="0.2">
      <c r="B211" s="260"/>
      <c r="C211" s="127"/>
      <c r="D211" s="113" t="s">
        <v>124</v>
      </c>
      <c r="E211" s="114"/>
      <c r="F211" s="115">
        <v>100</v>
      </c>
      <c r="G211" s="92"/>
      <c r="H211" s="116"/>
      <c r="K211" s="117"/>
      <c r="L211" s="117"/>
      <c r="M211" s="117"/>
      <c r="N211" s="117"/>
      <c r="O211" s="117"/>
    </row>
    <row r="212" spans="2:15" s="80" customFormat="1" x14ac:dyDescent="0.2">
      <c r="B212" s="265"/>
      <c r="C212" s="128"/>
      <c r="D212" s="123" t="s">
        <v>125</v>
      </c>
      <c r="E212" s="129"/>
      <c r="F212" s="130">
        <v>0</v>
      </c>
      <c r="G212" s="131"/>
      <c r="H212" s="132"/>
      <c r="K212" s="117"/>
      <c r="L212" s="117"/>
      <c r="M212" s="117"/>
      <c r="N212" s="117"/>
      <c r="O212" s="117"/>
    </row>
    <row r="213" spans="2:15" x14ac:dyDescent="0.2">
      <c r="B213" s="264">
        <v>7</v>
      </c>
      <c r="C213" s="266" t="str">
        <f>+'COG-F-013'!B140</f>
        <v>Acepta las normas de Medio Ambiente de Exsa</v>
      </c>
      <c r="D213" s="267"/>
      <c r="E213" s="124" t="e">
        <f>VLOOKUP(C213,Puntajes!$B$9:$N$63,HLOOKUP($D$8,Puntajes!$C$7:$N$8,2,0),0)</f>
        <v>#N/A</v>
      </c>
      <c r="F213" s="82"/>
      <c r="G213" s="125">
        <f>'COG-F-013'!C140</f>
        <v>0</v>
      </c>
      <c r="H213" s="126">
        <f>+IF(G213="","-",IF(G213=D214,F214,F215))</f>
        <v>0</v>
      </c>
    </row>
    <row r="214" spans="2:15" s="80" customFormat="1" x14ac:dyDescent="0.2">
      <c r="B214" s="260"/>
      <c r="C214" s="127"/>
      <c r="D214" s="113" t="s">
        <v>124</v>
      </c>
      <c r="E214" s="114"/>
      <c r="F214" s="115">
        <v>100</v>
      </c>
      <c r="G214" s="92"/>
      <c r="H214" s="116"/>
      <c r="K214" s="117"/>
      <c r="L214" s="117"/>
      <c r="M214" s="117"/>
      <c r="N214" s="117"/>
      <c r="O214" s="117"/>
    </row>
    <row r="215" spans="2:15" s="80" customFormat="1" x14ac:dyDescent="0.2">
      <c r="B215" s="265"/>
      <c r="C215" s="128"/>
      <c r="D215" s="123" t="s">
        <v>125</v>
      </c>
      <c r="E215" s="129"/>
      <c r="F215" s="130">
        <v>0</v>
      </c>
      <c r="G215" s="131"/>
      <c r="H215" s="132"/>
      <c r="K215" s="117"/>
      <c r="L215" s="117"/>
      <c r="M215" s="117"/>
      <c r="N215" s="117"/>
      <c r="O215" s="117"/>
    </row>
    <row r="216" spans="2:15" x14ac:dyDescent="0.2">
      <c r="B216" s="264">
        <v>8</v>
      </c>
      <c r="C216" s="266" t="str">
        <f>+'COG-F-013'!B141</f>
        <v>Acepta Código de ética y conducta de Exsa</v>
      </c>
      <c r="D216" s="267"/>
      <c r="E216" s="124" t="e">
        <f>VLOOKUP(C216,Puntajes!$B$9:$N$63,HLOOKUP($D$8,Puntajes!$C$7:$N$8,2,0),0)</f>
        <v>#N/A</v>
      </c>
      <c r="F216" s="82"/>
      <c r="G216" s="125">
        <f>'COG-F-013'!C141</f>
        <v>0</v>
      </c>
      <c r="H216" s="126">
        <f>+IF(G216="","-",IF(G216=D217,F217,F218))</f>
        <v>0</v>
      </c>
    </row>
    <row r="217" spans="2:15" s="80" customFormat="1" x14ac:dyDescent="0.2">
      <c r="B217" s="260"/>
      <c r="C217" s="127"/>
      <c r="D217" s="113" t="s">
        <v>124</v>
      </c>
      <c r="E217" s="114"/>
      <c r="F217" s="115">
        <v>100</v>
      </c>
      <c r="G217" s="92"/>
      <c r="H217" s="116"/>
      <c r="K217" s="117"/>
      <c r="L217" s="117"/>
      <c r="M217" s="117"/>
      <c r="N217" s="117"/>
      <c r="O217" s="117"/>
    </row>
    <row r="218" spans="2:15" s="80" customFormat="1" ht="13.5" thickBot="1" x14ac:dyDescent="0.25">
      <c r="B218" s="261"/>
      <c r="C218" s="139"/>
      <c r="D218" s="140" t="s">
        <v>125</v>
      </c>
      <c r="E218" s="141"/>
      <c r="F218" s="142">
        <v>0</v>
      </c>
      <c r="G218" s="143"/>
      <c r="H218" s="144"/>
      <c r="K218" s="117"/>
      <c r="L218" s="117"/>
      <c r="M218" s="117"/>
      <c r="N218" s="117"/>
      <c r="O218" s="117"/>
    </row>
    <row r="219" spans="2:15" ht="16.5" customHeight="1" x14ac:dyDescent="0.2">
      <c r="B219" s="228" t="s">
        <v>197</v>
      </c>
      <c r="C219" s="259" t="s">
        <v>145</v>
      </c>
      <c r="D219" s="259"/>
      <c r="E219" s="229"/>
      <c r="F219" s="229" t="e">
        <f>+E220*F221</f>
        <v>#N/A</v>
      </c>
      <c r="G219" s="230"/>
      <c r="H219" s="231" t="e">
        <f>+SUMPRODUCT(E220:E225,H220:H225)</f>
        <v>#N/A</v>
      </c>
    </row>
    <row r="220" spans="2:15" x14ac:dyDescent="0.2">
      <c r="B220" s="264">
        <v>1</v>
      </c>
      <c r="C220" s="266" t="str">
        <f>+'COG-F-013'!B147</f>
        <v>BASC V2009</v>
      </c>
      <c r="D220" s="267"/>
      <c r="E220" s="124" t="e">
        <f>VLOOKUP(C220,Puntajes!$B$9:$N$63,HLOOKUP($D$8,Puntajes!$C$7:$N$8,2,0),0)</f>
        <v>#N/A</v>
      </c>
      <c r="F220" s="82"/>
      <c r="G220" s="125">
        <f>'COG-F-013'!C147</f>
        <v>0</v>
      </c>
      <c r="H220" s="126">
        <f>+IF(G220="","-",IF(G220=D221,F221,F222))</f>
        <v>0</v>
      </c>
    </row>
    <row r="221" spans="2:15" s="80" customFormat="1" x14ac:dyDescent="0.2">
      <c r="B221" s="260"/>
      <c r="C221" s="127"/>
      <c r="D221" s="113" t="s">
        <v>124</v>
      </c>
      <c r="E221" s="114"/>
      <c r="F221" s="115">
        <v>100</v>
      </c>
      <c r="G221" s="92"/>
      <c r="H221" s="116"/>
      <c r="K221" s="117"/>
      <c r="L221" s="117"/>
      <c r="M221" s="117"/>
      <c r="N221" s="117"/>
      <c r="O221" s="117"/>
    </row>
    <row r="222" spans="2:15" s="80" customFormat="1" x14ac:dyDescent="0.2">
      <c r="B222" s="265"/>
      <c r="C222" s="128"/>
      <c r="D222" s="123" t="s">
        <v>125</v>
      </c>
      <c r="E222" s="129"/>
      <c r="F222" s="130">
        <v>0</v>
      </c>
      <c r="G222" s="131"/>
      <c r="H222" s="132"/>
      <c r="K222" s="117"/>
      <c r="L222" s="117"/>
      <c r="M222" s="117"/>
      <c r="N222" s="117"/>
      <c r="O222" s="117"/>
    </row>
    <row r="223" spans="2:15" x14ac:dyDescent="0.2">
      <c r="B223" s="260">
        <v>2</v>
      </c>
      <c r="C223" s="262" t="str">
        <f>+'COG-F-013'!B150</f>
        <v>Acepta la política BASC de EXSA</v>
      </c>
      <c r="D223" s="263"/>
      <c r="E223" s="124" t="e">
        <f>VLOOKUP(C223,Puntajes!$B$9:$N$63,HLOOKUP($D$8,Puntajes!$C$7:$N$8,2,0),0)</f>
        <v>#N/A</v>
      </c>
      <c r="F223" s="208"/>
      <c r="G223" s="224">
        <f>'COG-F-013'!C150</f>
        <v>0</v>
      </c>
      <c r="H223" s="226">
        <f>+IF(G223="","-",IF(G223=D224,F224,F225))</f>
        <v>10</v>
      </c>
    </row>
    <row r="224" spans="2:15" s="80" customFormat="1" x14ac:dyDescent="0.2">
      <c r="B224" s="260"/>
      <c r="C224" s="127"/>
      <c r="D224" s="113" t="s">
        <v>124</v>
      </c>
      <c r="E224" s="114"/>
      <c r="F224" s="115">
        <v>100</v>
      </c>
      <c r="G224" s="92"/>
      <c r="H224" s="116"/>
      <c r="K224" s="117"/>
      <c r="L224" s="117"/>
      <c r="M224" s="117"/>
      <c r="N224" s="117"/>
      <c r="O224" s="117"/>
    </row>
    <row r="225" spans="2:15" s="80" customFormat="1" ht="13.5" thickBot="1" x14ac:dyDescent="0.25">
      <c r="B225" s="261"/>
      <c r="C225" s="139"/>
      <c r="D225" s="140" t="s">
        <v>125</v>
      </c>
      <c r="E225" s="140"/>
      <c r="F225" s="142">
        <v>10</v>
      </c>
      <c r="G225" s="143"/>
      <c r="H225" s="232"/>
      <c r="K225" s="117"/>
      <c r="L225" s="117"/>
      <c r="M225" s="117"/>
      <c r="N225" s="117"/>
      <c r="O225" s="117"/>
    </row>
    <row r="227" spans="2:15" x14ac:dyDescent="0.2">
      <c r="B227" s="233" t="s">
        <v>175</v>
      </c>
      <c r="C227" s="233"/>
      <c r="D227" s="233"/>
      <c r="E227" s="233"/>
      <c r="H227" s="81"/>
    </row>
    <row r="228" spans="2:15" x14ac:dyDescent="0.2">
      <c r="B228" s="234" t="s">
        <v>176</v>
      </c>
      <c r="C228" s="234"/>
      <c r="D228" s="234"/>
      <c r="E228" s="234"/>
      <c r="H228" s="81"/>
    </row>
    <row r="229" spans="2:15" x14ac:dyDescent="0.2">
      <c r="B229" s="234" t="s">
        <v>216</v>
      </c>
      <c r="C229" s="234"/>
      <c r="D229" s="234"/>
      <c r="E229" s="234"/>
      <c r="H229" s="81"/>
    </row>
    <row r="230" spans="2:15" ht="27.75" customHeight="1" x14ac:dyDescent="0.2">
      <c r="B230" s="318" t="s">
        <v>217</v>
      </c>
      <c r="C230" s="318"/>
      <c r="D230" s="318"/>
      <c r="E230" s="318"/>
      <c r="F230" s="318"/>
      <c r="G230" s="318"/>
      <c r="H230" s="318"/>
    </row>
    <row r="231" spans="2:15" x14ac:dyDescent="0.2">
      <c r="B231" s="234" t="s">
        <v>218</v>
      </c>
      <c r="C231" s="234"/>
      <c r="D231" s="234"/>
      <c r="E231" s="234"/>
      <c r="H231" s="81"/>
    </row>
    <row r="232" spans="2:15" x14ac:dyDescent="0.2">
      <c r="B232" s="319" t="s">
        <v>177</v>
      </c>
      <c r="C232" s="319"/>
      <c r="D232" s="319"/>
      <c r="E232" s="319"/>
      <c r="F232" s="319"/>
      <c r="G232" s="319"/>
      <c r="H232" s="319"/>
    </row>
    <row r="233" spans="2:15" ht="38.25" customHeight="1" x14ac:dyDescent="0.2">
      <c r="B233" s="320" t="s">
        <v>222</v>
      </c>
      <c r="C233" s="320"/>
      <c r="D233" s="320"/>
      <c r="E233" s="320"/>
      <c r="F233" s="320"/>
      <c r="G233" s="320"/>
      <c r="H233" s="320"/>
    </row>
    <row r="234" spans="2:15" ht="39.75" customHeight="1" x14ac:dyDescent="0.2">
      <c r="B234" s="318" t="s">
        <v>221</v>
      </c>
      <c r="C234" s="318"/>
      <c r="D234" s="318"/>
      <c r="E234" s="318"/>
      <c r="F234" s="318"/>
      <c r="G234" s="318"/>
      <c r="H234" s="318"/>
    </row>
    <row r="235" spans="2:15" x14ac:dyDescent="0.2">
      <c r="B235" s="319" t="s">
        <v>178</v>
      </c>
      <c r="C235" s="319"/>
      <c r="D235" s="319"/>
      <c r="E235" s="319"/>
      <c r="F235" s="319"/>
      <c r="G235" s="319"/>
      <c r="H235" s="319"/>
    </row>
    <row r="236" spans="2:15" x14ac:dyDescent="0.2">
      <c r="B236" s="234" t="s">
        <v>219</v>
      </c>
      <c r="C236" s="234"/>
      <c r="D236" s="234"/>
      <c r="E236" s="234"/>
    </row>
    <row r="237" spans="2:15" x14ac:dyDescent="0.2">
      <c r="B237" s="235" t="s">
        <v>179</v>
      </c>
      <c r="D237" s="234"/>
      <c r="E237" s="234"/>
    </row>
    <row r="238" spans="2:15" x14ac:dyDescent="0.2">
      <c r="B238" s="234" t="s">
        <v>220</v>
      </c>
      <c r="C238" s="234"/>
      <c r="D238" s="234"/>
      <c r="E238" s="234"/>
    </row>
    <row r="239" spans="2:15" x14ac:dyDescent="0.2">
      <c r="B239" s="235" t="s">
        <v>180</v>
      </c>
      <c r="D239" s="234"/>
      <c r="E239" s="234"/>
    </row>
    <row r="240" spans="2:15" x14ac:dyDescent="0.2">
      <c r="B240" s="235" t="s">
        <v>181</v>
      </c>
      <c r="D240" s="234"/>
      <c r="E240" s="234"/>
    </row>
  </sheetData>
  <sheetProtection algorithmName="SHA-512" hashValue="WEom/fSh9VXTCpKawkWtDi/mJi6+67ItVIUUmeEUTjREfOLIHEYsNc6txQOG8FpFEJCjcAGf3FGqyajI3Y+q5w==" saltValue="0lOzqciX2cHdNejG6UfsWA==" spinCount="100000" sheet="1" objects="1" scenarios="1"/>
  <mergeCells count="137">
    <mergeCell ref="B138:B142"/>
    <mergeCell ref="B163:B165"/>
    <mergeCell ref="B159:B162"/>
    <mergeCell ref="B207:B209"/>
    <mergeCell ref="C207:D207"/>
    <mergeCell ref="B169:B171"/>
    <mergeCell ref="C169:D169"/>
    <mergeCell ref="B203:B206"/>
    <mergeCell ref="C203:D203"/>
    <mergeCell ref="B182:B184"/>
    <mergeCell ref="C182:D182"/>
    <mergeCell ref="B185:B187"/>
    <mergeCell ref="C191:D191"/>
    <mergeCell ref="C179:D179"/>
    <mergeCell ref="C158:D158"/>
    <mergeCell ref="C159:D159"/>
    <mergeCell ref="C163:D163"/>
    <mergeCell ref="C143:D143"/>
    <mergeCell ref="B230:H230"/>
    <mergeCell ref="B232:H232"/>
    <mergeCell ref="B233:H233"/>
    <mergeCell ref="B234:H234"/>
    <mergeCell ref="B235:H235"/>
    <mergeCell ref="C69:D69"/>
    <mergeCell ref="B54:B56"/>
    <mergeCell ref="B57:B59"/>
    <mergeCell ref="B60:B62"/>
    <mergeCell ref="B63:B65"/>
    <mergeCell ref="B66:B68"/>
    <mergeCell ref="B69:B71"/>
    <mergeCell ref="B192:B196"/>
    <mergeCell ref="C192:D192"/>
    <mergeCell ref="B122:B127"/>
    <mergeCell ref="C122:D122"/>
    <mergeCell ref="B153:B157"/>
    <mergeCell ref="C153:D153"/>
    <mergeCell ref="C166:D166"/>
    <mergeCell ref="B109:B111"/>
    <mergeCell ref="C109:D109"/>
    <mergeCell ref="B166:B168"/>
    <mergeCell ref="B172:B178"/>
    <mergeCell ref="C172:D172"/>
    <mergeCell ref="E35:E36"/>
    <mergeCell ref="F35:F36"/>
    <mergeCell ref="C90:D90"/>
    <mergeCell ref="C60:D60"/>
    <mergeCell ref="C63:D63"/>
    <mergeCell ref="C66:D66"/>
    <mergeCell ref="B94:B96"/>
    <mergeCell ref="C94:D94"/>
    <mergeCell ref="B97:B99"/>
    <mergeCell ref="C97:D97"/>
    <mergeCell ref="B117:B121"/>
    <mergeCell ref="C117:D117"/>
    <mergeCell ref="C46:D46"/>
    <mergeCell ref="B50:B52"/>
    <mergeCell ref="C50:D50"/>
    <mergeCell ref="C54:D54"/>
    <mergeCell ref="C57:D57"/>
    <mergeCell ref="B82:B85"/>
    <mergeCell ref="C82:D82"/>
    <mergeCell ref="B86:B89"/>
    <mergeCell ref="C86:D86"/>
    <mergeCell ref="C53:D53"/>
    <mergeCell ref="B106:B108"/>
    <mergeCell ref="G14:H14"/>
    <mergeCell ref="B129:B133"/>
    <mergeCell ref="C129:D129"/>
    <mergeCell ref="B46:B49"/>
    <mergeCell ref="B103:B105"/>
    <mergeCell ref="C103:D103"/>
    <mergeCell ref="B134:B137"/>
    <mergeCell ref="C134:D134"/>
    <mergeCell ref="C138:D138"/>
    <mergeCell ref="B33:D33"/>
    <mergeCell ref="C106:D106"/>
    <mergeCell ref="B100:B102"/>
    <mergeCell ref="C100:D100"/>
    <mergeCell ref="B72:B77"/>
    <mergeCell ref="C72:D72"/>
    <mergeCell ref="B78:B81"/>
    <mergeCell ref="C78:D78"/>
    <mergeCell ref="B38:B42"/>
    <mergeCell ref="C38:D38"/>
    <mergeCell ref="C37:D37"/>
    <mergeCell ref="B43:B45"/>
    <mergeCell ref="C43:D43"/>
    <mergeCell ref="B112:B116"/>
    <mergeCell ref="C112:D112"/>
    <mergeCell ref="C128:D128"/>
    <mergeCell ref="B143:B147"/>
    <mergeCell ref="B2:C3"/>
    <mergeCell ref="B5:C5"/>
    <mergeCell ref="B28:H28"/>
    <mergeCell ref="B29:D29"/>
    <mergeCell ref="B30:D30"/>
    <mergeCell ref="B31:D31"/>
    <mergeCell ref="B32:D32"/>
    <mergeCell ref="B35:B36"/>
    <mergeCell ref="C35:D36"/>
    <mergeCell ref="G35:H35"/>
    <mergeCell ref="B11:H11"/>
    <mergeCell ref="B26:H26"/>
    <mergeCell ref="C17:D17"/>
    <mergeCell ref="C18:D18"/>
    <mergeCell ref="C19:D19"/>
    <mergeCell ref="C20:D20"/>
    <mergeCell ref="C21:D21"/>
    <mergeCell ref="C22:D22"/>
    <mergeCell ref="B16:D16"/>
    <mergeCell ref="B13:F13"/>
    <mergeCell ref="G13:H13"/>
    <mergeCell ref="B14:F14"/>
    <mergeCell ref="D2:G2"/>
    <mergeCell ref="D3:G3"/>
    <mergeCell ref="C219:D219"/>
    <mergeCell ref="B223:B225"/>
    <mergeCell ref="C223:D223"/>
    <mergeCell ref="B90:B93"/>
    <mergeCell ref="B213:B215"/>
    <mergeCell ref="C213:D213"/>
    <mergeCell ref="B216:B218"/>
    <mergeCell ref="C216:D216"/>
    <mergeCell ref="B220:B222"/>
    <mergeCell ref="C220:D220"/>
    <mergeCell ref="B197:B199"/>
    <mergeCell ref="C197:D197"/>
    <mergeCell ref="B200:B202"/>
    <mergeCell ref="C200:D200"/>
    <mergeCell ref="B210:B212"/>
    <mergeCell ref="C210:D210"/>
    <mergeCell ref="C185:D185"/>
    <mergeCell ref="B188:B190"/>
    <mergeCell ref="C188:D188"/>
    <mergeCell ref="C148:D148"/>
    <mergeCell ref="B148:B152"/>
    <mergeCell ref="B179:B181"/>
  </mergeCells>
  <conditionalFormatting sqref="H43">
    <cfRule type="cellIs" dxfId="18" priority="27" operator="lessThan">
      <formula>0</formula>
    </cfRule>
  </conditionalFormatting>
  <conditionalFormatting sqref="H103">
    <cfRule type="cellIs" dxfId="17" priority="26" operator="lessThan">
      <formula>0</formula>
    </cfRule>
  </conditionalFormatting>
  <conditionalFormatting sqref="H46">
    <cfRule type="cellIs" dxfId="16" priority="25" operator="lessThan">
      <formula>0</formula>
    </cfRule>
  </conditionalFormatting>
  <conditionalFormatting sqref="H94">
    <cfRule type="cellIs" dxfId="15" priority="23" operator="lessThan">
      <formula>0</formula>
    </cfRule>
  </conditionalFormatting>
  <conditionalFormatting sqref="H97">
    <cfRule type="cellIs" dxfId="14" priority="22" operator="lessThan">
      <formula>0</formula>
    </cfRule>
  </conditionalFormatting>
  <conditionalFormatting sqref="H100">
    <cfRule type="cellIs" dxfId="13" priority="21" operator="lessThan">
      <formula>0</formula>
    </cfRule>
  </conditionalFormatting>
  <conditionalFormatting sqref="H106">
    <cfRule type="cellIs" dxfId="12" priority="20" operator="lessThan">
      <formula>0</formula>
    </cfRule>
  </conditionalFormatting>
  <conditionalFormatting sqref="H109">
    <cfRule type="cellIs" dxfId="11" priority="19" operator="lessThan">
      <formula>0</formula>
    </cfRule>
  </conditionalFormatting>
  <conditionalFormatting sqref="H112">
    <cfRule type="cellIs" dxfId="10" priority="18" operator="lessThan">
      <formula>0</formula>
    </cfRule>
  </conditionalFormatting>
  <conditionalFormatting sqref="H117">
    <cfRule type="cellIs" dxfId="9" priority="17" operator="lessThan">
      <formula>0</formula>
    </cfRule>
  </conditionalFormatting>
  <conditionalFormatting sqref="H148">
    <cfRule type="cellIs" dxfId="8" priority="16" operator="lessThan">
      <formula>0</formula>
    </cfRule>
  </conditionalFormatting>
  <conditionalFormatting sqref="H179">
    <cfRule type="cellIs" dxfId="7" priority="12" operator="greaterThan">
      <formula>0</formula>
    </cfRule>
  </conditionalFormatting>
  <conditionalFormatting sqref="H182">
    <cfRule type="cellIs" dxfId="6" priority="11" operator="greaterThan">
      <formula>0</formula>
    </cfRule>
  </conditionalFormatting>
  <conditionalFormatting sqref="H185">
    <cfRule type="cellIs" dxfId="5" priority="10" operator="greaterThan">
      <formula>0</formula>
    </cfRule>
  </conditionalFormatting>
  <conditionalFormatting sqref="H188">
    <cfRule type="cellIs" dxfId="4" priority="9" operator="greaterThan">
      <formula>0</formula>
    </cfRule>
  </conditionalFormatting>
  <conditionalFormatting sqref="H197">
    <cfRule type="cellIs" dxfId="3" priority="8" operator="greaterThan">
      <formula>0</formula>
    </cfRule>
  </conditionalFormatting>
  <conditionalFormatting sqref="H200">
    <cfRule type="cellIs" dxfId="2" priority="7" operator="greaterThan">
      <formula>0</formula>
    </cfRule>
  </conditionalFormatting>
  <conditionalFormatting sqref="H220">
    <cfRule type="cellIs" dxfId="1" priority="6" operator="greaterThan">
      <formula>0</formula>
    </cfRule>
  </conditionalFormatting>
  <conditionalFormatting sqref="H223">
    <cfRule type="cellIs" dxfId="0" priority="5" operator="greaterThan">
      <formula>0</formula>
    </cfRule>
  </conditionalFormatting>
  <pageMargins left="0.7" right="0.7" top="0.75" bottom="0.75" header="0.3" footer="0.3"/>
  <pageSetup paperSize="9" scale="53" fitToHeight="0" orientation="portrait" r:id="rId1"/>
  <rowBreaks count="1" manualBreakCount="1">
    <brk id="105" max="7"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65"/>
  <sheetViews>
    <sheetView topLeftCell="A7" zoomScaleNormal="100" workbookViewId="0">
      <pane xSplit="5" ySplit="1" topLeftCell="F8" activePane="bottomRight" state="frozen"/>
      <selection activeCell="A7" sqref="A7"/>
      <selection pane="topRight" activeCell="F7" sqref="F7"/>
      <selection pane="bottomLeft" activeCell="A8" sqref="A8"/>
      <selection pane="bottomRight" activeCell="F11" sqref="F11"/>
    </sheetView>
  </sheetViews>
  <sheetFormatPr baseColWidth="10" defaultColWidth="39.42578125" defaultRowHeight="12.75" outlineLevelRow="1" outlineLevelCol="1" x14ac:dyDescent="0.2"/>
  <cols>
    <col min="1" max="1" width="5.85546875" style="59" customWidth="1"/>
    <col min="2" max="2" width="27.7109375" style="59" customWidth="1"/>
    <col min="3" max="5" width="17" style="59" hidden="1" customWidth="1" outlineLevel="1"/>
    <col min="6" max="6" width="11" style="59" customWidth="1" collapsed="1"/>
    <col min="7" max="9" width="11" style="59" customWidth="1"/>
    <col min="10" max="10" width="11" style="59" hidden="1" customWidth="1" outlineLevel="1"/>
    <col min="11" max="11" width="11" style="59" customWidth="1" collapsed="1"/>
    <col min="12" max="14" width="11" style="59" customWidth="1"/>
    <col min="15" max="16384" width="39.42578125" style="59"/>
  </cols>
  <sheetData>
    <row r="1" spans="1:14" ht="15" customHeight="1" x14ac:dyDescent="0.2">
      <c r="A1" s="58"/>
      <c r="B1" s="341" t="s">
        <v>87</v>
      </c>
      <c r="C1" s="342"/>
      <c r="D1" s="342"/>
      <c r="E1" s="342"/>
      <c r="F1" s="342"/>
      <c r="G1" s="342"/>
      <c r="H1" s="343"/>
      <c r="I1" s="335" t="s">
        <v>88</v>
      </c>
      <c r="J1" s="336"/>
    </row>
    <row r="2" spans="1:14" ht="15" customHeight="1" x14ac:dyDescent="0.2">
      <c r="A2" s="60"/>
      <c r="B2" s="344"/>
      <c r="C2" s="345"/>
      <c r="D2" s="345"/>
      <c r="E2" s="345"/>
      <c r="F2" s="345"/>
      <c r="G2" s="345"/>
      <c r="H2" s="346"/>
      <c r="I2" s="337" t="s">
        <v>89</v>
      </c>
      <c r="J2" s="338"/>
    </row>
    <row r="3" spans="1:14" ht="15" customHeight="1" x14ac:dyDescent="0.2">
      <c r="A3" s="61"/>
      <c r="B3" s="347"/>
      <c r="C3" s="348"/>
      <c r="D3" s="348"/>
      <c r="E3" s="348"/>
      <c r="F3" s="348"/>
      <c r="G3" s="348"/>
      <c r="H3" s="349"/>
      <c r="I3" s="339" t="s">
        <v>154</v>
      </c>
      <c r="J3" s="340"/>
    </row>
    <row r="5" spans="1:14" s="62" customFormat="1" ht="25.5" customHeight="1" x14ac:dyDescent="0.2">
      <c r="A5" s="350" t="s">
        <v>223</v>
      </c>
      <c r="B5" s="350"/>
      <c r="C5" s="350"/>
      <c r="D5" s="350"/>
      <c r="E5" s="350"/>
      <c r="F5" s="350"/>
      <c r="G5" s="350"/>
      <c r="H5" s="350"/>
      <c r="I5" s="350"/>
      <c r="J5" s="350"/>
    </row>
    <row r="7" spans="1:14" s="65" customFormat="1" ht="65.25" customHeight="1" x14ac:dyDescent="0.25">
      <c r="A7" s="63" t="s">
        <v>225</v>
      </c>
      <c r="B7" s="64" t="s">
        <v>224</v>
      </c>
      <c r="C7" s="63" t="s">
        <v>203</v>
      </c>
      <c r="D7" s="63" t="s">
        <v>204</v>
      </c>
      <c r="E7" s="63" t="s">
        <v>206</v>
      </c>
      <c r="F7" s="63" t="s">
        <v>248</v>
      </c>
      <c r="G7" s="63" t="s">
        <v>247</v>
      </c>
      <c r="H7" s="63" t="s">
        <v>210</v>
      </c>
      <c r="I7" s="63" t="s">
        <v>205</v>
      </c>
      <c r="J7" s="63" t="s">
        <v>207</v>
      </c>
      <c r="K7" s="63" t="s">
        <v>237</v>
      </c>
      <c r="L7" s="63" t="s">
        <v>238</v>
      </c>
      <c r="M7" s="63" t="s">
        <v>246</v>
      </c>
      <c r="N7" s="63" t="s">
        <v>263</v>
      </c>
    </row>
    <row r="8" spans="1:14" s="65" customFormat="1" ht="16.5" customHeight="1" x14ac:dyDescent="0.25">
      <c r="A8" s="63"/>
      <c r="B8" s="63" t="s">
        <v>212</v>
      </c>
      <c r="C8" s="63">
        <v>2</v>
      </c>
      <c r="D8" s="63">
        <v>3</v>
      </c>
      <c r="E8" s="63">
        <v>4</v>
      </c>
      <c r="F8" s="63">
        <v>5</v>
      </c>
      <c r="G8" s="63">
        <v>6</v>
      </c>
      <c r="H8" s="63">
        <v>7</v>
      </c>
      <c r="I8" s="63">
        <v>8</v>
      </c>
      <c r="J8" s="63">
        <v>9</v>
      </c>
      <c r="K8" s="63">
        <v>10</v>
      </c>
      <c r="L8" s="63">
        <v>11</v>
      </c>
      <c r="M8" s="63">
        <v>12</v>
      </c>
      <c r="N8" s="63">
        <v>13</v>
      </c>
    </row>
    <row r="9" spans="1:14" x14ac:dyDescent="0.2">
      <c r="A9" s="66" t="s">
        <v>135</v>
      </c>
      <c r="B9" s="67" t="s">
        <v>129</v>
      </c>
      <c r="C9" s="68">
        <v>0</v>
      </c>
      <c r="D9" s="68">
        <v>0</v>
      </c>
      <c r="E9" s="68">
        <v>0</v>
      </c>
      <c r="F9" s="68">
        <f>+F10+F13</f>
        <v>0.1</v>
      </c>
      <c r="G9" s="68">
        <f>+G10+G13</f>
        <v>0.25</v>
      </c>
      <c r="H9" s="68">
        <f>+H10+H13</f>
        <v>0.1</v>
      </c>
      <c r="I9" s="68">
        <f>+I10+I13</f>
        <v>0.1</v>
      </c>
      <c r="J9" s="68">
        <v>0</v>
      </c>
      <c r="K9" s="68">
        <f>+K10+K13</f>
        <v>0.1</v>
      </c>
      <c r="L9" s="68">
        <f>+L10+L13</f>
        <v>0.08</v>
      </c>
      <c r="M9" s="68">
        <f>+M10+M13</f>
        <v>0.35</v>
      </c>
      <c r="N9" s="68">
        <f>+N10+N13</f>
        <v>0.35</v>
      </c>
    </row>
    <row r="10" spans="1:14" outlineLevel="1" x14ac:dyDescent="0.2">
      <c r="A10" s="69">
        <v>1</v>
      </c>
      <c r="B10" s="70" t="s">
        <v>102</v>
      </c>
      <c r="C10" s="71"/>
      <c r="D10" s="71"/>
      <c r="E10" s="71"/>
      <c r="F10" s="71">
        <v>0.05</v>
      </c>
      <c r="G10" s="71">
        <v>0.1</v>
      </c>
      <c r="H10" s="71">
        <v>0.05</v>
      </c>
      <c r="I10" s="71">
        <v>0.05</v>
      </c>
      <c r="J10" s="71"/>
      <c r="K10" s="71">
        <v>0.05</v>
      </c>
      <c r="L10" s="71">
        <v>0.03</v>
      </c>
      <c r="M10" s="71">
        <v>0.15</v>
      </c>
      <c r="N10" s="71">
        <v>0.15</v>
      </c>
    </row>
    <row r="11" spans="1:14" outlineLevel="1" x14ac:dyDescent="0.2">
      <c r="A11" s="69">
        <v>2</v>
      </c>
      <c r="B11" s="70" t="s">
        <v>47</v>
      </c>
      <c r="C11" s="71"/>
      <c r="D11" s="71"/>
      <c r="E11" s="71"/>
      <c r="F11" s="72">
        <v>1</v>
      </c>
      <c r="G11" s="72">
        <v>1</v>
      </c>
      <c r="H11" s="72">
        <v>1</v>
      </c>
      <c r="I11" s="72">
        <v>1</v>
      </c>
      <c r="J11" s="72">
        <v>1</v>
      </c>
      <c r="K11" s="72">
        <v>1</v>
      </c>
      <c r="L11" s="72">
        <v>1</v>
      </c>
      <c r="M11" s="72">
        <v>1</v>
      </c>
      <c r="N11" s="72">
        <v>1</v>
      </c>
    </row>
    <row r="12" spans="1:14" outlineLevel="1" x14ac:dyDescent="0.2">
      <c r="A12" s="69">
        <v>3</v>
      </c>
      <c r="B12" s="70" t="s">
        <v>48</v>
      </c>
      <c r="C12" s="71"/>
      <c r="D12" s="71"/>
      <c r="E12" s="71"/>
      <c r="F12" s="72">
        <v>1</v>
      </c>
      <c r="G12" s="72">
        <v>1</v>
      </c>
      <c r="H12" s="72">
        <v>1</v>
      </c>
      <c r="I12" s="72">
        <v>1</v>
      </c>
      <c r="J12" s="72">
        <v>1</v>
      </c>
      <c r="K12" s="72">
        <v>1</v>
      </c>
      <c r="L12" s="72">
        <v>1</v>
      </c>
      <c r="M12" s="72">
        <v>1</v>
      </c>
      <c r="N12" s="72">
        <v>1</v>
      </c>
    </row>
    <row r="13" spans="1:14" outlineLevel="1" x14ac:dyDescent="0.2">
      <c r="A13" s="69">
        <v>4</v>
      </c>
      <c r="B13" s="70" t="s">
        <v>156</v>
      </c>
      <c r="C13" s="71"/>
      <c r="D13" s="71"/>
      <c r="E13" s="71"/>
      <c r="F13" s="71">
        <v>0.05</v>
      </c>
      <c r="G13" s="71">
        <v>0.15</v>
      </c>
      <c r="H13" s="71">
        <v>0.05</v>
      </c>
      <c r="I13" s="71">
        <v>0.05</v>
      </c>
      <c r="J13" s="71"/>
      <c r="K13" s="71">
        <v>0.05</v>
      </c>
      <c r="L13" s="71">
        <v>0.05</v>
      </c>
      <c r="M13" s="71">
        <v>0.2</v>
      </c>
      <c r="N13" s="71">
        <v>0.2</v>
      </c>
    </row>
    <row r="14" spans="1:14" ht="27.75" customHeight="1" x14ac:dyDescent="0.2">
      <c r="A14" s="66" t="s">
        <v>136</v>
      </c>
      <c r="B14" s="67" t="s">
        <v>130</v>
      </c>
      <c r="C14" s="68">
        <v>0</v>
      </c>
      <c r="D14" s="68">
        <v>0</v>
      </c>
      <c r="E14" s="68">
        <v>0</v>
      </c>
      <c r="F14" s="68">
        <f>+SUM(F15:F25)+F34</f>
        <v>0.14999999999999997</v>
      </c>
      <c r="G14" s="68">
        <f>+SUM(G15:G25)+G34</f>
        <v>0.2</v>
      </c>
      <c r="H14" s="68">
        <f>+SUM(H15:H25)+H34</f>
        <v>0.14999999999999997</v>
      </c>
      <c r="I14" s="68">
        <f>+SUM(I15:I25)+I34</f>
        <v>0.18000000000000002</v>
      </c>
      <c r="J14" s="68">
        <v>0</v>
      </c>
      <c r="K14" s="68">
        <f>+SUM(K15:K25)+K34</f>
        <v>0.15999999999999998</v>
      </c>
      <c r="L14" s="68">
        <f>+SUM(L15:L25)+L34</f>
        <v>0.16999999999999998</v>
      </c>
      <c r="M14" s="68">
        <f>+SUM(M15:M25)+M34</f>
        <v>0.15</v>
      </c>
      <c r="N14" s="68">
        <f>+SUM(N15:N25)+N34</f>
        <v>0.13</v>
      </c>
    </row>
    <row r="15" spans="1:14" outlineLevel="1" x14ac:dyDescent="0.2">
      <c r="A15" s="69">
        <v>1</v>
      </c>
      <c r="B15" s="73" t="s">
        <v>157</v>
      </c>
      <c r="C15" s="71"/>
      <c r="D15" s="71"/>
      <c r="E15" s="71"/>
      <c r="F15" s="71">
        <v>0.03</v>
      </c>
      <c r="G15" s="71">
        <v>0.04</v>
      </c>
      <c r="H15" s="71">
        <v>0.04</v>
      </c>
      <c r="I15" s="71">
        <v>0.04</v>
      </c>
      <c r="J15" s="71"/>
      <c r="K15" s="71">
        <v>0.03</v>
      </c>
      <c r="L15" s="71">
        <v>0.04</v>
      </c>
      <c r="M15" s="74">
        <v>0</v>
      </c>
      <c r="N15" s="74">
        <v>0</v>
      </c>
    </row>
    <row r="16" spans="1:14" outlineLevel="1" x14ac:dyDescent="0.2">
      <c r="A16" s="69">
        <v>2</v>
      </c>
      <c r="B16" s="73" t="s">
        <v>160</v>
      </c>
      <c r="C16" s="71"/>
      <c r="D16" s="71"/>
      <c r="E16" s="71"/>
      <c r="F16" s="71">
        <v>0.01</v>
      </c>
      <c r="G16" s="71">
        <v>0.01</v>
      </c>
      <c r="H16" s="71">
        <v>0.01</v>
      </c>
      <c r="I16" s="71">
        <v>0.01</v>
      </c>
      <c r="J16" s="71"/>
      <c r="K16" s="71">
        <v>0.01</v>
      </c>
      <c r="L16" s="71">
        <v>0.01</v>
      </c>
      <c r="M16" s="74">
        <v>0</v>
      </c>
      <c r="N16" s="74">
        <v>0</v>
      </c>
    </row>
    <row r="17" spans="1:14" outlineLevel="1" x14ac:dyDescent="0.2">
      <c r="A17" s="69">
        <v>3</v>
      </c>
      <c r="B17" s="73" t="s">
        <v>163</v>
      </c>
      <c r="C17" s="71"/>
      <c r="D17" s="71"/>
      <c r="E17" s="71"/>
      <c r="F17" s="71">
        <v>0.01</v>
      </c>
      <c r="G17" s="71">
        <v>0.04</v>
      </c>
      <c r="H17" s="71">
        <v>0.02</v>
      </c>
      <c r="I17" s="71">
        <v>0.03</v>
      </c>
      <c r="J17" s="71"/>
      <c r="K17" s="71">
        <v>0.02</v>
      </c>
      <c r="L17" s="71">
        <v>0.02</v>
      </c>
      <c r="M17" s="74">
        <v>0</v>
      </c>
      <c r="N17" s="74">
        <v>0</v>
      </c>
    </row>
    <row r="18" spans="1:14" outlineLevel="1" x14ac:dyDescent="0.2">
      <c r="A18" s="69">
        <v>4</v>
      </c>
      <c r="B18" s="73" t="s">
        <v>166</v>
      </c>
      <c r="C18" s="71"/>
      <c r="D18" s="71"/>
      <c r="E18" s="71"/>
      <c r="F18" s="71">
        <v>0.01</v>
      </c>
      <c r="G18" s="71">
        <v>0.01</v>
      </c>
      <c r="H18" s="71">
        <v>0.01</v>
      </c>
      <c r="I18" s="71">
        <v>0.01</v>
      </c>
      <c r="J18" s="71"/>
      <c r="K18" s="71">
        <v>0.01</v>
      </c>
      <c r="L18" s="71">
        <v>0.01</v>
      </c>
      <c r="M18" s="74">
        <v>0</v>
      </c>
      <c r="N18" s="74">
        <v>0</v>
      </c>
    </row>
    <row r="19" spans="1:14" outlineLevel="1" x14ac:dyDescent="0.2">
      <c r="A19" s="69">
        <v>5</v>
      </c>
      <c r="B19" s="73" t="s">
        <v>169</v>
      </c>
      <c r="C19" s="71"/>
      <c r="D19" s="71"/>
      <c r="E19" s="71"/>
      <c r="F19" s="71">
        <v>0.01</v>
      </c>
      <c r="G19" s="71">
        <v>0.01</v>
      </c>
      <c r="H19" s="71">
        <v>0.01</v>
      </c>
      <c r="I19" s="71">
        <v>0.02</v>
      </c>
      <c r="J19" s="71"/>
      <c r="K19" s="71">
        <v>0.01</v>
      </c>
      <c r="L19" s="71">
        <v>0.01</v>
      </c>
      <c r="M19" s="74">
        <v>0</v>
      </c>
      <c r="N19" s="74">
        <v>0</v>
      </c>
    </row>
    <row r="20" spans="1:14" outlineLevel="1" x14ac:dyDescent="0.2">
      <c r="A20" s="69">
        <v>6</v>
      </c>
      <c r="B20" s="73" t="s">
        <v>172</v>
      </c>
      <c r="C20" s="71"/>
      <c r="D20" s="71"/>
      <c r="E20" s="71"/>
      <c r="F20" s="71">
        <v>0.01</v>
      </c>
      <c r="G20" s="71">
        <v>0.02</v>
      </c>
      <c r="H20" s="71">
        <v>0.01</v>
      </c>
      <c r="I20" s="71">
        <v>0.02</v>
      </c>
      <c r="J20" s="71"/>
      <c r="K20" s="71">
        <v>0.01</v>
      </c>
      <c r="L20" s="71">
        <v>0.01</v>
      </c>
      <c r="M20" s="74">
        <v>0</v>
      </c>
      <c r="N20" s="74">
        <v>0</v>
      </c>
    </row>
    <row r="21" spans="1:14" outlineLevel="1" x14ac:dyDescent="0.2">
      <c r="A21" s="69">
        <v>7</v>
      </c>
      <c r="B21" s="70" t="s">
        <v>183</v>
      </c>
      <c r="C21" s="71"/>
      <c r="D21" s="71"/>
      <c r="E21" s="71"/>
      <c r="F21" s="71">
        <v>0.01</v>
      </c>
      <c r="G21" s="71">
        <v>0.01</v>
      </c>
      <c r="H21" s="71">
        <v>0.01</v>
      </c>
      <c r="I21" s="71">
        <v>0.01</v>
      </c>
      <c r="J21" s="71"/>
      <c r="K21" s="71">
        <v>0.01</v>
      </c>
      <c r="L21" s="71">
        <v>0.01</v>
      </c>
      <c r="M21" s="74">
        <v>0</v>
      </c>
      <c r="N21" s="74">
        <v>0</v>
      </c>
    </row>
    <row r="22" spans="1:14" outlineLevel="1" x14ac:dyDescent="0.2">
      <c r="A22" s="69">
        <v>8</v>
      </c>
      <c r="B22" s="70" t="s">
        <v>35</v>
      </c>
      <c r="C22" s="71"/>
      <c r="D22" s="71"/>
      <c r="E22" s="71"/>
      <c r="F22" s="71">
        <v>0.01</v>
      </c>
      <c r="G22" s="71">
        <v>0.01</v>
      </c>
      <c r="H22" s="74">
        <v>0</v>
      </c>
      <c r="I22" s="74">
        <v>0</v>
      </c>
      <c r="J22" s="71"/>
      <c r="K22" s="71">
        <v>0.01</v>
      </c>
      <c r="L22" s="71">
        <v>0.01</v>
      </c>
      <c r="M22" s="71">
        <v>0.04</v>
      </c>
      <c r="N22" s="74">
        <v>0</v>
      </c>
    </row>
    <row r="23" spans="1:14" outlineLevel="1" x14ac:dyDescent="0.2">
      <c r="A23" s="69">
        <v>9</v>
      </c>
      <c r="B23" s="70" t="s">
        <v>36</v>
      </c>
      <c r="C23" s="71"/>
      <c r="D23" s="71"/>
      <c r="E23" s="71"/>
      <c r="F23" s="71">
        <v>0.01</v>
      </c>
      <c r="G23" s="71">
        <v>0.01</v>
      </c>
      <c r="H23" s="74">
        <v>0</v>
      </c>
      <c r="I23" s="74">
        <v>0</v>
      </c>
      <c r="J23" s="71"/>
      <c r="K23" s="71">
        <v>0.01</v>
      </c>
      <c r="L23" s="71">
        <v>0.01</v>
      </c>
      <c r="M23" s="71">
        <v>0.04</v>
      </c>
      <c r="N23" s="71">
        <v>6.5000000000000002E-2</v>
      </c>
    </row>
    <row r="24" spans="1:14" outlineLevel="1" x14ac:dyDescent="0.2">
      <c r="A24" s="69">
        <v>10</v>
      </c>
      <c r="B24" s="70" t="s">
        <v>37</v>
      </c>
      <c r="C24" s="71"/>
      <c r="D24" s="71"/>
      <c r="E24" s="71"/>
      <c r="F24" s="71">
        <v>0.01</v>
      </c>
      <c r="G24" s="71">
        <v>0.01</v>
      </c>
      <c r="H24" s="71">
        <v>0.01</v>
      </c>
      <c r="I24" s="71">
        <v>0.01</v>
      </c>
      <c r="J24" s="71"/>
      <c r="K24" s="71">
        <v>0.01</v>
      </c>
      <c r="L24" s="71">
        <v>0.01</v>
      </c>
      <c r="M24" s="71">
        <v>0.03</v>
      </c>
      <c r="N24" s="74">
        <v>0</v>
      </c>
    </row>
    <row r="25" spans="1:14" outlineLevel="1" x14ac:dyDescent="0.2">
      <c r="A25" s="69">
        <v>11</v>
      </c>
      <c r="B25" s="70" t="s">
        <v>38</v>
      </c>
      <c r="C25" s="71"/>
      <c r="D25" s="71"/>
      <c r="E25" s="71"/>
      <c r="F25" s="71">
        <v>0.01</v>
      </c>
      <c r="G25" s="71">
        <v>0.01</v>
      </c>
      <c r="H25" s="71">
        <v>0.01</v>
      </c>
      <c r="I25" s="71">
        <v>0.01</v>
      </c>
      <c r="J25" s="71"/>
      <c r="K25" s="71">
        <v>0.01</v>
      </c>
      <c r="L25" s="71">
        <v>0.01</v>
      </c>
      <c r="M25" s="71">
        <v>0.04</v>
      </c>
      <c r="N25" s="71">
        <v>6.5000000000000002E-2</v>
      </c>
    </row>
    <row r="26" spans="1:14" outlineLevel="1" x14ac:dyDescent="0.2">
      <c r="A26" s="69">
        <v>12</v>
      </c>
      <c r="B26" s="70" t="s">
        <v>121</v>
      </c>
      <c r="C26" s="71"/>
      <c r="D26" s="71"/>
      <c r="E26" s="71"/>
      <c r="F26" s="72">
        <v>2.5000000000000001E-2</v>
      </c>
      <c r="G26" s="72">
        <v>2.5000000000000001E-2</v>
      </c>
      <c r="H26" s="72">
        <v>2.5000000000000001E-2</v>
      </c>
      <c r="I26" s="72">
        <v>2.5000000000000001E-2</v>
      </c>
      <c r="J26" s="72">
        <v>2.5000000000000001E-2</v>
      </c>
      <c r="K26" s="72">
        <v>2.5000000000000001E-2</v>
      </c>
      <c r="L26" s="72">
        <v>2.5000000000000001E-2</v>
      </c>
      <c r="M26" s="72">
        <v>2.5000000000000001E-2</v>
      </c>
      <c r="N26" s="72">
        <v>2.5000000000000001E-2</v>
      </c>
    </row>
    <row r="27" spans="1:14" outlineLevel="1" x14ac:dyDescent="0.2">
      <c r="A27" s="69">
        <v>13</v>
      </c>
      <c r="B27" s="70" t="s">
        <v>120</v>
      </c>
      <c r="C27" s="71"/>
      <c r="D27" s="71"/>
      <c r="E27" s="71"/>
      <c r="F27" s="72">
        <v>2.5000000000000001E-2</v>
      </c>
      <c r="G27" s="72">
        <v>2.5000000000000001E-2</v>
      </c>
      <c r="H27" s="72">
        <v>2.5000000000000001E-2</v>
      </c>
      <c r="I27" s="72">
        <v>2.5000000000000001E-2</v>
      </c>
      <c r="J27" s="72">
        <v>2.5000000000000001E-2</v>
      </c>
      <c r="K27" s="72">
        <v>2.5000000000000001E-2</v>
      </c>
      <c r="L27" s="72">
        <v>2.5000000000000001E-2</v>
      </c>
      <c r="M27" s="72">
        <v>2.5000000000000001E-2</v>
      </c>
      <c r="N27" s="72">
        <v>2.5000000000000001E-2</v>
      </c>
    </row>
    <row r="28" spans="1:14" outlineLevel="1" x14ac:dyDescent="0.2">
      <c r="A28" s="69">
        <v>14</v>
      </c>
      <c r="B28" s="70" t="s">
        <v>122</v>
      </c>
      <c r="C28" s="71"/>
      <c r="D28" s="71"/>
      <c r="E28" s="71"/>
      <c r="F28" s="72">
        <v>2.5000000000000001E-2</v>
      </c>
      <c r="G28" s="72">
        <v>2.5000000000000001E-2</v>
      </c>
      <c r="H28" s="72">
        <v>2.5000000000000001E-2</v>
      </c>
      <c r="I28" s="72">
        <v>2.5000000000000001E-2</v>
      </c>
      <c r="J28" s="72">
        <v>2.5000000000000001E-2</v>
      </c>
      <c r="K28" s="72">
        <v>2.5000000000000001E-2</v>
      </c>
      <c r="L28" s="72">
        <v>2.5000000000000001E-2</v>
      </c>
      <c r="M28" s="72">
        <v>2.5000000000000001E-2</v>
      </c>
      <c r="N28" s="72">
        <v>2.5000000000000001E-2</v>
      </c>
    </row>
    <row r="29" spans="1:14" outlineLevel="1" x14ac:dyDescent="0.2">
      <c r="A29" s="69">
        <v>15</v>
      </c>
      <c r="B29" s="70" t="s">
        <v>123</v>
      </c>
      <c r="C29" s="71"/>
      <c r="D29" s="71"/>
      <c r="E29" s="71"/>
      <c r="F29" s="72">
        <v>2.5000000000000001E-2</v>
      </c>
      <c r="G29" s="72">
        <v>2.5000000000000001E-2</v>
      </c>
      <c r="H29" s="72">
        <v>2.5000000000000001E-2</v>
      </c>
      <c r="I29" s="72">
        <v>2.5000000000000001E-2</v>
      </c>
      <c r="J29" s="72">
        <v>2.5000000000000001E-2</v>
      </c>
      <c r="K29" s="72">
        <v>2.5000000000000001E-2</v>
      </c>
      <c r="L29" s="72">
        <v>2.5000000000000001E-2</v>
      </c>
      <c r="M29" s="72">
        <v>2.5000000000000001E-2</v>
      </c>
      <c r="N29" s="72">
        <v>2.5000000000000001E-2</v>
      </c>
    </row>
    <row r="30" spans="1:14" outlineLevel="1" x14ac:dyDescent="0.2">
      <c r="A30" s="69">
        <v>16</v>
      </c>
      <c r="B30" s="70" t="s">
        <v>49</v>
      </c>
      <c r="C30" s="71"/>
      <c r="D30" s="71"/>
      <c r="E30" s="71"/>
      <c r="F30" s="72">
        <v>2.5000000000000001E-2</v>
      </c>
      <c r="G30" s="72">
        <v>2.5000000000000001E-2</v>
      </c>
      <c r="H30" s="72">
        <v>2.5000000000000001E-2</v>
      </c>
      <c r="I30" s="72">
        <v>2.5000000000000001E-2</v>
      </c>
      <c r="J30" s="72">
        <v>2.5000000000000001E-2</v>
      </c>
      <c r="K30" s="72">
        <v>2.5000000000000001E-2</v>
      </c>
      <c r="L30" s="72">
        <v>2.5000000000000001E-2</v>
      </c>
      <c r="M30" s="72">
        <v>2.5000000000000001E-2</v>
      </c>
      <c r="N30" s="72">
        <v>2.5000000000000001E-2</v>
      </c>
    </row>
    <row r="31" spans="1:14" outlineLevel="1" x14ac:dyDescent="0.2">
      <c r="A31" s="69">
        <v>17</v>
      </c>
      <c r="B31" s="70" t="s">
        <v>50</v>
      </c>
      <c r="C31" s="71"/>
      <c r="D31" s="71"/>
      <c r="E31" s="71"/>
      <c r="F31" s="72">
        <v>2.5000000000000001E-2</v>
      </c>
      <c r="G31" s="72">
        <v>2.5000000000000001E-2</v>
      </c>
      <c r="H31" s="72">
        <v>2.5000000000000001E-2</v>
      </c>
      <c r="I31" s="72">
        <v>2.5000000000000001E-2</v>
      </c>
      <c r="J31" s="72">
        <v>2.5000000000000001E-2</v>
      </c>
      <c r="K31" s="72">
        <v>2.5000000000000001E-2</v>
      </c>
      <c r="L31" s="72">
        <v>2.5000000000000001E-2</v>
      </c>
      <c r="M31" s="72">
        <v>2.5000000000000001E-2</v>
      </c>
      <c r="N31" s="72">
        <v>2.5000000000000001E-2</v>
      </c>
    </row>
    <row r="32" spans="1:14" outlineLevel="1" x14ac:dyDescent="0.2">
      <c r="A32" s="69">
        <v>18</v>
      </c>
      <c r="B32" s="70" t="s">
        <v>245</v>
      </c>
      <c r="C32" s="71"/>
      <c r="D32" s="71"/>
      <c r="E32" s="71"/>
      <c r="F32" s="72">
        <v>0.05</v>
      </c>
      <c r="G32" s="72">
        <v>0.05</v>
      </c>
      <c r="H32" s="72">
        <v>0.05</v>
      </c>
      <c r="I32" s="72">
        <v>0.05</v>
      </c>
      <c r="J32" s="72">
        <v>0.05</v>
      </c>
      <c r="K32" s="72">
        <v>0.05</v>
      </c>
      <c r="L32" s="72">
        <v>0.05</v>
      </c>
      <c r="M32" s="72">
        <v>0.05</v>
      </c>
      <c r="N32" s="72">
        <v>0.05</v>
      </c>
    </row>
    <row r="33" spans="1:14" outlineLevel="1" x14ac:dyDescent="0.2">
      <c r="A33" s="69">
        <v>19</v>
      </c>
      <c r="B33" s="70" t="s">
        <v>226</v>
      </c>
      <c r="C33" s="71"/>
      <c r="D33" s="71"/>
      <c r="E33" s="71"/>
      <c r="F33" s="72">
        <v>2.5000000000000001E-2</v>
      </c>
      <c r="G33" s="72">
        <v>2.5000000000000001E-2</v>
      </c>
      <c r="H33" s="72">
        <v>2.5000000000000001E-2</v>
      </c>
      <c r="I33" s="72">
        <v>2.5000000000000001E-2</v>
      </c>
      <c r="J33" s="72">
        <v>2.5000000000000001E-2</v>
      </c>
      <c r="K33" s="72">
        <v>2.5000000000000001E-2</v>
      </c>
      <c r="L33" s="72">
        <v>2.5000000000000001E-2</v>
      </c>
      <c r="M33" s="72">
        <v>2.5000000000000001E-2</v>
      </c>
      <c r="N33" s="72">
        <v>2.5000000000000001E-2</v>
      </c>
    </row>
    <row r="34" spans="1:14" outlineLevel="1" x14ac:dyDescent="0.2">
      <c r="A34" s="69">
        <v>20</v>
      </c>
      <c r="B34" s="70" t="s">
        <v>119</v>
      </c>
      <c r="C34" s="71"/>
      <c r="D34" s="71"/>
      <c r="E34" s="71"/>
      <c r="F34" s="71">
        <v>0.02</v>
      </c>
      <c r="G34" s="71">
        <v>0.02</v>
      </c>
      <c r="H34" s="71">
        <v>0.02</v>
      </c>
      <c r="I34" s="71">
        <v>0.02</v>
      </c>
      <c r="J34" s="71"/>
      <c r="K34" s="71">
        <v>0.02</v>
      </c>
      <c r="L34" s="71">
        <v>0.02</v>
      </c>
      <c r="M34" s="74">
        <v>0</v>
      </c>
      <c r="N34" s="74">
        <v>0</v>
      </c>
    </row>
    <row r="35" spans="1:14" x14ac:dyDescent="0.2">
      <c r="A35" s="66" t="s">
        <v>141</v>
      </c>
      <c r="B35" s="67" t="s">
        <v>131</v>
      </c>
      <c r="C35" s="68">
        <v>0</v>
      </c>
      <c r="D35" s="68">
        <v>0</v>
      </c>
      <c r="E35" s="68">
        <v>0</v>
      </c>
      <c r="F35" s="68">
        <f>+F36+F37+F38+F39+F41</f>
        <v>0.25</v>
      </c>
      <c r="G35" s="68">
        <f>+G36+G37+G38+G39+G41</f>
        <v>0.30000000000000004</v>
      </c>
      <c r="H35" s="68">
        <f>+H36+H37+H38+H39+H41</f>
        <v>0.30000000000000004</v>
      </c>
      <c r="I35" s="68">
        <f>+I36+I37+I38+I39+I41</f>
        <v>0.30000000000000004</v>
      </c>
      <c r="J35" s="68">
        <v>0</v>
      </c>
      <c r="K35" s="68">
        <f>+K36+K37+K38+K39+K41</f>
        <v>0.28000000000000003</v>
      </c>
      <c r="L35" s="68">
        <f>+L36+L37+L38+L39+L41</f>
        <v>0.28000000000000003</v>
      </c>
      <c r="M35" s="68">
        <f>+M36+M37+M38+M39+M41</f>
        <v>0.25</v>
      </c>
      <c r="N35" s="68">
        <f>+N39+N41+N38</f>
        <v>0.35</v>
      </c>
    </row>
    <row r="36" spans="1:14" outlineLevel="1" x14ac:dyDescent="0.2">
      <c r="A36" s="69">
        <v>1</v>
      </c>
      <c r="B36" s="70" t="s">
        <v>265</v>
      </c>
      <c r="C36" s="71"/>
      <c r="D36" s="71"/>
      <c r="E36" s="71"/>
      <c r="F36" s="71">
        <v>0.05</v>
      </c>
      <c r="G36" s="71">
        <v>0.05</v>
      </c>
      <c r="H36" s="71">
        <v>0.05</v>
      </c>
      <c r="I36" s="71">
        <v>0.05</v>
      </c>
      <c r="J36" s="71"/>
      <c r="K36" s="71">
        <v>0.05</v>
      </c>
      <c r="L36" s="71">
        <v>0.05</v>
      </c>
      <c r="M36" s="71">
        <v>0.04</v>
      </c>
      <c r="N36" s="74">
        <v>0</v>
      </c>
    </row>
    <row r="37" spans="1:14" outlineLevel="1" x14ac:dyDescent="0.2">
      <c r="A37" s="69">
        <v>2</v>
      </c>
      <c r="B37" s="75" t="s">
        <v>258</v>
      </c>
      <c r="F37" s="71">
        <v>0.05</v>
      </c>
      <c r="G37" s="71">
        <v>0.05</v>
      </c>
      <c r="H37" s="71">
        <v>0.05</v>
      </c>
      <c r="I37" s="71">
        <v>0.05</v>
      </c>
      <c r="J37" s="71"/>
      <c r="K37" s="71">
        <v>0.05</v>
      </c>
      <c r="L37" s="71">
        <v>0.05</v>
      </c>
      <c r="M37" s="71">
        <v>0.04</v>
      </c>
      <c r="N37" s="74">
        <v>0</v>
      </c>
    </row>
    <row r="38" spans="1:14" outlineLevel="1" x14ac:dyDescent="0.2">
      <c r="A38" s="69">
        <v>3</v>
      </c>
      <c r="B38" s="59" t="s">
        <v>259</v>
      </c>
      <c r="F38" s="71">
        <v>0.05</v>
      </c>
      <c r="G38" s="71">
        <v>0.05</v>
      </c>
      <c r="H38" s="71">
        <v>0.05</v>
      </c>
      <c r="I38" s="71">
        <v>0.05</v>
      </c>
      <c r="J38" s="71"/>
      <c r="K38" s="71">
        <v>0.05</v>
      </c>
      <c r="L38" s="71">
        <v>0.05</v>
      </c>
      <c r="M38" s="71">
        <v>0.04</v>
      </c>
      <c r="N38" s="71">
        <v>0.05</v>
      </c>
    </row>
    <row r="39" spans="1:14" outlineLevel="1" x14ac:dyDescent="0.2">
      <c r="A39" s="69">
        <v>4</v>
      </c>
      <c r="B39" s="70" t="s">
        <v>116</v>
      </c>
      <c r="C39" s="71"/>
      <c r="D39" s="71"/>
      <c r="E39" s="71"/>
      <c r="F39" s="71">
        <v>0.05</v>
      </c>
      <c r="G39" s="71">
        <v>0.05</v>
      </c>
      <c r="H39" s="71">
        <v>0.05</v>
      </c>
      <c r="I39" s="71">
        <v>0.05</v>
      </c>
      <c r="J39" s="71"/>
      <c r="K39" s="71">
        <v>0.05</v>
      </c>
      <c r="L39" s="71">
        <v>0.05</v>
      </c>
      <c r="M39" s="71">
        <v>0.04</v>
      </c>
      <c r="N39" s="71">
        <v>0.05</v>
      </c>
    </row>
    <row r="40" spans="1:14" outlineLevel="1" x14ac:dyDescent="0.2">
      <c r="A40" s="69">
        <v>5</v>
      </c>
      <c r="B40" s="70" t="s">
        <v>117</v>
      </c>
      <c r="C40" s="71"/>
      <c r="D40" s="71"/>
      <c r="E40" s="71"/>
      <c r="F40" s="72">
        <v>0.05</v>
      </c>
      <c r="G40" s="72">
        <v>0.05</v>
      </c>
      <c r="H40" s="72">
        <v>0.05</v>
      </c>
      <c r="I40" s="72">
        <v>0.05</v>
      </c>
      <c r="J40" s="71"/>
      <c r="K40" s="72">
        <v>0.05</v>
      </c>
      <c r="L40" s="72">
        <v>0.05</v>
      </c>
      <c r="M40" s="72">
        <v>0.05</v>
      </c>
      <c r="N40" s="72">
        <v>0.05</v>
      </c>
    </row>
    <row r="41" spans="1:14" outlineLevel="1" x14ac:dyDescent="0.2">
      <c r="A41" s="69">
        <v>6</v>
      </c>
      <c r="B41" s="70" t="s">
        <v>71</v>
      </c>
      <c r="C41" s="71"/>
      <c r="D41" s="71"/>
      <c r="E41" s="71"/>
      <c r="F41" s="71">
        <v>0.05</v>
      </c>
      <c r="G41" s="71">
        <v>0.1</v>
      </c>
      <c r="H41" s="71">
        <v>0.1</v>
      </c>
      <c r="I41" s="71">
        <v>0.1</v>
      </c>
      <c r="J41" s="71"/>
      <c r="K41" s="71">
        <v>0.08</v>
      </c>
      <c r="L41" s="71">
        <v>0.08</v>
      </c>
      <c r="M41" s="71">
        <v>0.09</v>
      </c>
      <c r="N41" s="71">
        <v>0.25</v>
      </c>
    </row>
    <row r="42" spans="1:14" x14ac:dyDescent="0.2">
      <c r="A42" s="66" t="s">
        <v>142</v>
      </c>
      <c r="B42" s="67" t="s">
        <v>140</v>
      </c>
      <c r="C42" s="68">
        <v>0</v>
      </c>
      <c r="D42" s="68">
        <v>0</v>
      </c>
      <c r="E42" s="68">
        <v>0</v>
      </c>
      <c r="F42" s="68">
        <f>+F43+F46+F47+F44</f>
        <v>0.22999999999999998</v>
      </c>
      <c r="G42" s="68">
        <f>+G43+G46+G44</f>
        <v>0.12000000000000001</v>
      </c>
      <c r="H42" s="68">
        <f>+H43+H46+H44</f>
        <v>0.25</v>
      </c>
      <c r="I42" s="68">
        <f>+I43+I46+I44</f>
        <v>0.22</v>
      </c>
      <c r="J42" s="68">
        <v>0</v>
      </c>
      <c r="K42" s="68">
        <f>+K43+K46+K44</f>
        <v>0.22</v>
      </c>
      <c r="L42" s="68">
        <f>+L43+L46+L44</f>
        <v>0.21000000000000002</v>
      </c>
      <c r="M42" s="68">
        <f>+M43+M46+M44</f>
        <v>0.12000000000000001</v>
      </c>
      <c r="N42" s="68">
        <f>+N44+N43</f>
        <v>7.0000000000000007E-2</v>
      </c>
    </row>
    <row r="43" spans="1:14" outlineLevel="1" x14ac:dyDescent="0.2">
      <c r="A43" s="69">
        <v>1</v>
      </c>
      <c r="B43" s="76" t="s">
        <v>257</v>
      </c>
      <c r="C43" s="71"/>
      <c r="D43" s="71"/>
      <c r="E43" s="71"/>
      <c r="F43" s="71">
        <v>0.08</v>
      </c>
      <c r="G43" s="71">
        <v>0.1</v>
      </c>
      <c r="H43" s="71">
        <v>0.1</v>
      </c>
      <c r="I43" s="71">
        <v>0.1</v>
      </c>
      <c r="J43" s="71">
        <v>0.1</v>
      </c>
      <c r="K43" s="71">
        <v>0.1</v>
      </c>
      <c r="L43" s="71">
        <v>0.1</v>
      </c>
      <c r="M43" s="71">
        <v>0.05</v>
      </c>
      <c r="N43" s="71">
        <v>0.05</v>
      </c>
    </row>
    <row r="44" spans="1:14" outlineLevel="1" x14ac:dyDescent="0.2">
      <c r="A44" s="69">
        <v>2</v>
      </c>
      <c r="B44" s="76" t="s">
        <v>260</v>
      </c>
      <c r="C44" s="71"/>
      <c r="D44" s="71"/>
      <c r="E44" s="71"/>
      <c r="F44" s="71">
        <v>0.02</v>
      </c>
      <c r="G44" s="71">
        <v>0.02</v>
      </c>
      <c r="H44" s="71">
        <v>0.02</v>
      </c>
      <c r="I44" s="71">
        <v>0.02</v>
      </c>
      <c r="J44" s="71">
        <v>0.02</v>
      </c>
      <c r="K44" s="71">
        <v>0.02</v>
      </c>
      <c r="L44" s="71">
        <v>0.01</v>
      </c>
      <c r="M44" s="71">
        <v>0.02</v>
      </c>
      <c r="N44" s="71">
        <v>0.02</v>
      </c>
    </row>
    <row r="45" spans="1:14" outlineLevel="1" x14ac:dyDescent="0.2">
      <c r="A45" s="69">
        <v>3</v>
      </c>
      <c r="B45" s="70" t="s">
        <v>0</v>
      </c>
      <c r="C45" s="71"/>
      <c r="D45" s="71"/>
      <c r="E45" s="71"/>
      <c r="F45" s="77">
        <v>0.05</v>
      </c>
      <c r="G45" s="77">
        <v>0.05</v>
      </c>
      <c r="H45" s="77">
        <v>0.05</v>
      </c>
      <c r="I45" s="77">
        <v>0.05</v>
      </c>
      <c r="J45" s="77"/>
      <c r="K45" s="77">
        <v>0.05</v>
      </c>
      <c r="L45" s="77">
        <v>0.05</v>
      </c>
      <c r="M45" s="77">
        <v>0.05</v>
      </c>
      <c r="N45" s="77">
        <v>0.05</v>
      </c>
    </row>
    <row r="46" spans="1:14" outlineLevel="1" x14ac:dyDescent="0.2">
      <c r="A46" s="69">
        <v>4</v>
      </c>
      <c r="B46" s="76" t="s">
        <v>229</v>
      </c>
      <c r="C46" s="71"/>
      <c r="D46" s="71"/>
      <c r="E46" s="71"/>
      <c r="F46" s="71">
        <v>0.09</v>
      </c>
      <c r="G46" s="78">
        <v>0</v>
      </c>
      <c r="H46" s="71">
        <v>0.13</v>
      </c>
      <c r="I46" s="71">
        <v>0.1</v>
      </c>
      <c r="J46" s="71"/>
      <c r="K46" s="71">
        <v>0.1</v>
      </c>
      <c r="L46" s="71">
        <v>0.1</v>
      </c>
      <c r="M46" s="71">
        <v>0.05</v>
      </c>
      <c r="N46" s="78">
        <v>0</v>
      </c>
    </row>
    <row r="47" spans="1:14" outlineLevel="1" x14ac:dyDescent="0.2">
      <c r="A47" s="69">
        <v>5</v>
      </c>
      <c r="B47" s="76" t="s">
        <v>188</v>
      </c>
      <c r="C47" s="71"/>
      <c r="D47" s="71"/>
      <c r="E47" s="71"/>
      <c r="F47" s="71">
        <v>0.04</v>
      </c>
      <c r="G47" s="77">
        <v>0.05</v>
      </c>
      <c r="H47" s="77">
        <v>0.05</v>
      </c>
      <c r="I47" s="77">
        <v>0.05</v>
      </c>
      <c r="J47" s="77"/>
      <c r="K47" s="77">
        <v>0.05</v>
      </c>
      <c r="L47" s="77">
        <v>0.05</v>
      </c>
      <c r="M47" s="77">
        <v>0.05</v>
      </c>
      <c r="N47" s="77">
        <v>0.05</v>
      </c>
    </row>
    <row r="48" spans="1:14" outlineLevel="1" x14ac:dyDescent="0.2">
      <c r="A48" s="69">
        <v>6</v>
      </c>
      <c r="B48" s="76" t="s">
        <v>232</v>
      </c>
      <c r="C48" s="71"/>
      <c r="D48" s="71"/>
      <c r="E48" s="71"/>
      <c r="F48" s="77">
        <v>0.01</v>
      </c>
      <c r="G48" s="77">
        <v>0.01</v>
      </c>
      <c r="H48" s="77">
        <v>0.01</v>
      </c>
      <c r="I48" s="77">
        <v>0.01</v>
      </c>
      <c r="J48" s="77">
        <v>0.01</v>
      </c>
      <c r="K48" s="77">
        <v>0.01</v>
      </c>
      <c r="L48" s="77">
        <v>0.01</v>
      </c>
      <c r="M48" s="77">
        <v>0.01</v>
      </c>
      <c r="N48" s="77">
        <v>0.01</v>
      </c>
    </row>
    <row r="49" spans="1:14" outlineLevel="1" x14ac:dyDescent="0.2">
      <c r="A49" s="69">
        <v>7</v>
      </c>
      <c r="B49" s="76" t="s">
        <v>231</v>
      </c>
      <c r="C49" s="71"/>
      <c r="D49" s="71"/>
      <c r="E49" s="71"/>
      <c r="F49" s="77">
        <v>0.01</v>
      </c>
      <c r="G49" s="77">
        <v>0.01</v>
      </c>
      <c r="H49" s="77">
        <v>0.01</v>
      </c>
      <c r="I49" s="77">
        <v>0.01</v>
      </c>
      <c r="J49" s="77">
        <v>0.01</v>
      </c>
      <c r="K49" s="77">
        <v>0.01</v>
      </c>
      <c r="L49" s="77">
        <v>0.01</v>
      </c>
      <c r="M49" s="77">
        <v>0.01</v>
      </c>
      <c r="N49" s="77">
        <v>0.01</v>
      </c>
    </row>
    <row r="50" spans="1:14" outlineLevel="1" x14ac:dyDescent="0.2">
      <c r="A50" s="69">
        <v>8</v>
      </c>
      <c r="B50" s="76" t="s">
        <v>233</v>
      </c>
      <c r="C50" s="71"/>
      <c r="D50" s="71"/>
      <c r="E50" s="71"/>
      <c r="F50" s="77">
        <v>0.01</v>
      </c>
      <c r="G50" s="77">
        <v>0.01</v>
      </c>
      <c r="H50" s="77">
        <v>0.01</v>
      </c>
      <c r="I50" s="77">
        <v>0.01</v>
      </c>
      <c r="J50" s="77">
        <v>0.01</v>
      </c>
      <c r="K50" s="77">
        <v>0.01</v>
      </c>
      <c r="L50" s="77">
        <v>0.01</v>
      </c>
      <c r="M50" s="77">
        <v>0.01</v>
      </c>
      <c r="N50" s="77">
        <v>0.01</v>
      </c>
    </row>
    <row r="51" spans="1:14" outlineLevel="1" x14ac:dyDescent="0.2">
      <c r="A51" s="69">
        <v>9</v>
      </c>
      <c r="B51" s="76" t="s">
        <v>234</v>
      </c>
      <c r="C51" s="71"/>
      <c r="D51" s="71"/>
      <c r="E51" s="71"/>
      <c r="F51" s="77">
        <v>0.01</v>
      </c>
      <c r="G51" s="77">
        <v>0.01</v>
      </c>
      <c r="H51" s="77">
        <v>0.01</v>
      </c>
      <c r="I51" s="77">
        <v>0.01</v>
      </c>
      <c r="J51" s="77">
        <v>0.01</v>
      </c>
      <c r="K51" s="77">
        <v>0.01</v>
      </c>
      <c r="L51" s="77">
        <v>0.01</v>
      </c>
      <c r="M51" s="77">
        <v>0.01</v>
      </c>
      <c r="N51" s="77">
        <v>0.01</v>
      </c>
    </row>
    <row r="52" spans="1:14" x14ac:dyDescent="0.2">
      <c r="A52" s="66" t="s">
        <v>198</v>
      </c>
      <c r="B52" s="67" t="s">
        <v>143</v>
      </c>
      <c r="C52" s="68">
        <v>0</v>
      </c>
      <c r="D52" s="68">
        <v>0</v>
      </c>
      <c r="E52" s="68">
        <v>0</v>
      </c>
      <c r="F52" s="68">
        <f>+F53+F56+F57+F58+F59+F60</f>
        <v>0.27</v>
      </c>
      <c r="G52" s="68">
        <f>+G53+G56+G57+G58+G59+G60</f>
        <v>0.13</v>
      </c>
      <c r="H52" s="68">
        <f>+H53+H56+H57+H58+H59+H60</f>
        <v>0.2</v>
      </c>
      <c r="I52" s="68">
        <f>+I53+I56+I57+I58+I59+I60</f>
        <v>0.2</v>
      </c>
      <c r="J52" s="68">
        <v>0</v>
      </c>
      <c r="K52" s="68">
        <f>+K53+K56+K57+K58+K59+K60</f>
        <v>0.24</v>
      </c>
      <c r="L52" s="68">
        <f>+L53+L56+L57+L58+L59+L60</f>
        <v>0.26</v>
      </c>
      <c r="M52" s="68">
        <f>+M53+M56+M57+M58+M59+M60</f>
        <v>0.13</v>
      </c>
      <c r="N52" s="68">
        <f>+N57+N58+N59+N60</f>
        <v>0.1</v>
      </c>
    </row>
    <row r="53" spans="1:14" outlineLevel="1" x14ac:dyDescent="0.2">
      <c r="A53" s="69">
        <v>1</v>
      </c>
      <c r="B53" s="70" t="s">
        <v>85</v>
      </c>
      <c r="C53" s="71"/>
      <c r="D53" s="71"/>
      <c r="E53" s="71"/>
      <c r="F53" s="71">
        <v>0.05</v>
      </c>
      <c r="G53" s="71">
        <v>0.02</v>
      </c>
      <c r="H53" s="71">
        <v>0.03</v>
      </c>
      <c r="I53" s="71">
        <v>0.03</v>
      </c>
      <c r="J53" s="71"/>
      <c r="K53" s="71">
        <v>0.05</v>
      </c>
      <c r="L53" s="71">
        <v>7.0000000000000007E-2</v>
      </c>
      <c r="M53" s="71">
        <v>0.02</v>
      </c>
      <c r="N53" s="74">
        <v>0</v>
      </c>
    </row>
    <row r="54" spans="1:14" outlineLevel="1" x14ac:dyDescent="0.2">
      <c r="A54" s="69">
        <v>2</v>
      </c>
      <c r="B54" s="70" t="s">
        <v>8</v>
      </c>
      <c r="C54" s="71"/>
      <c r="D54" s="71"/>
      <c r="E54" s="71"/>
      <c r="F54" s="77">
        <v>0.05</v>
      </c>
      <c r="G54" s="77">
        <v>0.05</v>
      </c>
      <c r="H54" s="77">
        <v>0.05</v>
      </c>
      <c r="I54" s="77">
        <v>0.05</v>
      </c>
      <c r="J54" s="71"/>
      <c r="K54" s="77">
        <v>0.05</v>
      </c>
      <c r="L54" s="77">
        <v>0.05</v>
      </c>
      <c r="M54" s="77">
        <v>0.05</v>
      </c>
      <c r="N54" s="77">
        <v>0.05</v>
      </c>
    </row>
    <row r="55" spans="1:14" outlineLevel="1" x14ac:dyDescent="0.2">
      <c r="A55" s="69">
        <v>3</v>
      </c>
      <c r="B55" s="70" t="s">
        <v>9</v>
      </c>
      <c r="C55" s="71"/>
      <c r="D55" s="71"/>
      <c r="E55" s="71"/>
      <c r="F55" s="77">
        <v>0.05</v>
      </c>
      <c r="G55" s="77">
        <v>0.05</v>
      </c>
      <c r="H55" s="77">
        <v>0.05</v>
      </c>
      <c r="I55" s="77">
        <v>0.05</v>
      </c>
      <c r="J55" s="71"/>
      <c r="K55" s="77">
        <v>0.05</v>
      </c>
      <c r="L55" s="77">
        <v>0.05</v>
      </c>
      <c r="M55" s="77">
        <v>0.05</v>
      </c>
      <c r="N55" s="77">
        <v>0.05</v>
      </c>
    </row>
    <row r="56" spans="1:14" outlineLevel="1" x14ac:dyDescent="0.2">
      <c r="A56" s="69">
        <v>4</v>
      </c>
      <c r="B56" s="70" t="s">
        <v>261</v>
      </c>
      <c r="C56" s="71"/>
      <c r="D56" s="71"/>
      <c r="E56" s="71"/>
      <c r="F56" s="71">
        <v>0.08</v>
      </c>
      <c r="G56" s="71">
        <v>0.02</v>
      </c>
      <c r="H56" s="71">
        <v>0.05</v>
      </c>
      <c r="I56" s="71">
        <v>0.05</v>
      </c>
      <c r="J56" s="71"/>
      <c r="K56" s="71">
        <v>0.08</v>
      </c>
      <c r="L56" s="71">
        <v>0.08</v>
      </c>
      <c r="M56" s="71">
        <v>0.02</v>
      </c>
      <c r="N56" s="74">
        <v>0</v>
      </c>
    </row>
    <row r="57" spans="1:14" outlineLevel="1" x14ac:dyDescent="0.2">
      <c r="A57" s="69">
        <v>5</v>
      </c>
      <c r="B57" s="70" t="s">
        <v>262</v>
      </c>
      <c r="C57" s="71"/>
      <c r="D57" s="71"/>
      <c r="E57" s="71"/>
      <c r="F57" s="71">
        <v>0.02</v>
      </c>
      <c r="G57" s="71">
        <v>0.03</v>
      </c>
      <c r="H57" s="71">
        <v>0.03</v>
      </c>
      <c r="I57" s="71">
        <v>0.03</v>
      </c>
      <c r="J57" s="71"/>
      <c r="K57" s="71">
        <v>0.02</v>
      </c>
      <c r="L57" s="71">
        <v>0.02</v>
      </c>
      <c r="M57" s="71">
        <v>0.03</v>
      </c>
      <c r="N57" s="71">
        <v>0.03</v>
      </c>
    </row>
    <row r="58" spans="1:14" outlineLevel="1" x14ac:dyDescent="0.2">
      <c r="A58" s="69">
        <v>6</v>
      </c>
      <c r="B58" s="70" t="s">
        <v>126</v>
      </c>
      <c r="C58" s="71"/>
      <c r="D58" s="71"/>
      <c r="E58" s="71"/>
      <c r="F58" s="71">
        <v>0.04</v>
      </c>
      <c r="G58" s="71">
        <v>0.02</v>
      </c>
      <c r="H58" s="71">
        <v>0.03</v>
      </c>
      <c r="I58" s="71">
        <v>0.03</v>
      </c>
      <c r="J58" s="71"/>
      <c r="K58" s="71">
        <v>0.03</v>
      </c>
      <c r="L58" s="71">
        <v>0.03</v>
      </c>
      <c r="M58" s="71">
        <v>0.02</v>
      </c>
      <c r="N58" s="71">
        <v>0.02</v>
      </c>
    </row>
    <row r="59" spans="1:14" outlineLevel="1" x14ac:dyDescent="0.2">
      <c r="A59" s="69">
        <v>7</v>
      </c>
      <c r="B59" s="70" t="s">
        <v>127</v>
      </c>
      <c r="C59" s="71"/>
      <c r="D59" s="71"/>
      <c r="E59" s="71"/>
      <c r="F59" s="71">
        <v>0.04</v>
      </c>
      <c r="G59" s="71">
        <v>0.02</v>
      </c>
      <c r="H59" s="71">
        <v>0.03</v>
      </c>
      <c r="I59" s="71">
        <v>0.03</v>
      </c>
      <c r="J59" s="71"/>
      <c r="K59" s="71">
        <v>0.03</v>
      </c>
      <c r="L59" s="71">
        <v>0.03</v>
      </c>
      <c r="M59" s="71">
        <v>0.02</v>
      </c>
      <c r="N59" s="71">
        <v>0.02</v>
      </c>
    </row>
    <row r="60" spans="1:14" outlineLevel="1" x14ac:dyDescent="0.2">
      <c r="A60" s="69">
        <v>8</v>
      </c>
      <c r="B60" s="70" t="s">
        <v>144</v>
      </c>
      <c r="C60" s="71"/>
      <c r="D60" s="71"/>
      <c r="E60" s="71"/>
      <c r="F60" s="71">
        <v>0.04</v>
      </c>
      <c r="G60" s="71">
        <v>0.02</v>
      </c>
      <c r="H60" s="71">
        <v>0.03</v>
      </c>
      <c r="I60" s="71">
        <v>0.03</v>
      </c>
      <c r="J60" s="71"/>
      <c r="K60" s="71">
        <v>0.03</v>
      </c>
      <c r="L60" s="71">
        <v>0.03</v>
      </c>
      <c r="M60" s="71">
        <v>0.02</v>
      </c>
      <c r="N60" s="71">
        <v>0.03</v>
      </c>
    </row>
    <row r="61" spans="1:14" x14ac:dyDescent="0.2">
      <c r="A61" s="66" t="s">
        <v>197</v>
      </c>
      <c r="B61" s="67" t="s">
        <v>145</v>
      </c>
      <c r="C61" s="68">
        <v>0.05</v>
      </c>
      <c r="D61" s="68">
        <v>0.05</v>
      </c>
      <c r="E61" s="68">
        <v>0</v>
      </c>
      <c r="F61" s="68">
        <f>+F62</f>
        <v>0</v>
      </c>
      <c r="G61" s="68">
        <f>+G62</f>
        <v>0</v>
      </c>
      <c r="H61" s="68">
        <f>+H62</f>
        <v>0</v>
      </c>
      <c r="I61" s="68">
        <f>+I62</f>
        <v>0</v>
      </c>
      <c r="J61" s="68">
        <v>0.05</v>
      </c>
      <c r="K61" s="68">
        <f>+K62</f>
        <v>0</v>
      </c>
      <c r="L61" s="68">
        <f>+L62</f>
        <v>0</v>
      </c>
      <c r="M61" s="68">
        <f>+M62</f>
        <v>0</v>
      </c>
      <c r="N61" s="68">
        <f>+N62</f>
        <v>0</v>
      </c>
    </row>
    <row r="62" spans="1:14" outlineLevel="1" x14ac:dyDescent="0.2">
      <c r="A62" s="69">
        <v>1</v>
      </c>
      <c r="B62" s="70" t="s">
        <v>21</v>
      </c>
      <c r="C62" s="71"/>
      <c r="D62" s="71"/>
      <c r="E62" s="71"/>
      <c r="F62" s="74">
        <v>0</v>
      </c>
      <c r="G62" s="74">
        <v>0</v>
      </c>
      <c r="H62" s="74">
        <v>0</v>
      </c>
      <c r="I62" s="74">
        <v>0</v>
      </c>
      <c r="J62" s="74"/>
      <c r="K62" s="74">
        <v>0</v>
      </c>
      <c r="L62" s="74">
        <v>0</v>
      </c>
      <c r="M62" s="74">
        <v>0</v>
      </c>
      <c r="N62" s="74">
        <v>0</v>
      </c>
    </row>
    <row r="63" spans="1:14" outlineLevel="1" x14ac:dyDescent="0.2">
      <c r="A63" s="69">
        <v>2</v>
      </c>
      <c r="B63" s="70" t="s">
        <v>146</v>
      </c>
      <c r="C63" s="71"/>
      <c r="D63" s="71"/>
      <c r="E63" s="71"/>
      <c r="F63" s="77">
        <v>0.05</v>
      </c>
      <c r="G63" s="77">
        <v>0.05</v>
      </c>
      <c r="H63" s="77">
        <v>0.05</v>
      </c>
      <c r="I63" s="77">
        <v>0.05</v>
      </c>
      <c r="J63" s="71"/>
      <c r="K63" s="77">
        <v>0.05</v>
      </c>
      <c r="L63" s="77">
        <v>0.05</v>
      </c>
      <c r="M63" s="77">
        <v>0.05</v>
      </c>
      <c r="N63" s="77">
        <v>0.05</v>
      </c>
    </row>
    <row r="65" spans="6:14" x14ac:dyDescent="0.2">
      <c r="F65" s="79">
        <f>+F9+F14+F35+F42+F52</f>
        <v>1</v>
      </c>
      <c r="G65" s="79">
        <f>+G9+G14+G35+G42+G52</f>
        <v>1</v>
      </c>
      <c r="H65" s="79">
        <f>+H9+H14+H35+H42+H52</f>
        <v>1</v>
      </c>
      <c r="I65" s="79">
        <f>+I9+I14+I35+I42+I52</f>
        <v>1</v>
      </c>
      <c r="K65" s="79">
        <f>+K9+K14+K35+K42+K52</f>
        <v>1</v>
      </c>
      <c r="L65" s="79">
        <f>+L9+L14+L35+L42+L52</f>
        <v>1</v>
      </c>
      <c r="M65" s="79">
        <f>+M9+M14+M35+M42+M52</f>
        <v>1</v>
      </c>
      <c r="N65" s="79">
        <f>+N9+N14+N35+N42+N52</f>
        <v>0.99999999999999989</v>
      </c>
    </row>
  </sheetData>
  <sheetProtection algorithmName="SHA-512" hashValue="KKx2qLvA087poO8ofKLHJsmNCfyebE7RY1TElrbgo71KNhU9WhFtQv6Nux9axIkALTr9xXMp/pw4NJNRVjlwiw==" saltValue="nzQMMPUCFPN92ELoTGeqKg==" spinCount="100000" sheet="1" selectLockedCells="1"/>
  <mergeCells count="5">
    <mergeCell ref="I1:J1"/>
    <mergeCell ref="I2:J2"/>
    <mergeCell ref="I3:J3"/>
    <mergeCell ref="B1:H3"/>
    <mergeCell ref="A5:J5"/>
  </mergeCells>
  <pageMargins left="0.7" right="0.7" top="0.75" bottom="0.75" header="0.3" footer="0.3"/>
  <pageSetup paperSize="9" scale="40" fitToHeight="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74"/>
  <sheetViews>
    <sheetView workbookViewId="0">
      <selection activeCell="B14" sqref="B14"/>
    </sheetView>
  </sheetViews>
  <sheetFormatPr baseColWidth="10" defaultRowHeight="15" x14ac:dyDescent="0.25"/>
  <cols>
    <col min="1" max="1" width="11.42578125" style="37"/>
    <col min="2" max="2" width="71.42578125" style="37" customWidth="1"/>
    <col min="3" max="16384" width="11.42578125" style="37"/>
  </cols>
  <sheetData>
    <row r="2" spans="2:2" x14ac:dyDescent="0.25">
      <c r="B2" s="11" t="s">
        <v>47</v>
      </c>
    </row>
    <row r="3" spans="2:2" x14ac:dyDescent="0.25">
      <c r="B3" s="37" t="s">
        <v>51</v>
      </c>
    </row>
    <row r="4" spans="2:2" x14ac:dyDescent="0.25">
      <c r="B4" s="37" t="s">
        <v>52</v>
      </c>
    </row>
    <row r="6" spans="2:2" x14ac:dyDescent="0.25">
      <c r="B6" s="11" t="s">
        <v>48</v>
      </c>
    </row>
    <row r="7" spans="2:2" x14ac:dyDescent="0.25">
      <c r="B7" s="37" t="s">
        <v>53</v>
      </c>
    </row>
    <row r="8" spans="2:2" x14ac:dyDescent="0.25">
      <c r="B8" s="37" t="s">
        <v>54</v>
      </c>
    </row>
    <row r="9" spans="2:2" x14ac:dyDescent="0.25">
      <c r="B9" s="37" t="s">
        <v>264</v>
      </c>
    </row>
    <row r="11" spans="2:2" x14ac:dyDescent="0.25">
      <c r="B11" s="11" t="s">
        <v>49</v>
      </c>
    </row>
    <row r="12" spans="2:2" x14ac:dyDescent="0.25">
      <c r="B12" s="37" t="s">
        <v>55</v>
      </c>
    </row>
    <row r="13" spans="2:2" x14ac:dyDescent="0.25">
      <c r="B13" s="37" t="s">
        <v>56</v>
      </c>
    </row>
    <row r="15" spans="2:2" x14ac:dyDescent="0.25">
      <c r="B15" s="11" t="s">
        <v>50</v>
      </c>
    </row>
    <row r="16" spans="2:2" x14ac:dyDescent="0.25">
      <c r="B16" s="37" t="s">
        <v>57</v>
      </c>
    </row>
    <row r="17" spans="2:2" x14ac:dyDescent="0.25">
      <c r="B17" s="37" t="s">
        <v>58</v>
      </c>
    </row>
    <row r="19" spans="2:2" x14ac:dyDescent="0.25">
      <c r="B19" s="11" t="s">
        <v>60</v>
      </c>
    </row>
    <row r="20" spans="2:2" x14ac:dyDescent="0.25">
      <c r="B20" s="38" t="s">
        <v>61</v>
      </c>
    </row>
    <row r="21" spans="2:2" x14ac:dyDescent="0.25">
      <c r="B21" s="39" t="s">
        <v>62</v>
      </c>
    </row>
    <row r="22" spans="2:2" x14ac:dyDescent="0.25">
      <c r="B22" s="39" t="s">
        <v>63</v>
      </c>
    </row>
    <row r="23" spans="2:2" ht="15.75" thickBot="1" x14ac:dyDescent="0.3">
      <c r="B23" s="40" t="s">
        <v>64</v>
      </c>
    </row>
    <row r="26" spans="2:2" x14ac:dyDescent="0.25">
      <c r="B26" s="11" t="s">
        <v>71</v>
      </c>
    </row>
    <row r="27" spans="2:2" x14ac:dyDescent="0.25">
      <c r="B27" s="41" t="s">
        <v>67</v>
      </c>
    </row>
    <row r="28" spans="2:2" x14ac:dyDescent="0.25">
      <c r="B28" s="42" t="s">
        <v>68</v>
      </c>
    </row>
    <row r="29" spans="2:2" x14ac:dyDescent="0.25">
      <c r="B29" s="42" t="s">
        <v>69</v>
      </c>
    </row>
    <row r="30" spans="2:2" ht="15.75" thickBot="1" x14ac:dyDescent="0.3">
      <c r="B30" s="43" t="s">
        <v>70</v>
      </c>
    </row>
    <row r="32" spans="2:2" x14ac:dyDescent="0.25">
      <c r="B32" s="37" t="s">
        <v>74</v>
      </c>
    </row>
    <row r="33" spans="2:2" x14ac:dyDescent="0.25">
      <c r="B33" s="37" t="s">
        <v>17</v>
      </c>
    </row>
    <row r="34" spans="2:2" x14ac:dyDescent="0.25">
      <c r="B34" s="37" t="s">
        <v>16</v>
      </c>
    </row>
    <row r="35" spans="2:2" x14ac:dyDescent="0.25">
      <c r="B35" s="37" t="s">
        <v>75</v>
      </c>
    </row>
    <row r="37" spans="2:2" x14ac:dyDescent="0.25">
      <c r="B37" s="11" t="s">
        <v>85</v>
      </c>
    </row>
    <row r="38" spans="2:2" x14ac:dyDescent="0.25">
      <c r="B38" s="41" t="s">
        <v>81</v>
      </c>
    </row>
    <row r="39" spans="2:2" x14ac:dyDescent="0.25">
      <c r="B39" s="42" t="s">
        <v>82</v>
      </c>
    </row>
    <row r="40" spans="2:2" x14ac:dyDescent="0.25">
      <c r="B40" s="42" t="s">
        <v>83</v>
      </c>
    </row>
    <row r="41" spans="2:2" x14ac:dyDescent="0.25">
      <c r="B41" s="42" t="s">
        <v>84</v>
      </c>
    </row>
    <row r="43" spans="2:2" x14ac:dyDescent="0.25">
      <c r="B43" s="37" t="s">
        <v>188</v>
      </c>
    </row>
    <row r="44" spans="2:2" x14ac:dyDescent="0.25">
      <c r="B44" s="37" t="s">
        <v>16</v>
      </c>
    </row>
    <row r="45" spans="2:2" x14ac:dyDescent="0.25">
      <c r="B45" s="37" t="s">
        <v>189</v>
      </c>
    </row>
    <row r="46" spans="2:2" x14ac:dyDescent="0.25">
      <c r="B46" s="37" t="s">
        <v>190</v>
      </c>
    </row>
    <row r="47" spans="2:2" x14ac:dyDescent="0.25">
      <c r="B47" s="37" t="s">
        <v>191</v>
      </c>
    </row>
    <row r="48" spans="2:2" x14ac:dyDescent="0.25">
      <c r="B48" s="37" t="s">
        <v>192</v>
      </c>
    </row>
    <row r="49" spans="2:2" x14ac:dyDescent="0.25">
      <c r="B49" s="37" t="s">
        <v>193</v>
      </c>
    </row>
    <row r="52" spans="2:2" x14ac:dyDescent="0.25">
      <c r="B52" s="37" t="s">
        <v>202</v>
      </c>
    </row>
    <row r="53" spans="2:2" x14ac:dyDescent="0.25">
      <c r="B53" s="1" t="s">
        <v>203</v>
      </c>
    </row>
    <row r="54" spans="2:2" x14ac:dyDescent="0.25">
      <c r="B54" s="1" t="s">
        <v>204</v>
      </c>
    </row>
    <row r="55" spans="2:2" x14ac:dyDescent="0.25">
      <c r="B55" s="1" t="s">
        <v>206</v>
      </c>
    </row>
    <row r="56" spans="2:2" x14ac:dyDescent="0.25">
      <c r="B56" s="1" t="s">
        <v>248</v>
      </c>
    </row>
    <row r="57" spans="2:2" x14ac:dyDescent="0.25">
      <c r="B57" s="1" t="s">
        <v>247</v>
      </c>
    </row>
    <row r="58" spans="2:2" x14ac:dyDescent="0.25">
      <c r="B58" s="1" t="s">
        <v>210</v>
      </c>
    </row>
    <row r="59" spans="2:2" x14ac:dyDescent="0.25">
      <c r="B59" s="1" t="s">
        <v>205</v>
      </c>
    </row>
    <row r="60" spans="2:2" x14ac:dyDescent="0.25">
      <c r="B60" s="1" t="s">
        <v>207</v>
      </c>
    </row>
    <row r="61" spans="2:2" x14ac:dyDescent="0.25">
      <c r="B61" s="37" t="s">
        <v>237</v>
      </c>
    </row>
    <row r="62" spans="2:2" x14ac:dyDescent="0.25">
      <c r="B62" s="37" t="s">
        <v>238</v>
      </c>
    </row>
    <row r="63" spans="2:2" x14ac:dyDescent="0.25">
      <c r="B63" s="37" t="s">
        <v>246</v>
      </c>
    </row>
    <row r="64" spans="2:2" x14ac:dyDescent="0.25">
      <c r="B64" s="37" t="s">
        <v>263</v>
      </c>
    </row>
    <row r="66" spans="2:2" x14ac:dyDescent="0.25">
      <c r="B66" s="37" t="s">
        <v>254</v>
      </c>
    </row>
    <row r="67" spans="2:2" x14ac:dyDescent="0.25">
      <c r="B67" s="37" t="s">
        <v>249</v>
      </c>
    </row>
    <row r="68" spans="2:2" x14ac:dyDescent="0.25">
      <c r="B68" s="37" t="s">
        <v>250</v>
      </c>
    </row>
    <row r="69" spans="2:2" x14ac:dyDescent="0.25">
      <c r="B69" s="37" t="s">
        <v>242</v>
      </c>
    </row>
    <row r="71" spans="2:2" x14ac:dyDescent="0.25">
      <c r="B71" s="37" t="s">
        <v>256</v>
      </c>
    </row>
    <row r="72" spans="2:2" x14ac:dyDescent="0.25">
      <c r="B72" s="37" t="s">
        <v>242</v>
      </c>
    </row>
    <row r="73" spans="2:2" x14ac:dyDescent="0.25">
      <c r="B73" s="37" t="s">
        <v>244</v>
      </c>
    </row>
    <row r="74" spans="2:2" x14ac:dyDescent="0.25">
      <c r="B74" s="37" t="s">
        <v>243</v>
      </c>
    </row>
  </sheetData>
  <sheetProtection algorithmName="SHA-512" hashValue="RYTdiZitr4uPfLTUlOmpklkZq4/GSYKmrSI8JnBEx0ZlB9YBQ01zOo+nZIneLJYPFk8uYPhJ2iBCthKxARkuOw==" saltValue="d5uCdrC7YkzhRIPg2gFWVA==" spinCount="100000" sheet="1" objects="1" scenarios="1"/>
  <sortState ref="B52:B59">
    <sortCondition ref="B52"/>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SAD Formato Maestro" ma:contentTypeID="0x01010014E83F1778104F49A0A3344492D91977009C3169336F18254389719763C0FF64D0" ma:contentTypeVersion="118" ma:contentTypeDescription="" ma:contentTypeScope="" ma:versionID="595b79e343e635cf457369101124068d">
  <xsd:schema xmlns:xsd="http://www.w3.org/2001/XMLSchema" xmlns:p="http://schemas.microsoft.com/office/2006/metadata/properties" xmlns:ns2="f999fae2-ab47-4742-bde2-8ac3118eb91a" xmlns:ns3="9336d2ca-641d-4916-8dc8-58ae6051bab2" xmlns:ns4="87f3fb52-4b62-4ddf-9f55-814d46a43703" targetNamespace="http://schemas.microsoft.com/office/2006/metadata/properties" ma:root="true" ma:fieldsID="d7e61ab66a1d868bf61a8b3a3de7247e" ns2:_="" ns3:_="" ns4:_="">
    <xsd:import namespace="f999fae2-ab47-4742-bde2-8ac3118eb91a"/>
    <xsd:import namespace="9336d2ca-641d-4916-8dc8-58ae6051bab2"/>
    <xsd:import namespace="87f3fb52-4b62-4ddf-9f55-814d46a43703"/>
    <xsd:element name="properties">
      <xsd:complexType>
        <xsd:sequence>
          <xsd:element name="documentManagement">
            <xsd:complexType>
              <xsd:all>
                <xsd:element ref="ns2:Gerencias" minOccurs="0"/>
                <xsd:element ref="ns2:Areas" minOccurs="0"/>
                <xsd:element ref="ns2:Tipos_x0020_de_x0020_Documentos" minOccurs="0"/>
                <xsd:element ref="ns2:Observaciones" minOccurs="0"/>
                <xsd:element ref="ns3:Visualizadores_x003a_" minOccurs="0"/>
                <xsd:element ref="ns2:Código" minOccurs="0"/>
                <xsd:element ref="ns2:N_x00b0__x0020_Revisión" minOccurs="0"/>
                <xsd:element ref="ns2:Fecha_x0020_de_x0020_vigencia" minOccurs="0"/>
                <xsd:element ref="ns3:Elaborador" minOccurs="0"/>
                <xsd:element ref="ns3:Verificador_x003a_" minOccurs="0"/>
                <xsd:element ref="ns3:Validador_x003a_" minOccurs="0"/>
                <xsd:element ref="ns3:Revisor_x003a_" minOccurs="0"/>
                <xsd:element ref="ns3:Aprobar" minOccurs="0"/>
                <xsd:element ref="ns3:EmailElaborador" minOccurs="0"/>
                <xsd:element ref="ns3:Verificadores_x003a_" minOccurs="0"/>
                <xsd:element ref="ns3:EmailVerificador_x003a_" minOccurs="0"/>
                <xsd:element ref="ns3:Validadores_x003a_" minOccurs="0"/>
                <xsd:element ref="ns3:EmailValidador" minOccurs="0"/>
                <xsd:element ref="ns3:Aprobadores_x003a_" minOccurs="0"/>
                <xsd:element ref="ns3:EmailAprobador" minOccurs="0"/>
                <xsd:element ref="ns3:Revisores" minOccurs="0"/>
                <xsd:element ref="ns3:EmailRevisor_x003a_" minOccurs="0"/>
                <xsd:element ref="ns3:IDEstado" minOccurs="0"/>
                <xsd:element ref="ns3:Ubicación_x0020_de_x0020_Copiar_x0020_Controladas" minOccurs="0"/>
                <xsd:element ref="ns2:Area_x0020__x0028_Abreviatura_x0029_" minOccurs="0"/>
                <xsd:element ref="ns3:Bandeja" minOccurs="0"/>
                <xsd:element ref="ns3:Código_x0020_de_x0020_Tipo_x0020_Documento" minOccurs="0"/>
                <xsd:element ref="ns3:Secuencia" minOccurs="0"/>
                <xsd:element ref="ns2:Estado_x0020_de_x0020_documento" minOccurs="0"/>
                <xsd:element ref="ns3:Modificado_x0020_por_x003a_" minOccurs="0"/>
                <xsd:element ref="ns4:Acceso" minOccurs="0"/>
                <xsd:element ref="ns4:PermisoAsignado" minOccurs="0"/>
                <xsd:element ref="ns3:Elaboradores_x003a_" minOccurs="0"/>
                <xsd:element ref="ns3:Última_x0020_Revisión" minOccurs="0"/>
              </xsd:all>
            </xsd:complexType>
          </xsd:element>
        </xsd:sequence>
      </xsd:complexType>
    </xsd:element>
  </xsd:schema>
  <xsd:schema xmlns:xsd="http://www.w3.org/2001/XMLSchema" xmlns:dms="http://schemas.microsoft.com/office/2006/documentManagement/types" targetNamespace="f999fae2-ab47-4742-bde2-8ac3118eb91a" elementFormDefault="qualified">
    <xsd:import namespace="http://schemas.microsoft.com/office/2006/documentManagement/types"/>
    <xsd:element name="Gerencias" ma:index="2" nillable="true" ma:displayName="Gerencias:" ma:format="Dropdown" ma:internalName="Gerencias">
      <xsd:simpleType>
        <xsd:restriction base="dms:Choice">
          <xsd:enumeration value="ADMINISTRACIÓN Y FINANZAS"/>
          <xsd:enumeration value="CADENA DE SUMINISTRO"/>
          <xsd:enumeration value="COMERCIAL"/>
          <xsd:enumeration value="DESARROLLO DE NUEVOS NEGOCIOS"/>
          <xsd:enumeration value="GERENCIA DE PRUEBA"/>
          <xsd:enumeration value="GERENCIA GENERAL"/>
          <xsd:enumeration value="GESTIÓN HUMANA"/>
          <xsd:enumeration value="INGENIERÍA Y MANTENIMIENTO"/>
          <xsd:enumeration value="INNOVACION"/>
          <xsd:enumeration value="LOGÍSTICA"/>
          <xsd:enumeration value="OPERACIONES"/>
          <xsd:enumeration value="PLANEAMIENTO Y PROCESOS"/>
          <xsd:enumeration value="PRODUCCIÓN"/>
          <xsd:enumeration value="SUSTENTABILIDAD"/>
        </xsd:restriction>
      </xsd:simpleType>
    </xsd:element>
    <xsd:element name="Areas" ma:index="3" nillable="true" ma:displayName="Área:" ma:format="Dropdown" ma:internalName="Areas0">
      <xsd:simpleType>
        <xsd:union memberTypes="dms:Text">
          <xsd:simpleType>
            <xsd:restriction base="dms:Choice">
              <xsd:enumeration value="ADMINISTRACIÓN  Y  TESORERIA"/>
              <xsd:enumeration value="ADMINISTRACION DE DATOS MAESTROS"/>
              <xsd:enumeration value="ADMINISTRACION DE PERSONAL"/>
              <xsd:enumeration value="ADMINISTRACIÓN DE VENTAS"/>
              <xsd:enumeration value="ALMACEN"/>
              <xsd:enumeration value="AREA DE PRUEBA"/>
              <xsd:enumeration value="ASISTENCIA TECNICA TAJO ABIERTO"/>
              <xsd:enumeration value="ASISTENCIA TECNICA SUBTERRÁNEO"/>
              <xsd:enumeration value="COMPRAS GENERALES"/>
              <xsd:enumeration value="COMPRAS Y PLANEAMIENTO"/>
              <xsd:enumeration value="CONTABILIDAD"/>
              <xsd:enumeration value="CONTRALORIA"/>
              <xsd:enumeration value="CONTROL DE CALIDAD"/>
              <xsd:enumeration value="COSTOS"/>
              <xsd:enumeration value="CREDITOS Y COBRANZAS"/>
              <xsd:enumeration value="DESARROLLO ORGANIZACIONAL"/>
              <xsd:enumeration value="DESARROLLO DE TALENTO"/>
              <xsd:enumeration value="DISTRIBUCION"/>
              <xsd:enumeration value="EXPORTACIONES"/>
              <xsd:enumeration value="GERENCIA ADM Y FINAN"/>
              <xsd:enumeration value="GERENCIA COMERCIAL"/>
              <xsd:enumeration value="GERENCIA DE GESTION HUMANA"/>
              <xsd:enumeration value="GERENCIA DE OPERACIONES"/>
              <xsd:enumeration value="GERENCIA GENERAL"/>
              <xsd:enumeration value="GERENCIA LOGISTICA"/>
              <xsd:enumeration value="GERENCIA P&amp;P"/>
              <xsd:enumeration value="GESTIÓN DEL CONOCIMIENTO"/>
              <xsd:enumeration value="GESTIÓN DE LA CONTINUIDAD"/>
              <xsd:enumeration value="GESTIÓN DE PRODUCTOS &amp; SERVICIOS NUEVOS"/>
              <xsd:enumeration value="INFRAESTRUCTURA Y SERVICIOS"/>
              <xsd:enumeration value="INGENIERIA"/>
              <xsd:enumeration value="INGENIERIA Y PROYECTOS"/>
              <xsd:enumeration value="INVESTIGACION Y DESARROLLO"/>
              <xsd:enumeration value="MANTENIMIENTO"/>
              <xsd:enumeration value="MARKETING"/>
              <xsd:enumeration value="MEDIO AMBIENTE"/>
              <xsd:enumeration value="MINERIA A TAJO ABIERTO"/>
              <xsd:enumeration value="MINERIA SUBTERRANEA"/>
              <xsd:enumeration value="PLANEAMIENTO DE LA DEMANDA"/>
              <xsd:enumeration value="PLANIFICACION INTEGRAL"/>
              <xsd:enumeration value="PLANEAMIENTO Y CONTROL DE GESTIÓN"/>
              <xsd:enumeration value="PMO"/>
              <xsd:enumeration value="PROCESOS"/>
              <xsd:enumeration value="PROD. ACCESORIOS DE VOLADURA"/>
              <xsd:enumeration value="PROD. DINAMITAS"/>
              <xsd:enumeration value="PROD. EMULSIONES"/>
              <xsd:enumeration value="PROD. EXPLOSIVOS"/>
              <xsd:enumeration value="PROD. TACNA"/>
              <xsd:enumeration value="PROD. TRUJILLO"/>
              <xsd:enumeration value="PRODUCCION NAC-SAC"/>
              <xsd:enumeration value="PROYECTOS"/>
              <xsd:enumeration value="SALUD OCUPACIONAL"/>
              <xsd:enumeration value="SEGURIDAD"/>
              <xsd:enumeration value="SEGURIDAD MINERA"/>
              <xsd:enumeration value="SERVICIO DE VOLADURA"/>
              <xsd:enumeration value="SERVICIOS PARA LA MINERIA Y CONSTRUCCION"/>
              <xsd:enumeration value="SIVE ANTAMINA"/>
              <xsd:enumeration value="SIVE TOQUEPALA"/>
              <xsd:enumeration value="SIVE PUCAMARCA"/>
              <xsd:enumeration value="SERVICIOS GENERALES"/>
              <xsd:enumeration value="SISTEMAS DE GESTIÓN"/>
              <xsd:enumeration value="TECNOLOGIA DE INFORMACION"/>
              <xsd:enumeration value="TRAFICO"/>
              <xsd:enumeration value="TRANSPORTE"/>
            </xsd:restriction>
          </xsd:simpleType>
        </xsd:union>
      </xsd:simpleType>
    </xsd:element>
    <xsd:element name="Tipos_x0020_de_x0020_Documentos" ma:index="4" nillable="true" ma:displayName="Tipo de Documento:" ma:format="Dropdown" ma:internalName="Tipos_x0020_de_x0020_Documentos">
      <xsd:simpleType>
        <xsd:restriction base="dms:Choice">
          <xsd:enumeration value="APRECIACION Y APLICACION DE REQUISITOS LEGALES"/>
          <xsd:enumeration value="CADENA DE VALOR"/>
          <xsd:enumeration value="CARTILLA"/>
          <xsd:enumeration value="CERTIFICADOS"/>
          <xsd:enumeration value="CONTROL DE REGISTROS"/>
          <xsd:enumeration value="CONTROL DE DOCUMENTOS EXTERNOS"/>
          <xsd:enumeration value="DESCRIPCION DE PUESTO"/>
          <xsd:enumeration value="DIAGRAMA"/>
          <xsd:enumeration value="DOCUMENTO PRUEBA"/>
          <xsd:enumeration value="DOCUMENTOS EXTERNOS"/>
          <xsd:enumeration value="ESTADISTICA"/>
          <xsd:enumeration value="ESTANDARES"/>
          <xsd:enumeration value="FORMATO"/>
          <xsd:enumeration value="GUÍA"/>
          <xsd:enumeration value="HOJA L"/>
          <xsd:enumeration value="HOJAS DE SEGURIDAD MSDS MATERIAS PRIMAS"/>
          <xsd:enumeration value="HOJAS DE SEGURIDAD MSDS PRODUCTOS TERMINADOS"/>
          <xsd:enumeration value="HOJAS DE SEGURIDAD MSDS SEMIELABORADOS"/>
          <xsd:enumeration value="IDENTIFICACIÓN DE PELIGROS Y EVALUACIÓN DE RIESGOS"/>
          <xsd:enumeration value="IDENTIFICACIÓN DE PELIGROS Y EVALUACIÓN DE RIESGOS - BASC"/>
          <xsd:enumeration value="INFORMES DE AUDITORIA INTERNA"/>
          <xsd:enumeration value="INSTRUCCIÓN"/>
          <xsd:enumeration value="IPER - ANÁLISIS DE RIESGOS"/>
          <xsd:enumeration value="LISTADO"/>
          <xsd:enumeration value="MANUAL"/>
          <xsd:enumeration value="MANUAL DE GESTIÓN DE LA COMUNICACIÓN EN SITUACIONES DE CRISIS"/>
          <xsd:enumeration value="MANUAL DEL SISTEMA DE GESTIÓN AMBIENTAL"/>
          <xsd:enumeration value="MANUAL DEL SISTEMA DE GESTION DE CALIDAD"/>
          <xsd:enumeration value="MANUAL DEL SISTEMA DE GESTION DE SEGURIDAD EN EL COMERCIO INTERNACIONAL"/>
          <xsd:enumeration value="MANUAL DEL SISTEMA DE GESTION DE SEGURIDAD Y SALUD OCUPACIONAL"/>
          <xsd:enumeration value="MANUAL DEL SISTEMA DE GESTION EN CONTROL Y SEGURIDAD - BASC"/>
          <xsd:enumeration value="MAPEO DE PROCESOS Y SUB PROCESOS"/>
          <xsd:enumeration value="MAPA DE PROCESOS - BASC"/>
          <xsd:enumeration value="MAPA DE RIESGOS"/>
          <xsd:enumeration value="NORMA"/>
          <xsd:enumeration value="NORMALIZACIÓN DE INDICADORES"/>
          <xsd:enumeration value="OBJETIVOS DEL SISTEMA DE GESTION"/>
          <xsd:enumeration value="ORGANIGRAMA"/>
          <xsd:enumeration value="PATRÓN FOTOGRÁFICO"/>
          <xsd:enumeration value="PETS"/>
          <xsd:enumeration value="PLACA"/>
          <xsd:enumeration value="PLAN DE GESTIÓN DE CRISIS"/>
          <xsd:enumeration value="PLAN DE CONTINUIDAD"/>
          <xsd:enumeration value="PLANES Y/O PROGRAMAS"/>
          <xsd:enumeration value="POLÍTICA"/>
          <xsd:enumeration value="POLITICA DE LOS SISTEMAS DE GESTION"/>
          <xsd:enumeration value="PRÁCTICA OPERATIVA"/>
          <xsd:enumeration value="PROCEDIMIENTO"/>
          <xsd:enumeration value="PROGRAMA DEL SISTEMA DE GESTION"/>
          <xsd:enumeration value="REGISTRO DE IDENTIFICACION DE ASPECTOS AMBIENTALES SIGNIFICATIVOS"/>
          <xsd:enumeration value="REGLAMENTO"/>
          <xsd:enumeration value="RESUMEN DE ASPECTOS AMBIENTALES"/>
          <xsd:enumeration value="TABLA"/>
        </xsd:restriction>
      </xsd:simpleType>
    </xsd:element>
    <xsd:element name="Observaciones" ma:index="5" nillable="true" ma:displayName="Observaciones" ma:internalName="Observaciones">
      <xsd:simpleType>
        <xsd:restriction base="dms:Note"/>
      </xsd:simpleType>
    </xsd:element>
    <xsd:element name="Código" ma:index="7" nillable="true" ma:displayName="Código" ma:internalName="C_x00f3_digo0">
      <xsd:simpleType>
        <xsd:restriction base="dms:Text">
          <xsd:maxLength value="255"/>
        </xsd:restriction>
      </xsd:simpleType>
    </xsd:element>
    <xsd:element name="N_x00b0__x0020_Revisión" ma:index="8" nillable="true" ma:displayName="N° Revisión" ma:decimals="0" ma:default="1" ma:internalName="N_x00B0__x0020_Revisi_x00f3_n0" ma:readOnly="false" ma:percentage="FALSE">
      <xsd:simpleType>
        <xsd:restriction base="dms:Number"/>
      </xsd:simpleType>
    </xsd:element>
    <xsd:element name="Fecha_x0020_de_x0020_vigencia" ma:index="9" nillable="true" ma:displayName="Fecha de vigencia" ma:internalName="Fecha_x0020_de_x0020_vigencia" ma:readOnly="false">
      <xsd:simpleType>
        <xsd:restriction base="dms:Text">
          <xsd:maxLength value="255"/>
        </xsd:restriction>
      </xsd:simpleType>
    </xsd:element>
    <xsd:element name="Area_x0020__x0028_Abreviatura_x0029_" ma:index="30" nillable="true" ma:displayName="Area (Abreviatura)" ma:hidden="true" ma:internalName="Area_x0020__x0028_Abreviatura_x0029_" ma:readOnly="false">
      <xsd:simpleType>
        <xsd:restriction base="dms:Text">
          <xsd:maxLength value="255"/>
        </xsd:restriction>
      </xsd:simpleType>
    </xsd:element>
    <xsd:element name="Estado_x0020_de_x0020_documento" ma:index="36" nillable="true" ma:displayName="Estado de documento" ma:default="En Elaboración" ma:format="Dropdown" ma:hidden="true" ma:internalName="Estado_x0020_de_x0020_documento0" ma:readOnly="false">
      <xsd:simpleType>
        <xsd:restriction base="dms:Choice">
          <xsd:enumeration value="En Elaboración"/>
          <xsd:enumeration value="En Verificación"/>
          <xsd:enumeration value="En Validación"/>
          <xsd:enumeration value="En Revisión"/>
          <xsd:enumeration value="En Aprobación"/>
          <xsd:enumeration value="Aprobado"/>
          <xsd:enumeration value="Observado"/>
        </xsd:restriction>
      </xsd:simpleType>
    </xsd:element>
  </xsd:schema>
  <xsd:schema xmlns:xsd="http://www.w3.org/2001/XMLSchema" xmlns:dms="http://schemas.microsoft.com/office/2006/documentManagement/types" targetNamespace="9336d2ca-641d-4916-8dc8-58ae6051bab2" elementFormDefault="qualified">
    <xsd:import namespace="http://schemas.microsoft.com/office/2006/documentManagement/types"/>
    <xsd:element name="Visualizadores_x003a_" ma:index="6" nillable="true" ma:displayName="Visualizadores:" ma:list="UserInfo" ma:internalName="Visualizadores_x003A_"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laborador" ma:index="10" nillable="true" ma:displayName="Elaborador:" ma:internalName="Elaborador0" ma:readOnly="false">
      <xsd:simpleType>
        <xsd:restriction base="dms:Text">
          <xsd:maxLength value="255"/>
        </xsd:restriction>
      </xsd:simpleType>
    </xsd:element>
    <xsd:element name="Verificador_x003a_" ma:index="11" nillable="true" ma:displayName="Verificador:" ma:internalName="Verificador_x003A_" ma:readOnly="false">
      <xsd:simpleType>
        <xsd:restriction base="dms:Text">
          <xsd:maxLength value="255"/>
        </xsd:restriction>
      </xsd:simpleType>
    </xsd:element>
    <xsd:element name="Validador_x003a_" ma:index="12" nillable="true" ma:displayName="Validador:" ma:internalName="Validador_x003A_" ma:readOnly="false">
      <xsd:simpleType>
        <xsd:restriction base="dms:Text">
          <xsd:maxLength value="255"/>
        </xsd:restriction>
      </xsd:simpleType>
    </xsd:element>
    <xsd:element name="Revisor_x003a_" ma:index="13" nillable="true" ma:displayName="Revisor:" ma:internalName="Revisor_x003A_" ma:readOnly="false">
      <xsd:simpleType>
        <xsd:restriction base="dms:Text">
          <xsd:maxLength value="255"/>
        </xsd:restriction>
      </xsd:simpleType>
    </xsd:element>
    <xsd:element name="Aprobar" ma:index="14" nillable="true" ma:displayName="Aprobador:" ma:internalName="Aprobar" ma:readOnly="false">
      <xsd:simpleType>
        <xsd:restriction base="dms:Text">
          <xsd:maxLength value="255"/>
        </xsd:restriction>
      </xsd:simpleType>
    </xsd:element>
    <xsd:element name="EmailElaborador" ma:index="15" nillable="true" ma:displayName="EmailElaborador:" ma:hidden="true" ma:internalName="EmailElaborador0" ma:readOnly="false">
      <xsd:simpleType>
        <xsd:restriction base="dms:Text">
          <xsd:maxLength value="255"/>
        </xsd:restriction>
      </xsd:simpleType>
    </xsd:element>
    <xsd:element name="Verificadores_x003a_" ma:index="17" nillable="true" ma:displayName="Verificadores:" ma:hidden="true" ma:list="UserInfo" ma:internalName="Verificadores_x003A_"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mailVerificador_x003a_" ma:index="18" nillable="true" ma:displayName="EmailVerificador:" ma:hidden="true" ma:internalName="EmailVerificador_x003A_" ma:readOnly="false">
      <xsd:simpleType>
        <xsd:restriction base="dms:Text">
          <xsd:maxLength value="255"/>
        </xsd:restriction>
      </xsd:simpleType>
    </xsd:element>
    <xsd:element name="Validadores_x003a_" ma:index="20" nillable="true" ma:displayName="Validadores:" ma:hidden="true" ma:list="UserInfo" ma:internalName="Validadores_x003A_"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mailValidador" ma:index="21" nillable="true" ma:displayName="EmailValidador:" ma:hidden="true" ma:internalName="EmailValidador0" ma:readOnly="false">
      <xsd:simpleType>
        <xsd:restriction base="dms:Text">
          <xsd:maxLength value="255"/>
        </xsd:restriction>
      </xsd:simpleType>
    </xsd:element>
    <xsd:element name="Aprobadores_x003a_" ma:index="23" nillable="true" ma:displayName="Aprobadores:" ma:hidden="true" ma:list="UserInfo" ma:internalName="Aprobadores_x003A_"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mailAprobador" ma:index="24" nillable="true" ma:displayName="EmailAprobador:" ma:hidden="true" ma:internalName="EmailAprobador0" ma:readOnly="false">
      <xsd:simpleType>
        <xsd:restriction base="dms:Text">
          <xsd:maxLength value="255"/>
        </xsd:restriction>
      </xsd:simpleType>
    </xsd:element>
    <xsd:element name="Revisores" ma:index="26" nillable="true" ma:displayName="Revisores:" ma:hidden="true" ma:list="UserInfo" ma:internalName="Revisores0"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mailRevisor_x003a_" ma:index="27" nillable="true" ma:displayName="EmailRevisor:" ma:hidden="true" ma:internalName="EmailRevisor_x003A_" ma:readOnly="false">
      <xsd:simpleType>
        <xsd:restriction base="dms:Text">
          <xsd:maxLength value="255"/>
        </xsd:restriction>
      </xsd:simpleType>
    </xsd:element>
    <xsd:element name="IDEstado" ma:index="28" nillable="true" ma:displayName="IDEstado" ma:default="1" ma:hidden="true" ma:internalName="IDEstado0" ma:readOnly="false">
      <xsd:simpleType>
        <xsd:restriction base="dms:Text">
          <xsd:maxLength value="255"/>
        </xsd:restriction>
      </xsd:simpleType>
    </xsd:element>
    <xsd:element name="Ubicación_x0020_de_x0020_Copiar_x0020_Controladas" ma:index="29" nillable="true" ma:displayName="Ubicación de Copias Controladas" ma:internalName="Ubicaci_x00f3_n_x0020_de_x0020_Copiar_x0020_Controladas" ma:readOnly="false">
      <xsd:simpleType>
        <xsd:restriction base="dms:Note"/>
      </xsd:simpleType>
    </xsd:element>
    <xsd:element name="Bandeja" ma:index="31" nillable="true" ma:displayName="Bandeja" ma:format="Dropdown" ma:hidden="true" ma:internalName="Bandeja" ma:readOnly="false">
      <xsd:simpleType>
        <xsd:restriction base="dms:Choice">
          <xsd:enumeration value="DOCUMENTOS GENERALES"/>
          <xsd:enumeration value="DOCUMENTOS ESPECIALES"/>
          <xsd:enumeration value="DOCUMENTOS ESPECÍFICOS SISTEMA GESTIÓN"/>
          <xsd:enumeration value="DOCUMENTOS GENERALES SISTEMA GESTIÓN"/>
          <xsd:enumeration value="DOCUMENTOS ESPECÍFICOS OPERACIONES"/>
        </xsd:restriction>
      </xsd:simpleType>
    </xsd:element>
    <xsd:element name="Código_x0020_de_x0020_Tipo_x0020_Documento" ma:index="32" nillable="true" ma:displayName="Código de Tipo Documento" ma:hidden="true" ma:internalName="C_x00f3_digo_x0020_de_x0020_Tipo_x0020_Documento" ma:readOnly="false">
      <xsd:simpleType>
        <xsd:restriction base="dms:Text">
          <xsd:maxLength value="255"/>
        </xsd:restriction>
      </xsd:simpleType>
    </xsd:element>
    <xsd:element name="Secuencia" ma:index="34" nillable="true" ma:displayName="Secuencia" ma:hidden="true" ma:internalName="Secuencia" ma:readOnly="false">
      <xsd:simpleType>
        <xsd:restriction base="dms:Text">
          <xsd:maxLength value="255"/>
        </xsd:restriction>
      </xsd:simpleType>
    </xsd:element>
    <xsd:element name="Modificado_x0020_por_x003a_" ma:index="37" nillable="true" ma:displayName="Modificado por:" ma:hidden="true" ma:internalName="Modificado_x0020_por_x003A_" ma:readOnly="false">
      <xsd:simpleType>
        <xsd:restriction base="dms:Text">
          <xsd:maxLength value="255"/>
        </xsd:restriction>
      </xsd:simpleType>
    </xsd:element>
    <xsd:element name="Elaboradores_x003a_" ma:index="40" nillable="true" ma:displayName="Elaboradores:" ma:list="UserInfo" ma:internalName="Elaboradores_x003A_"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Última_x0020_Revisión" ma:index="41" nillable="true" ma:displayName="Última Revisión" ma:internalName="_x00da_ltima_x0020_Revisi_x00f3_n">
      <xsd:simpleType>
        <xsd:restriction base="dms:Text">
          <xsd:maxLength value="255"/>
        </xsd:restriction>
      </xsd:simpleType>
    </xsd:element>
  </xsd:schema>
  <xsd:schema xmlns:xsd="http://www.w3.org/2001/XMLSchema" xmlns:dms="http://schemas.microsoft.com/office/2006/documentManagement/types" targetNamespace="87f3fb52-4b62-4ddf-9f55-814d46a43703" elementFormDefault="qualified">
    <xsd:import namespace="http://schemas.microsoft.com/office/2006/documentManagement/types"/>
    <xsd:element name="Acceso" ma:index="38" nillable="true" ma:displayName="Acceso" ma:internalName="Acceso">
      <xsd:simpleType>
        <xsd:restriction base="dms:Note"/>
      </xsd:simpleType>
    </xsd:element>
    <xsd:element name="PermisoAsignado" ma:index="39" nillable="true" ma:displayName="PermisoAsignado" ma:internalName="PermisoAsignado">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9" ma:displayName="Tipo de contenido"/>
        <xsd:element ref="dc:title" minOccurs="0" maxOccurs="1" ma:index="1"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EmailElaborador xmlns="9336d2ca-641d-4916-8dc8-58ae6051bab2">jherrera@exsa.net</EmailElaborador>
    <EmailValidador xmlns="9336d2ca-641d-4916-8dc8-58ae6051bab2">jherrera@exsa.net</EmailValidador>
    <Modificado_x0020_por_x003a_ xmlns="9336d2ca-641d-4916-8dc8-58ae6051bab2">Juan Herrera</Modificado_x0020_por_x003a_>
    <EmailVerificador_x003a_ xmlns="9336d2ca-641d-4916-8dc8-58ae6051bab2" xsi:nil="true"/>
    <IDEstado xmlns="9336d2ca-641d-4916-8dc8-58ae6051bab2">5</IDEstado>
    <Ubicación_x0020_de_x0020_Copiar_x0020_Controladas xmlns="9336d2ca-641d-4916-8dc8-58ae6051bab2" xsi:nil="true"/>
    <Verificadores_x003a_ xmlns="9336d2ca-641d-4916-8dc8-58ae6051bab2">
      <UserInfo>
        <DisplayName/>
        <AccountId xsi:nil="true"/>
        <AccountType/>
      </UserInfo>
    </Verificadores_x003a_>
    <Aprobadores_x003a_ xmlns="9336d2ca-641d-4916-8dc8-58ae6051bab2">
      <UserInfo>
        <DisplayName>Noemi Miranda</DisplayName>
        <AccountId>119</AccountId>
        <AccountType/>
      </UserInfo>
      <UserInfo>
        <DisplayName>Alfredo Salazar</DisplayName>
        <AccountId>164</AccountId>
        <AccountType/>
      </UserInfo>
    </Aprobadores_x003a_>
    <Observaciones xmlns="f999fae2-ab47-4742-bde2-8ac3118eb91a" xsi:nil="true"/>
    <Area_x0020__x0028_Abreviatura_x0029_ xmlns="f999fae2-ab47-4742-bde2-8ac3118eb91a">COP</Area_x0020__x0028_Abreviatura_x0029_>
    <Elaboradores_x003a_ xmlns="9336d2ca-641d-4916-8dc8-58ae6051bab2">
      <UserInfo>
        <DisplayName/>
        <AccountId xsi:nil="true"/>
        <AccountType/>
      </UserInfo>
    </Elaboradores_x003a_>
    <Código xmlns="f999fae2-ab47-4742-bde2-8ac3118eb91a">COP-F-007</Código>
    <EmailRevisor_x003a_ xmlns="9336d2ca-641d-4916-8dc8-58ae6051bab2" xsi:nil="true"/>
    <Elaborador xmlns="9336d2ca-641d-4916-8dc8-58ae6051bab2">Juan Herrera</Elaborador>
    <Validadores_x003a_ xmlns="9336d2ca-641d-4916-8dc8-58ae6051bab2">
      <UserInfo>
        <DisplayName>Juan Herrera</DisplayName>
        <AccountId>185</AccountId>
        <AccountType/>
      </UserInfo>
    </Validadores_x003a_>
    <Revisores xmlns="9336d2ca-641d-4916-8dc8-58ae6051bab2">
      <UserInfo>
        <DisplayName/>
        <AccountId xsi:nil="true"/>
        <AccountType/>
      </UserInfo>
    </Revisores>
    <Código_x0020_de_x0020_Tipo_x0020_Documento xmlns="9336d2ca-641d-4916-8dc8-58ae6051bab2">F</Código_x0020_de_x0020_Tipo_x0020_Documento>
    <Aprobar xmlns="9336d2ca-641d-4916-8dc8-58ae6051bab2">Juan Herrera</Aprobar>
    <Secuencia xmlns="9336d2ca-641d-4916-8dc8-58ae6051bab2" xsi:nil="true"/>
    <Fecha_x0020_de_x0020_vigencia xmlns="f999fae2-ab47-4742-bde2-8ac3118eb91a">24/04/2015</Fecha_x0020_de_x0020_vigencia>
    <Revisor_x003a_ xmlns="9336d2ca-641d-4916-8dc8-58ae6051bab2" xsi:nil="true"/>
    <Bandeja xmlns="9336d2ca-641d-4916-8dc8-58ae6051bab2">DOCUMENTOS GENERALES</Bandeja>
    <Tipos_x0020_de_x0020_Documentos xmlns="f999fae2-ab47-4742-bde2-8ac3118eb91a">FORMATO</Tipos_x0020_de_x0020_Documentos>
    <Visualizadores_x003a_ xmlns="9336d2ca-641d-4916-8dc8-58ae6051bab2">
      <UserInfo>
        <DisplayName>EXSA\grp_usr_todos</DisplayName>
        <AccountId>327</AccountId>
        <AccountType/>
      </UserInfo>
    </Visualizadores_x003a_>
    <Validador_x003a_ xmlns="9336d2ca-641d-4916-8dc8-58ae6051bab2">Juan Herrera</Validador_x003a_>
    <EmailAprobador xmlns="9336d2ca-641d-4916-8dc8-58ae6051bab2">jherrera@exsa.net</EmailAprobador>
    <Estado_x0020_de_x0020_documento xmlns="f999fae2-ab47-4742-bde2-8ac3118eb91a">Aprobado</Estado_x0020_de_x0020_documento>
    <Verificador_x003a_ xmlns="9336d2ca-641d-4916-8dc8-58ae6051bab2" xsi:nil="true"/>
    <Última_x0020_Revisión xmlns="9336d2ca-641d-4916-8dc8-58ae6051bab2">24/04/2015</Última_x0020_Revisión>
    <Areas xmlns="f999fae2-ab47-4742-bde2-8ac3118eb91a">COMPRAS Y PLANEAMIENTO</Areas>
    <Gerencias xmlns="f999fae2-ab47-4742-bde2-8ac3118eb91a">CADENA DE SUMINISTRO</Gerencias>
    <N_x00b0__x0020_Revisión xmlns="f999fae2-ab47-4742-bde2-8ac3118eb91a">1</N_x00b0__x0020_Revisión>
    <PermisoAsignado xmlns="87f3fb52-4b62-4ddf-9f55-814d46a43703" xsi:nil="true"/>
    <Acceso xmlns="87f3fb52-4b62-4ddf-9f55-814d46a4370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081357C-15D5-44B6-A351-80BA8BE4ED3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999fae2-ab47-4742-bde2-8ac3118eb91a"/>
    <ds:schemaRef ds:uri="9336d2ca-641d-4916-8dc8-58ae6051bab2"/>
    <ds:schemaRef ds:uri="87f3fb52-4b62-4ddf-9f55-814d46a43703"/>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36A776BB-CFBC-4352-BBB5-2DA8B9555CE6}">
  <ds:schemaRefs>
    <ds:schemaRef ds:uri="http://schemas.microsoft.com/office/2006/documentManagement/types"/>
    <ds:schemaRef ds:uri="http://purl.org/dc/elements/1.1/"/>
    <ds:schemaRef ds:uri="f999fae2-ab47-4742-bde2-8ac3118eb91a"/>
    <ds:schemaRef ds:uri="http://www.w3.org/XML/1998/namespace"/>
    <ds:schemaRef ds:uri="9336d2ca-641d-4916-8dc8-58ae6051bab2"/>
    <ds:schemaRef ds:uri="http://purl.org/dc/dcmitype/"/>
    <ds:schemaRef ds:uri="http://purl.org/dc/terms/"/>
    <ds:schemaRef ds:uri="http://schemas.openxmlformats.org/package/2006/metadata/core-properties"/>
    <ds:schemaRef ds:uri="87f3fb52-4b62-4ddf-9f55-814d46a43703"/>
    <ds:schemaRef ds:uri="http://schemas.microsoft.com/office/2006/metadata/properties"/>
  </ds:schemaRefs>
</ds:datastoreItem>
</file>

<file path=customXml/itemProps3.xml><?xml version="1.0" encoding="utf-8"?>
<ds:datastoreItem xmlns:ds="http://schemas.openxmlformats.org/officeDocument/2006/customXml" ds:itemID="{825E8F02-02CB-42AE-9B30-44FBF6F5A8D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3</vt:i4>
      </vt:variant>
    </vt:vector>
  </HeadingPairs>
  <TitlesOfParts>
    <vt:vector size="7" baseType="lpstr">
      <vt:lpstr>COG-F-013</vt:lpstr>
      <vt:lpstr>COG-F-014</vt:lpstr>
      <vt:lpstr>Puntajes</vt:lpstr>
      <vt:lpstr>Datos</vt:lpstr>
      <vt:lpstr>'COG-F-013'!Área_de_impresión</vt:lpstr>
      <vt:lpstr>'COG-F-014'!Área_de_impresión</vt:lpstr>
      <vt:lpstr>'COG-F-013'!Títulos_a_imprimir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INFORMACIÓN DE PROVEEDOR PARA CALIFICACIÓN</dc:title>
  <dc:creator>Pedro Vallejos Espinoza</dc:creator>
  <cp:lastModifiedBy>Alonso Castro Chavez</cp:lastModifiedBy>
  <cp:lastPrinted>2016-09-01T15:17:37Z</cp:lastPrinted>
  <dcterms:created xsi:type="dcterms:W3CDTF">2015-01-08T15:05:56Z</dcterms:created>
  <dcterms:modified xsi:type="dcterms:W3CDTF">2017-07-21T21:28:29Z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0x01010014E83F1778104F49A0A3344492D91977009C3169336F18254389719763C0FF64D0</vt:lpwstr>
  </property>
</Properties>
</file>