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ri Susanto\Downloads\"/>
    </mc:Choice>
  </mc:AlternateContent>
  <xr:revisionPtr revIDLastSave="0" documentId="13_ncr:1_{0B335516-5E57-4379-A227-8139B6CA1DF8}" xr6:coauthVersionLast="47" xr6:coauthVersionMax="47" xr10:uidLastSave="{00000000-0000-0000-0000-000000000000}"/>
  <bookViews>
    <workbookView xWindow="-110" yWindow="-110" windowWidth="19420" windowHeight="10300" activeTab="6" xr2:uid="{AC42EAC1-4101-4B94-9C51-AA5A2EA1DAE3}"/>
  </bookViews>
  <sheets>
    <sheet name="STOI" sheetId="1" r:id="rId1"/>
    <sheet name="CH4" sheetId="2" r:id="rId2"/>
    <sheet name="CH4 (2)" sheetId="6" r:id="rId3"/>
    <sheet name="C2H6" sheetId="7" r:id="rId4"/>
    <sheet name="C3H8" sheetId="3" r:id="rId5"/>
    <sheet name="C4H10" sheetId="8" r:id="rId6"/>
    <sheet name="Gas Alam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9" l="1"/>
  <c r="M13" i="9"/>
  <c r="Q6" i="9"/>
  <c r="P7" i="9"/>
  <c r="M7" i="9"/>
  <c r="N7" i="9"/>
  <c r="O7" i="9"/>
  <c r="L7" i="9"/>
  <c r="I5" i="8"/>
  <c r="I16" i="8" s="1"/>
  <c r="I4" i="8"/>
  <c r="I15" i="8" s="1"/>
  <c r="I3" i="8"/>
  <c r="I7" i="8" s="1"/>
  <c r="I13" i="8" s="1"/>
  <c r="I4" i="7"/>
  <c r="I15" i="7" s="1"/>
  <c r="I3" i="7"/>
  <c r="I8" i="7" s="1"/>
  <c r="P15" i="7"/>
  <c r="P14" i="7"/>
  <c r="P13" i="7"/>
  <c r="I5" i="7"/>
  <c r="I16" i="7" s="1"/>
  <c r="I5" i="6"/>
  <c r="I16" i="6" s="1"/>
  <c r="I4" i="6"/>
  <c r="I15" i="6" s="1"/>
  <c r="I3" i="6"/>
  <c r="I14" i="6" s="1"/>
  <c r="L10" i="2"/>
  <c r="K10" i="2"/>
  <c r="L7" i="2"/>
  <c r="L8" i="2"/>
  <c r="L6" i="2"/>
  <c r="P14" i="3"/>
  <c r="P15" i="3"/>
  <c r="P13" i="3"/>
  <c r="I5" i="3"/>
  <c r="I16" i="3" s="1"/>
  <c r="I4" i="3"/>
  <c r="I15" i="3" s="1"/>
  <c r="I3" i="3"/>
  <c r="I8" i="3" s="1"/>
  <c r="I5" i="2"/>
  <c r="I16" i="2" s="1"/>
  <c r="I4" i="2"/>
  <c r="I15" i="2" s="1"/>
  <c r="I3" i="2"/>
  <c r="I8" i="2" s="1"/>
  <c r="I10" i="2" s="1"/>
  <c r="I5" i="1"/>
  <c r="I15" i="1" s="1"/>
  <c r="I4" i="1"/>
  <c r="I14" i="1" s="1"/>
  <c r="I3" i="1"/>
  <c r="I8" i="1" s="1"/>
  <c r="I10" i="1" s="1"/>
  <c r="I4" i="9" l="1"/>
  <c r="I15" i="9" s="1"/>
  <c r="I5" i="9"/>
  <c r="I16" i="9" s="1"/>
  <c r="Q7" i="9"/>
  <c r="I3" i="9"/>
  <c r="I7" i="9" s="1"/>
  <c r="I13" i="9" s="1"/>
  <c r="I8" i="8"/>
  <c r="I12" i="8" s="1"/>
  <c r="I14" i="8"/>
  <c r="I17" i="8" s="1"/>
  <c r="I14" i="7"/>
  <c r="I7" i="7"/>
  <c r="I13" i="7" s="1"/>
  <c r="I12" i="7"/>
  <c r="I7" i="6"/>
  <c r="I13" i="6" s="1"/>
  <c r="I8" i="6"/>
  <c r="I14" i="2"/>
  <c r="I12" i="3"/>
  <c r="I10" i="3"/>
  <c r="I14" i="3"/>
  <c r="I7" i="3"/>
  <c r="I13" i="3" s="1"/>
  <c r="I12" i="2"/>
  <c r="I7" i="2"/>
  <c r="I13" i="2" s="1"/>
  <c r="I7" i="1"/>
  <c r="I12" i="1" s="1"/>
  <c r="I16" i="1" s="1"/>
  <c r="I11" i="1"/>
  <c r="I14" i="9" l="1"/>
  <c r="I17" i="9" s="1"/>
  <c r="I8" i="9"/>
  <c r="I12" i="9" s="1"/>
  <c r="I10" i="8"/>
  <c r="J18" i="8"/>
  <c r="J16" i="8"/>
  <c r="J15" i="8"/>
  <c r="J13" i="8"/>
  <c r="J14" i="8"/>
  <c r="I17" i="7"/>
  <c r="J18" i="7" s="1"/>
  <c r="J14" i="7"/>
  <c r="I10" i="7"/>
  <c r="I12" i="6"/>
  <c r="I10" i="6"/>
  <c r="I17" i="6"/>
  <c r="I17" i="3"/>
  <c r="I17" i="2"/>
  <c r="J13" i="2" s="1"/>
  <c r="J13" i="1"/>
  <c r="J14" i="1"/>
  <c r="J15" i="1"/>
  <c r="J12" i="1"/>
  <c r="I10" i="9" l="1"/>
  <c r="N13" i="9" s="1"/>
  <c r="J18" i="9"/>
  <c r="O13" i="9" s="1"/>
  <c r="J15" i="9"/>
  <c r="J16" i="9"/>
  <c r="J13" i="9"/>
  <c r="J14" i="9"/>
  <c r="J17" i="8"/>
  <c r="J15" i="7"/>
  <c r="J16" i="7"/>
  <c r="J13" i="7"/>
  <c r="J18" i="6"/>
  <c r="J16" i="6"/>
  <c r="J14" i="6"/>
  <c r="J15" i="6"/>
  <c r="J13" i="6"/>
  <c r="J18" i="3"/>
  <c r="J16" i="3"/>
  <c r="J15" i="3"/>
  <c r="J14" i="3"/>
  <c r="J13" i="3"/>
  <c r="J18" i="2"/>
  <c r="J14" i="2"/>
  <c r="J16" i="2"/>
  <c r="J15" i="2"/>
  <c r="J16" i="1"/>
  <c r="M14" i="9" l="1"/>
  <c r="J17" i="9"/>
  <c r="J17" i="7"/>
  <c r="M17" i="6"/>
  <c r="M10" i="6" s="1"/>
  <c r="M11" i="6" s="1"/>
  <c r="P13" i="6" s="1"/>
  <c r="J17" i="6"/>
  <c r="J17" i="3"/>
  <c r="J17" i="2"/>
  <c r="M15" i="9" l="1"/>
  <c r="N18" i="9"/>
  <c r="R17" i="9" s="1"/>
  <c r="N19" i="9" l="1"/>
  <c r="R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Herri-TK ITB</author>
  </authors>
  <commentList>
    <comment ref="I3" authorId="0" shapeId="0" xr:uid="{3EFCA5CE-B901-441B-AA02-459A0534C940}">
      <text>
        <r>
          <rPr>
            <b/>
            <sz val="9"/>
            <color indexed="81"/>
            <rFont val="Tahoma"/>
            <charset val="1"/>
          </rPr>
          <t>Herri-TK ITB:</t>
        </r>
        <r>
          <rPr>
            <sz val="9"/>
            <color indexed="81"/>
            <rFont val="Tahoma"/>
            <charset val="1"/>
          </rPr>
          <t xml:space="preserve">
O2 stoisiometrik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Herri-TK ITB</author>
  </authors>
  <commentList>
    <comment ref="I3" authorId="0" shapeId="0" xr:uid="{3EFD6A87-B055-4B6F-9761-21C1AABE4177}">
      <text>
        <r>
          <rPr>
            <b/>
            <sz val="9"/>
            <color indexed="81"/>
            <rFont val="Tahoma"/>
            <charset val="1"/>
          </rPr>
          <t>Herri-TK ITB:</t>
        </r>
        <r>
          <rPr>
            <sz val="9"/>
            <color indexed="81"/>
            <rFont val="Tahoma"/>
            <charset val="1"/>
          </rPr>
          <t xml:space="preserve">
O2 stoisiometrik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Herri-TK ITB</author>
  </authors>
  <commentList>
    <comment ref="L2" authorId="0" shapeId="0" xr:uid="{EFF20933-AEB3-42E1-9C6A-376D5A66A166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koefisien persamaan reaksi</t>
        </r>
      </text>
    </comment>
    <comment ref="I3" authorId="0" shapeId="0" xr:uid="{428180B8-E599-47E4-ABDF-C7BB62F452B8}">
      <text>
        <r>
          <rPr>
            <b/>
            <sz val="9"/>
            <color indexed="81"/>
            <rFont val="Tahoma"/>
            <charset val="1"/>
          </rPr>
          <t>Herri-TK ITB:</t>
        </r>
        <r>
          <rPr>
            <sz val="9"/>
            <color indexed="81"/>
            <rFont val="Tahoma"/>
            <charset val="1"/>
          </rPr>
          <t xml:space="preserve">
O2 stoisiometrik</t>
        </r>
      </text>
    </comment>
    <comment ref="O11" authorId="0" shapeId="0" xr:uid="{FA8116C1-9641-4759-97CB-4545BB6D887F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diukur di gas cerobong</t>
        </r>
      </text>
    </comment>
    <comment ref="N12" authorId="0" shapeId="0" xr:uid="{685B85B8-C264-42B9-A647-AF82254E3872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hasil dari 
air preheater</t>
        </r>
      </text>
    </comment>
    <comment ref="J14" authorId="0" shapeId="0" xr:uid="{6469607B-D7C3-457E-B823-8A7A6151C759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diukur di gas cerobong</t>
        </r>
      </text>
    </comment>
    <comment ref="M14" authorId="0" shapeId="0" xr:uid="{6904A99D-F1A3-42B8-BC38-3BC09042DE81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untuk produksi </t>
        </r>
        <r>
          <rPr>
            <i/>
            <sz val="9"/>
            <color indexed="81"/>
            <rFont val="Tahoma"/>
            <family val="2"/>
          </rPr>
          <t>steam</t>
        </r>
        <r>
          <rPr>
            <sz val="9"/>
            <color indexed="81"/>
            <rFont val="Tahoma"/>
            <family val="2"/>
          </rPr>
          <t xml:space="preserve">
reaksi pembentukan semen
dll</t>
        </r>
      </text>
    </comment>
    <comment ref="J15" authorId="0" shapeId="0" xr:uid="{6EB7E260-AC30-4732-A002-9024912F6B37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diukur di gas cerobong</t>
        </r>
      </text>
    </comment>
    <comment ref="N17" authorId="0" shapeId="0" xr:uid="{88FC22D6-A8F4-4812-878B-4EB94C4667BD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20 bar(a); 300 C</t>
        </r>
      </text>
    </comment>
    <comment ref="N18" authorId="0" shapeId="0" xr:uid="{5DB2C80C-4872-4AAF-B2ED-4FAA3A9C6F93}">
      <text>
        <r>
          <rPr>
            <b/>
            <sz val="9"/>
            <color indexed="81"/>
            <rFont val="Tahoma"/>
            <family val="2"/>
          </rPr>
          <t>Herri-TK ITB:</t>
        </r>
        <r>
          <rPr>
            <sz val="9"/>
            <color indexed="81"/>
            <rFont val="Tahoma"/>
            <family val="2"/>
          </rPr>
          <t xml:space="preserve">
produksi listrik
via turbin - generator - listrik
dilanjutkan ke produksi mekanik dan listrik</t>
        </r>
      </text>
    </comment>
  </commentList>
</comments>
</file>

<file path=xl/sharedStrings.xml><?xml version="1.0" encoding="utf-8"?>
<sst xmlns="http://schemas.openxmlformats.org/spreadsheetml/2006/main" count="223" uniqueCount="81">
  <si>
    <t>O2, mol</t>
  </si>
  <si>
    <t>CO2, mol</t>
  </si>
  <si>
    <t>H2O, mol</t>
  </si>
  <si>
    <t>N2 ikutan O2, mol</t>
  </si>
  <si>
    <t>Udara stiosiometrik, mol</t>
  </si>
  <si>
    <t>Stosiometrik Mixture CH4/(CH4+Udara)</t>
  </si>
  <si>
    <t>kebutuhan udara stoisiometrik, mol/mol</t>
  </si>
  <si>
    <t>O2</t>
  </si>
  <si>
    <t>CO2</t>
  </si>
  <si>
    <t>H2O</t>
  </si>
  <si>
    <t>Gas cerobong stoisiometrik N2,mol</t>
  </si>
  <si>
    <t>BASIS HITUNGAN ===CH4, mol</t>
  </si>
  <si>
    <t>komposisi, %mol</t>
  </si>
  <si>
    <t>Gas Cerobong, mol</t>
  </si>
  <si>
    <t>koef. pers. reaksi</t>
  </si>
  <si>
    <t>Udara nyata, mol</t>
  </si>
  <si>
    <t>Excess Air</t>
  </si>
  <si>
    <t>excess air</t>
  </si>
  <si>
    <t>N2</t>
  </si>
  <si>
    <t>total</t>
  </si>
  <si>
    <t>G, mol</t>
  </si>
  <si>
    <t>kurva komposisi vs Excess air</t>
  </si>
  <si>
    <r>
      <t xml:space="preserve">C3H8 + </t>
    </r>
    <r>
      <rPr>
        <b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 xml:space="preserve">O2 --&gt; </t>
    </r>
    <r>
      <rPr>
        <b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CO2 + </t>
    </r>
    <r>
      <rPr>
        <b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H2O</t>
    </r>
  </si>
  <si>
    <t>BASIS HITUNGAN ===C3H8, mol</t>
  </si>
  <si>
    <t>dasar kering</t>
  </si>
  <si>
    <t>basah</t>
  </si>
  <si>
    <t>kering</t>
  </si>
  <si>
    <t>C</t>
  </si>
  <si>
    <t>Cp,     J/(mol.C)</t>
  </si>
  <si>
    <t>Q.FG</t>
  </si>
  <si>
    <t>J/mnt</t>
  </si>
  <si>
    <t>kJ/mnt</t>
  </si>
  <si>
    <t>T.FG</t>
  </si>
  <si>
    <t>Cp.FG</t>
  </si>
  <si>
    <t>eff.pemb =</t>
  </si>
  <si>
    <t>indirect method</t>
  </si>
  <si>
    <t>set point</t>
  </si>
  <si>
    <t>manipulated variable</t>
  </si>
  <si>
    <t>tulislah besaran dalam kinerja pembakaran</t>
  </si>
  <si>
    <t>sensor, measured variable</t>
  </si>
  <si>
    <t>…</t>
  </si>
  <si>
    <t>controlled variable</t>
  </si>
  <si>
    <t>CH4 + 2O2 --&gt; CO2 + 2H2O</t>
  </si>
  <si>
    <r>
      <t xml:space="preserve">C2H6 + </t>
    </r>
    <r>
      <rPr>
        <b/>
        <sz val="11"/>
        <color theme="1"/>
        <rFont val="Aptos Narrow"/>
        <family val="2"/>
        <scheme val="minor"/>
      </rPr>
      <t>3,5</t>
    </r>
    <r>
      <rPr>
        <sz val="11"/>
        <color theme="1"/>
        <rFont val="Aptos Narrow"/>
        <family val="2"/>
        <scheme val="minor"/>
      </rPr>
      <t xml:space="preserve">O2 --&gt; </t>
    </r>
    <r>
      <rPr>
        <b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CO2 + </t>
    </r>
    <r>
      <rPr>
        <b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H2O</t>
    </r>
  </si>
  <si>
    <t>BASIS HITUNGAN ===C2H6, mol</t>
  </si>
  <si>
    <r>
      <t>83,5% CH</t>
    </r>
    <r>
      <rPr>
        <vertAlign val="subscript"/>
        <sz val="12"/>
        <color theme="1"/>
        <rFont val="Aptos"/>
        <family val="2"/>
      </rPr>
      <t>4</t>
    </r>
    <r>
      <rPr>
        <sz val="12"/>
        <color theme="1"/>
        <rFont val="Aptos"/>
        <family val="2"/>
      </rPr>
      <t>, 5,8% C</t>
    </r>
    <r>
      <rPr>
        <vertAlign val="subscript"/>
        <sz val="12"/>
        <color theme="1"/>
        <rFont val="Aptos"/>
        <family val="2"/>
      </rPr>
      <t>2</t>
    </r>
    <r>
      <rPr>
        <sz val="12"/>
        <color theme="1"/>
        <rFont val="Aptos"/>
        <family val="2"/>
      </rPr>
      <t>H</t>
    </r>
    <r>
      <rPr>
        <vertAlign val="subscript"/>
        <sz val="12"/>
        <color theme="1"/>
        <rFont val="Aptos"/>
        <family val="2"/>
      </rPr>
      <t>6</t>
    </r>
    <r>
      <rPr>
        <sz val="12"/>
        <color theme="1"/>
        <rFont val="Aptos"/>
        <family val="2"/>
      </rPr>
      <t>, 3,6% C</t>
    </r>
    <r>
      <rPr>
        <vertAlign val="subscript"/>
        <sz val="12"/>
        <color theme="1"/>
        <rFont val="Aptos"/>
        <family val="2"/>
      </rPr>
      <t>3</t>
    </r>
    <r>
      <rPr>
        <sz val="12"/>
        <color theme="1"/>
        <rFont val="Aptos"/>
        <family val="2"/>
      </rPr>
      <t>H</t>
    </r>
    <r>
      <rPr>
        <vertAlign val="subscript"/>
        <sz val="12"/>
        <color theme="1"/>
        <rFont val="Aptos"/>
        <family val="2"/>
      </rPr>
      <t>8</t>
    </r>
    <r>
      <rPr>
        <sz val="12"/>
        <color theme="1"/>
        <rFont val="Aptos"/>
        <family val="2"/>
      </rPr>
      <t>, 1,5% C</t>
    </r>
    <r>
      <rPr>
        <vertAlign val="subscript"/>
        <sz val="12"/>
        <color theme="1"/>
        <rFont val="Aptos"/>
        <family val="2"/>
      </rPr>
      <t>4</t>
    </r>
    <r>
      <rPr>
        <sz val="12"/>
        <color theme="1"/>
        <rFont val="Aptos"/>
        <family val="2"/>
      </rPr>
      <t>H</t>
    </r>
    <r>
      <rPr>
        <vertAlign val="subscript"/>
        <sz val="12"/>
        <color theme="1"/>
        <rFont val="Aptos"/>
        <family val="2"/>
      </rPr>
      <t>10</t>
    </r>
    <r>
      <rPr>
        <sz val="12"/>
        <color theme="1"/>
        <rFont val="Aptos"/>
        <family val="2"/>
      </rPr>
      <t>, dan 5,6% CO</t>
    </r>
    <r>
      <rPr>
        <vertAlign val="subscript"/>
        <sz val="12"/>
        <color theme="1"/>
        <rFont val="Aptos"/>
        <family val="2"/>
      </rPr>
      <t>2</t>
    </r>
  </si>
  <si>
    <r>
      <t xml:space="preserve">C4H10 + </t>
    </r>
    <r>
      <rPr>
        <b/>
        <sz val="11"/>
        <color theme="1"/>
        <rFont val="Aptos Narrow"/>
        <family val="2"/>
        <scheme val="minor"/>
      </rPr>
      <t>6,5</t>
    </r>
    <r>
      <rPr>
        <sz val="11"/>
        <color theme="1"/>
        <rFont val="Aptos Narrow"/>
        <family val="2"/>
        <scheme val="minor"/>
      </rPr>
      <t xml:space="preserve">O2 --&gt; </t>
    </r>
    <r>
      <rPr>
        <b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CO2 + </t>
    </r>
    <r>
      <rPr>
        <b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>H2O</t>
    </r>
  </si>
  <si>
    <t>BASIS HITUNGAN ===C4H10, mol</t>
  </si>
  <si>
    <t>CH4</t>
  </si>
  <si>
    <t>C2H6</t>
  </si>
  <si>
    <t>C3H8</t>
  </si>
  <si>
    <t>C4H10</t>
  </si>
  <si>
    <t>CnHm</t>
  </si>
  <si>
    <t>Gas cerobong N2,mol</t>
  </si>
  <si>
    <t>sudah</t>
  </si>
  <si>
    <t>ada</t>
  </si>
  <si>
    <t>di bahan</t>
  </si>
  <si>
    <t>bakar</t>
  </si>
  <si>
    <t>HHV, kJ/mol</t>
  </si>
  <si>
    <t>LHV, kJ/mol</t>
  </si>
  <si>
    <t>Fuel</t>
  </si>
  <si>
    <t>Udara</t>
  </si>
  <si>
    <t>Gas Cer</t>
  </si>
  <si>
    <r>
      <t>Cp</t>
    </r>
    <r>
      <rPr>
        <i/>
        <sz val="11"/>
        <color theme="1"/>
        <rFont val="Aptos Narrow"/>
        <family val="2"/>
        <scheme val="minor"/>
      </rPr>
      <t>, J/(mol.C)</t>
    </r>
  </si>
  <si>
    <r>
      <t>T</t>
    </r>
    <r>
      <rPr>
        <i/>
        <sz val="11"/>
        <color theme="1"/>
        <rFont val="Aptos Narrow"/>
        <family val="2"/>
        <scheme val="minor"/>
      </rPr>
      <t>, C</t>
    </r>
  </si>
  <si>
    <t>H, kJ</t>
  </si>
  <si>
    <r>
      <t>BASIS HITUNGAN ==</t>
    </r>
    <r>
      <rPr>
        <i/>
        <sz val="11"/>
        <color theme="1"/>
        <rFont val="Aptos Narrow"/>
        <family val="2"/>
        <scheme val="minor"/>
      </rPr>
      <t xml:space="preserve">Fuel </t>
    </r>
    <r>
      <rPr>
        <sz val="11"/>
        <color theme="1"/>
        <rFont val="Aptos Narrow"/>
        <family val="2"/>
        <scheme val="minor"/>
      </rPr>
      <t>mol</t>
    </r>
  </si>
  <si>
    <r>
      <t>Q</t>
    </r>
    <r>
      <rPr>
        <i/>
        <sz val="11"/>
        <color theme="1"/>
        <rFont val="Aptos Narrow"/>
        <family val="2"/>
        <scheme val="minor"/>
      </rPr>
      <t>use</t>
    </r>
  </si>
  <si>
    <r>
      <t>%Q</t>
    </r>
    <r>
      <rPr>
        <i/>
        <sz val="11"/>
        <color theme="1"/>
        <rFont val="Aptos Narrow"/>
        <family val="2"/>
        <scheme val="minor"/>
      </rPr>
      <t>use</t>
    </r>
  </si>
  <si>
    <r>
      <t xml:space="preserve">komposisi </t>
    </r>
    <r>
      <rPr>
        <i/>
        <sz val="11"/>
        <color theme="1"/>
        <rFont val="Aptos Narrow"/>
        <family val="2"/>
        <scheme val="minor"/>
      </rPr>
      <t>fuel</t>
    </r>
  </si>
  <si>
    <t>h, BFW, kJ/kg</t>
  </si>
  <si>
    <t>h, steam, kJ/kg</t>
  </si>
  <si>
    <t>steam properties</t>
  </si>
  <si>
    <t>Laju produksi steam =</t>
  </si>
  <si>
    <t>kg</t>
  </si>
  <si>
    <t>steam/fuel =</t>
  </si>
  <si>
    <t>kg/mol</t>
  </si>
  <si>
    <t>permintaan steam</t>
  </si>
  <si>
    <t>calc.</t>
  </si>
  <si>
    <t>error</t>
  </si>
  <si>
    <t>gas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</si>
</sst>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72" formatCode="0.0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Aptos"/>
      <family val="2"/>
    </font>
    <font>
      <vertAlign val="subscript"/>
      <sz val="12"/>
      <color theme="1"/>
      <name val="Aptos"/>
      <family val="2"/>
    </font>
    <font>
      <sz val="9"/>
      <color indexed="81"/>
      <name val="Tahoma"/>
      <family val="2"/>
    </font>
    <font>
      <sz val="11"/>
      <color theme="8" tint="0.39997558519241921"/>
      <name val="Aptos Narrow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0" fontId="3" fillId="2" borderId="1" xfId="1" applyNumberFormat="1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2" fontId="3" fillId="3" borderId="0" xfId="0" applyNumberFormat="1" applyFont="1" applyFill="1"/>
    <xf numFmtId="2" fontId="0" fillId="3" borderId="0" xfId="0" applyNumberFormat="1" applyFill="1"/>
    <xf numFmtId="0" fontId="0" fillId="3" borderId="0" xfId="0" applyFill="1"/>
    <xf numFmtId="0" fontId="4" fillId="0" borderId="0" xfId="0" applyFon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2" borderId="2" xfId="0" applyFill="1" applyBorder="1" applyAlignment="1">
      <alignment horizontal="center" wrapText="1"/>
    </xf>
    <xf numFmtId="10" fontId="3" fillId="2" borderId="2" xfId="1" applyNumberFormat="1" applyFont="1" applyFill="1" applyBorder="1"/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2" fontId="0" fillId="0" borderId="1" xfId="0" applyNumberFormat="1" applyBorder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0" fillId="4" borderId="0" xfId="0" applyFill="1"/>
    <xf numFmtId="0" fontId="0" fillId="4" borderId="2" xfId="0" applyFill="1" applyBorder="1" applyAlignment="1">
      <alignment horizontal="center" wrapText="1"/>
    </xf>
    <xf numFmtId="10" fontId="3" fillId="4" borderId="2" xfId="1" applyNumberFormat="1" applyFont="1" applyFill="1" applyBorder="1"/>
    <xf numFmtId="2" fontId="0" fillId="4" borderId="0" xfId="0" applyNumberFormat="1" applyFill="1"/>
    <xf numFmtId="10" fontId="5" fillId="4" borderId="2" xfId="1" applyNumberFormat="1" applyFont="1" applyFill="1" applyBorder="1"/>
    <xf numFmtId="9" fontId="0" fillId="5" borderId="0" xfId="1" applyFont="1" applyFill="1"/>
    <xf numFmtId="2" fontId="0" fillId="5" borderId="0" xfId="0" applyNumberFormat="1" applyFill="1"/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164" fontId="0" fillId="6" borderId="1" xfId="1" applyNumberFormat="1" applyFon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4" fontId="0" fillId="7" borderId="1" xfId="1" applyNumberFormat="1" applyFon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3" fillId="8" borderId="0" xfId="0" applyFont="1" applyFill="1" applyAlignment="1">
      <alignment horizontal="right"/>
    </xf>
    <xf numFmtId="0" fontId="0" fillId="8" borderId="1" xfId="0" applyFill="1" applyBorder="1" applyAlignment="1">
      <alignment horizontal="right" wrapText="1"/>
    </xf>
    <xf numFmtId="165" fontId="0" fillId="8" borderId="1" xfId="0" applyNumberForma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0" fontId="5" fillId="8" borderId="0" xfId="0" applyFont="1" applyFill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1" fontId="0" fillId="3" borderId="0" xfId="0" applyNumberFormat="1" applyFill="1"/>
    <xf numFmtId="0" fontId="0" fillId="3" borderId="0" xfId="0" applyFill="1" applyAlignment="1">
      <alignment horizontal="right"/>
    </xf>
    <xf numFmtId="0" fontId="11" fillId="0" borderId="0" xfId="0" applyFont="1" applyAlignment="1">
      <alignment horizontal="center"/>
    </xf>
    <xf numFmtId="10" fontId="0" fillId="2" borderId="0" xfId="0" applyNumberFormat="1" applyFill="1"/>
    <xf numFmtId="0" fontId="0" fillId="0" borderId="1" xfId="0" applyBorder="1"/>
    <xf numFmtId="0" fontId="3" fillId="0" borderId="1" xfId="0" applyFont="1" applyBorder="1" applyAlignment="1">
      <alignment horizontal="right"/>
    </xf>
    <xf numFmtId="164" fontId="15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172" fontId="3" fillId="5" borderId="0" xfId="0" applyNumberFormat="1" applyFont="1" applyFill="1"/>
    <xf numFmtId="2" fontId="0" fillId="2" borderId="0" xfId="0" applyNumberFormat="1" applyFill="1"/>
    <xf numFmtId="9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0" fontId="14" fillId="5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'CH4'!$M$12:$Q$12</c:f>
              <c:numCache>
                <c:formatCode>0%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0.7</c:v>
                </c:pt>
              </c:numCache>
            </c:numRef>
          </c:xVal>
          <c:yVal>
            <c:numRef>
              <c:f>'CH4'!$M$15:$Q$15</c:f>
              <c:numCache>
                <c:formatCode>0.0%</c:formatCode>
                <c:ptCount val="5"/>
                <c:pt idx="0">
                  <c:v>9.5022624434389136E-2</c:v>
                </c:pt>
                <c:pt idx="1">
                  <c:v>8.7136929460580909E-2</c:v>
                </c:pt>
                <c:pt idx="2">
                  <c:v>8.0459770114942528E-2</c:v>
                </c:pt>
                <c:pt idx="3">
                  <c:v>6.5420560747663559E-2</c:v>
                </c:pt>
                <c:pt idx="4">
                  <c:v>5.817174515235457E-2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F-47B5-8566-110FDAAE79BC}"/>
            </c:ext>
          </c:extLst>
        </c:ser>
        <c:ser>
          <c:idx val="1"/>
          <c:order val="1"/>
          <c:tx>
            <c:v>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'CH4'!$M$12:$Q$12</c:f>
              <c:numCache>
                <c:formatCode>0%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0.7</c:v>
                </c:pt>
              </c:numCache>
            </c:numRef>
          </c:xVal>
          <c:yVal>
            <c:numRef>
              <c:f>'CH4'!$M$14:$Q$14</c:f>
              <c:numCache>
                <c:formatCode>0.0%</c:formatCode>
                <c:ptCount val="5"/>
                <c:pt idx="0">
                  <c:v>0</c:v>
                </c:pt>
                <c:pt idx="1">
                  <c:v>1.7427385892116183E-2</c:v>
                </c:pt>
                <c:pt idx="2">
                  <c:v>3.2183908045977011E-2</c:v>
                </c:pt>
                <c:pt idx="3">
                  <c:v>6.5420560747663559E-2</c:v>
                </c:pt>
                <c:pt idx="4">
                  <c:v>8.1440443213296396E-2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5F-47B5-8566-110FDAAE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10128"/>
        <c:axId val="832506768"/>
      </c:scatterChart>
      <c:valAx>
        <c:axId val="832510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06768"/>
        <c:crosses val="autoZero"/>
        <c:crossBetween val="midCat"/>
      </c:valAx>
      <c:valAx>
        <c:axId val="8325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839107</xdr:colOff>
      <xdr:row>0</xdr:row>
      <xdr:rowOff>81643</xdr:rowOff>
    </xdr:from>
    <xdr:to>
      <xdr:col>13</xdr:col>
      <xdr:colOff>267606</xdr:colOff>
      <xdr:row>8</xdr:row>
      <xdr:rowOff>181428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47352CE1-ACEC-D15A-4B66-B43DC7F7642D}"/>
            </a:ext>
          </a:extLst>
        </xdr:cNvPr>
        <xdr:cNvSpPr txBox="1"/>
      </xdr:nvSpPr>
      <xdr:spPr>
        <a:xfrm>
          <a:off x="5229678" y="81643"/>
          <a:ext cx="1814285" cy="1768928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Pembakaran metan (contoh soal):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Basis hitungan 1 mol CH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4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a. Persamaan reaksi: 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	CH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4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+ 2O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 CO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 + 2H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O</a:t>
          </a:r>
          <a:endParaRPr lang="en-US" sz="800">
            <a:solidFill>
              <a:srgbClr val="C00000"/>
            </a:solidFill>
            <a:latin typeface="Arial MT"/>
            <a:cs typeface="Arial MT"/>
          </a:endParaRP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b. Asumsi udara = 21% 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dan 79% N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endParaRPr lang="en-US" sz="800">
            <a:solidFill>
              <a:srgbClr val="C00000"/>
            </a:solidFill>
            <a:latin typeface="Arial MT"/>
            <a:cs typeface="Arial MT"/>
          </a:endParaRPr>
        </a:p>
        <a:p>
          <a:pPr indent="-457200" algn="l"/>
          <a:r>
            <a:rPr lang="en-US" sz="800" b="1">
              <a:solidFill>
                <a:srgbClr val="C00000"/>
              </a:solidFill>
              <a:latin typeface="Arial MT"/>
              <a:cs typeface="Arial MT"/>
            </a:rPr>
            <a:t>Soal-soal:</a:t>
          </a:r>
        </a:p>
        <a:p>
          <a:pPr indent="-457200" algn="l">
            <a:buAutoNum type="alphaLcPeriod"/>
          </a:pPr>
          <a:r>
            <a:rPr lang="en-US" sz="800">
              <a:solidFill>
                <a:sysClr val="windowText" lastClr="000000"/>
              </a:solidFill>
              <a:latin typeface="Arial MT"/>
              <a:cs typeface="Arial MT"/>
            </a:rPr>
            <a:t>Kebutuhan udara stoisiometrik</a:t>
          </a:r>
        </a:p>
        <a:p>
          <a:pPr indent="-457200" algn="l">
            <a:buAutoNum type="alphaLcPeriod"/>
          </a:pPr>
          <a:r>
            <a:rPr lang="en-US" sz="800">
              <a:solidFill>
                <a:sysClr val="windowText" lastClr="000000"/>
              </a:solidFill>
              <a:latin typeface="Arial MT"/>
              <a:cs typeface="Arial MT"/>
            </a:rPr>
            <a:t>Komposisi dan jumlah mol Gas                                    Cerobong (hasil pembakaran)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Kebutuhan udara jika pembakaran dengan udara berlebih 10%</a:t>
          </a:r>
          <a:r>
            <a:rPr lang="en-US" sz="800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.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Komposisi dan jumlah mol Gas Cerobong.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Lakukan perhitungan berulang untuk udara berlebih berbagai nilai.</a:t>
          </a:r>
          <a:r>
            <a:rPr lang="en-US" sz="800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 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Lakukan perhitungan berulang untuk berbagai gas murni atau campuran.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213179</xdr:colOff>
      <xdr:row>0</xdr:row>
      <xdr:rowOff>9072</xdr:rowOff>
    </xdr:from>
    <xdr:to>
      <xdr:col>20</xdr:col>
      <xdr:colOff>204106</xdr:colOff>
      <xdr:row>11</xdr:row>
      <xdr:rowOff>140607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7DF07AB7-A92C-453A-95B3-2F0C45B34BA0}"/>
            </a:ext>
          </a:extLst>
        </xdr:cNvPr>
        <xdr:cNvSpPr txBox="1"/>
      </xdr:nvSpPr>
      <xdr:spPr>
        <a:xfrm>
          <a:off x="7883072" y="9072"/>
          <a:ext cx="2422070" cy="2358571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Pembakaran metan (contoh soal):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Basis hitungan 1 mol CH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4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a. Persamaan reaksi: 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	CH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4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+ 2O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 CO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 + 2H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O</a:t>
          </a:r>
          <a:endParaRPr lang="en-US" sz="800">
            <a:solidFill>
              <a:srgbClr val="C00000"/>
            </a:solidFill>
            <a:latin typeface="Arial MT"/>
            <a:cs typeface="Arial MT"/>
          </a:endParaRP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b. Asumsi udara = 21% 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dan 79% N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endParaRPr lang="en-US" sz="800">
            <a:solidFill>
              <a:srgbClr val="C00000"/>
            </a:solidFill>
            <a:latin typeface="Arial MT"/>
            <a:cs typeface="Arial MT"/>
          </a:endParaRPr>
        </a:p>
        <a:p>
          <a:pPr indent="-457200" algn="l"/>
          <a:r>
            <a:rPr lang="en-US" sz="800" b="1">
              <a:solidFill>
                <a:srgbClr val="C00000"/>
              </a:solidFill>
              <a:latin typeface="Arial MT"/>
              <a:cs typeface="Arial MT"/>
            </a:rPr>
            <a:t>Soal-soal:</a:t>
          </a:r>
        </a:p>
        <a:p>
          <a:pPr indent="-457200" algn="l">
            <a:buAutoNum type="alphaLcPeriod"/>
          </a:pPr>
          <a:r>
            <a:rPr lang="en-US" sz="800">
              <a:solidFill>
                <a:sysClr val="windowText" lastClr="000000"/>
              </a:solidFill>
              <a:latin typeface="Arial MT"/>
              <a:cs typeface="Arial MT"/>
            </a:rPr>
            <a:t>Kebutuhan udara stoisiometrik</a:t>
          </a:r>
        </a:p>
        <a:p>
          <a:pPr indent="-457200" algn="l">
            <a:buAutoNum type="alphaLcPeriod"/>
          </a:pPr>
          <a:r>
            <a:rPr lang="en-US" sz="800">
              <a:solidFill>
                <a:sysClr val="windowText" lastClr="000000"/>
              </a:solidFill>
              <a:latin typeface="Arial MT"/>
              <a:cs typeface="Arial MT"/>
            </a:rPr>
            <a:t>Komposisi dan jumlah mol Gas                                    Cerobong (hasil pembakaran)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Kebutuhan udara jika pembakaran dengan udara berlebih </a:t>
          </a:r>
          <a:r>
            <a:rPr lang="en-US" sz="800" b="1">
              <a:solidFill>
                <a:srgbClr val="C00000"/>
              </a:solidFill>
              <a:latin typeface="Arial MT"/>
              <a:cs typeface="Arial MT"/>
            </a:rPr>
            <a:t>10%</a:t>
          </a:r>
          <a:r>
            <a:rPr lang="en-US" sz="800" b="1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.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Komposisi dan jumlah mol Gas Cerobong.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Lakukan perhitungan berulang untuk udara berlebih berbagai nilai.</a:t>
          </a:r>
          <a:r>
            <a:rPr lang="en-US" sz="800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 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Lakukan perhitungan berulang untuk berbagai gas murni atau campuran.</a:t>
          </a:r>
        </a:p>
      </xdr:txBody>
    </xdr:sp>
    <xdr:clientData/>
  </xdr:twoCellAnchor>
  <xdr:twoCellAnchor>
    <xdr:from>
      <xdr:col>17</xdr:col>
      <xdr:colOff>603251</xdr:colOff>
      <xdr:row>1</xdr:row>
      <xdr:rowOff>158752</xdr:rowOff>
    </xdr:from>
    <xdr:to>
      <xdr:col>22</xdr:col>
      <xdr:colOff>240394</xdr:colOff>
      <xdr:row>11</xdr:row>
      <xdr:rowOff>263073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D77F7E-3186-F1E8-EB8A-2A9C30A5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79375</xdr:colOff>
      <xdr:row>0</xdr:row>
      <xdr:rowOff>243416</xdr:rowOff>
    </xdr:from>
    <xdr:to>
      <xdr:col>20</xdr:col>
      <xdr:colOff>85097</xdr:colOff>
      <xdr:row>19</xdr:row>
      <xdr:rowOff>42178</xdr:rowOff>
    </xdr:to>
    <xdr:pic>
      <xdr:nvPicPr>
        <xdr:cNvPr id="5" name="Picture 4" descr="Graph of gas and gas prices&#10;&#10;Description automatically generated with medium confidence">
          <a:extLst>
            <a:ext uri="{FF2B5EF4-FFF2-40B4-BE49-F238E27FC236}">
              <a16:creationId xmlns:a16="http://schemas.microsoft.com/office/drawing/2014/main" id="{29C05789-1F7C-F9C1-11EF-D9A312AE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8417" y="243416"/>
          <a:ext cx="4265513" cy="3688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393027</xdr:colOff>
      <xdr:row>11</xdr:row>
      <xdr:rowOff>66387</xdr:rowOff>
    </xdr:from>
    <xdr:to>
      <xdr:col>25</xdr:col>
      <xdr:colOff>23572</xdr:colOff>
      <xdr:row>15</xdr:row>
      <xdr:rowOff>112214</xdr:rowOff>
    </xdr:to>
    <xdr:sp macro="" textlink="">
      <xdr:nvSpPr>
        <xdr:cNvPr id="4" name="TextBox 39">
          <a:extLst>
            <a:ext uri="{FF2B5EF4-FFF2-40B4-BE49-F238E27FC236}">
              <a16:creationId xmlns:a16="http://schemas.microsoft.com/office/drawing/2014/main" id="{ED709329-836E-0BEA-C8A6-214B57637B8B}"/>
            </a:ext>
          </a:extLst>
        </xdr:cNvPr>
        <xdr:cNvSpPr txBox="1"/>
      </xdr:nvSpPr>
      <xdr:spPr>
        <a:xfrm>
          <a:off x="8134735" y="2288887"/>
          <a:ext cx="5107420" cy="97186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D" sz="1400"/>
            <a:t>Jadi efisiensi pembakaran dipengaruhi oleh:</a:t>
          </a:r>
        </a:p>
        <a:p>
          <a:r>
            <a:rPr lang="en-ID" sz="1400"/>
            <a:t>Excess air = 0% </a:t>
          </a:r>
          <a:r>
            <a:rPr lang="en-ID" sz="1400">
              <a:sym typeface="Wingdings" panose="05000000000000000000" pitchFamily="2" charset="2"/>
            </a:rPr>
            <a:t> ER naik  eff turun</a:t>
          </a:r>
          <a:endParaRPr lang="en-ID" sz="1400"/>
        </a:p>
        <a:p>
          <a:r>
            <a:rPr lang="en-ID" sz="1400"/>
            <a:t>Flue gas temperature = 400 </a:t>
          </a:r>
          <a:r>
            <a:rPr lang="en-ID" sz="1400" baseline="30000"/>
            <a:t>o</a:t>
          </a:r>
          <a:r>
            <a:rPr lang="en-ID" sz="1400"/>
            <a:t>C  </a:t>
          </a:r>
          <a:r>
            <a:rPr lang="en-ID" sz="1400">
              <a:sym typeface="Wingdings" panose="05000000000000000000" pitchFamily="2" charset="2"/>
            </a:rPr>
            <a:t> T</a:t>
          </a:r>
          <a:r>
            <a:rPr lang="en-ID" sz="1400" baseline="-25000">
              <a:sym typeface="Wingdings" panose="05000000000000000000" pitchFamily="2" charset="2"/>
            </a:rPr>
            <a:t>FG </a:t>
          </a:r>
          <a:r>
            <a:rPr lang="en-ID" sz="1400">
              <a:sym typeface="Wingdings" panose="05000000000000000000" pitchFamily="2" charset="2"/>
            </a:rPr>
            <a:t>diturunkan  eff naik</a:t>
          </a:r>
          <a:endParaRPr lang="en-ID" sz="1400"/>
        </a:p>
        <a:p>
          <a:r>
            <a:rPr lang="en-ID" sz="1400"/>
            <a:t>Eff. Pembakaran = …. % = (80.100 – 12.044)/80.100 = … 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172357</xdr:rowOff>
    </xdr:from>
    <xdr:to>
      <xdr:col>16</xdr:col>
      <xdr:colOff>371927</xdr:colOff>
      <xdr:row>11</xdr:row>
      <xdr:rowOff>31750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6DBCCE1F-2C2E-4CFC-8D74-D3A28753F62E}"/>
            </a:ext>
          </a:extLst>
        </xdr:cNvPr>
        <xdr:cNvSpPr txBox="1"/>
      </xdr:nvSpPr>
      <xdr:spPr>
        <a:xfrm>
          <a:off x="6227536" y="172357"/>
          <a:ext cx="2422070" cy="2086429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Pembakaran metan (contoh soal):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Basis hitungan 1 mol propan 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a. Persamaan reaksi: </a:t>
          </a: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	C3H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8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+ 5O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 3CO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 + 4H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  <a:sym typeface="Wingdings" panose="05000000000000000000" pitchFamily="2" charset="2"/>
            </a:rPr>
            <a:t>O</a:t>
          </a:r>
          <a:endParaRPr lang="en-US" sz="800">
            <a:solidFill>
              <a:srgbClr val="C00000"/>
            </a:solidFill>
            <a:latin typeface="Arial MT"/>
            <a:cs typeface="Arial MT"/>
          </a:endParaRPr>
        </a:p>
        <a:p>
          <a:pPr algn="l"/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b. Asumsi udara = 21% O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 dan 79% N</a:t>
          </a:r>
          <a:r>
            <a:rPr lang="en-US" sz="800" baseline="-25000">
              <a:solidFill>
                <a:srgbClr val="C00000"/>
              </a:solidFill>
              <a:latin typeface="Arial MT"/>
              <a:cs typeface="Arial MT"/>
            </a:rPr>
            <a:t>2</a:t>
          </a:r>
          <a:endParaRPr lang="en-US" sz="800">
            <a:solidFill>
              <a:srgbClr val="C00000"/>
            </a:solidFill>
            <a:latin typeface="Arial MT"/>
            <a:cs typeface="Arial MT"/>
          </a:endParaRPr>
        </a:p>
        <a:p>
          <a:pPr indent="-457200" algn="l"/>
          <a:r>
            <a:rPr lang="en-US" sz="800" b="1">
              <a:solidFill>
                <a:srgbClr val="C00000"/>
              </a:solidFill>
              <a:latin typeface="Arial MT"/>
              <a:cs typeface="Arial MT"/>
            </a:rPr>
            <a:t>Soal-soal:</a:t>
          </a:r>
        </a:p>
        <a:p>
          <a:pPr indent="-457200" algn="l">
            <a:buAutoNum type="alphaLcPeriod"/>
          </a:pPr>
          <a:r>
            <a:rPr lang="en-US" sz="800">
              <a:solidFill>
                <a:sysClr val="windowText" lastClr="000000"/>
              </a:solidFill>
              <a:latin typeface="Arial MT"/>
              <a:cs typeface="Arial MT"/>
            </a:rPr>
            <a:t>Kebutuhan udara stoisiometrik</a:t>
          </a:r>
        </a:p>
        <a:p>
          <a:pPr indent="-457200" algn="l">
            <a:buAutoNum type="alphaLcPeriod"/>
          </a:pPr>
          <a:r>
            <a:rPr lang="en-US" sz="800">
              <a:solidFill>
                <a:sysClr val="windowText" lastClr="000000"/>
              </a:solidFill>
              <a:latin typeface="Arial MT"/>
              <a:cs typeface="Arial MT"/>
            </a:rPr>
            <a:t>Komposisi dan jumlah mol Gas                                    Cerobong (hasil pembakaran)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Kebutuhan udara jika pembakaran dengan udara berlebih </a:t>
          </a:r>
          <a:r>
            <a:rPr lang="en-US" sz="800" b="1">
              <a:solidFill>
                <a:srgbClr val="C00000"/>
              </a:solidFill>
              <a:latin typeface="Arial MT"/>
              <a:cs typeface="Arial MT"/>
            </a:rPr>
            <a:t>10%</a:t>
          </a:r>
          <a:r>
            <a:rPr lang="en-US" sz="800" b="1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.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Komposisi dan jumlah mol Gas Cerobong.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Lakukan perhitungan berulang untuk udara berlebih berbagai nilai.</a:t>
          </a:r>
          <a:r>
            <a:rPr lang="en-US" sz="800">
              <a:solidFill>
                <a:schemeClr val="accent5">
                  <a:lumMod val="50000"/>
                </a:schemeClr>
              </a:solidFill>
              <a:latin typeface="Arial MT"/>
              <a:cs typeface="Arial MT"/>
            </a:rPr>
            <a:t> </a:t>
          </a:r>
        </a:p>
        <a:p>
          <a:pPr indent="-457200" algn="l">
            <a:buAutoNum type="alphaLcPeriod"/>
          </a:pPr>
          <a:r>
            <a:rPr lang="en-US" sz="800">
              <a:solidFill>
                <a:srgbClr val="C00000"/>
              </a:solidFill>
              <a:latin typeface="Arial MT"/>
              <a:cs typeface="Arial MT"/>
            </a:rPr>
            <a:t>Lakukan perhitungan berulang untuk berbagai gas murni atau campuran.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171450</xdr:colOff>
          <xdr:row>23</xdr:row>
          <xdr:rowOff>44450</xdr:rowOff>
        </xdr:to>
        <xdr:sp macro="" textlink="">
          <xdr:nvSpPr>
            <xdr:cNvPr id="7175" name="Control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36CA016F-1322-415D-5842-5645955F5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171450</xdr:colOff>
          <xdr:row>25</xdr:row>
          <xdr:rowOff>19050</xdr:rowOff>
        </xdr:to>
        <xdr:sp macro="" textlink="">
          <xdr:nvSpPr>
            <xdr:cNvPr id="7176" name="Control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57F242D0-E229-7FC6-7B16-627B53129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171450</xdr:colOff>
          <xdr:row>27</xdr:row>
          <xdr:rowOff>44450</xdr:rowOff>
        </xdr:to>
        <xdr:sp macro="" textlink="">
          <xdr:nvSpPr>
            <xdr:cNvPr id="7177" name="Control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5E1A473F-5BAB-A12A-B1C3-74FBFD789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171450</xdr:colOff>
          <xdr:row>29</xdr:row>
          <xdr:rowOff>44450</xdr:rowOff>
        </xdr:to>
        <xdr:sp macro="" textlink="">
          <xdr:nvSpPr>
            <xdr:cNvPr id="7178" name="Control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B97F305D-3EA3-1B87-C702-7970F94A0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171450</xdr:colOff>
          <xdr:row>31</xdr:row>
          <xdr:rowOff>19050</xdr:rowOff>
        </xdr:to>
        <xdr:sp macro="" textlink="">
          <xdr:nvSpPr>
            <xdr:cNvPr id="7179" name="Control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7237681D-369C-5C78-9BC4-AAEFAFACFB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171450</xdr:colOff>
          <xdr:row>33</xdr:row>
          <xdr:rowOff>19050</xdr:rowOff>
        </xdr:to>
        <xdr:sp macro="" textlink="">
          <xdr:nvSpPr>
            <xdr:cNvPr id="7180" name="Control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26060E85-C6FA-4BBC-ABE8-94F27B779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171450</xdr:colOff>
          <xdr:row>35</xdr:row>
          <xdr:rowOff>44450</xdr:rowOff>
        </xdr:to>
        <xdr:sp macro="" textlink="">
          <xdr:nvSpPr>
            <xdr:cNvPr id="7181" name="Control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271BB2A2-68FF-D583-1D72-A80BE7646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380999</xdr:colOff>
      <xdr:row>37</xdr:row>
      <xdr:rowOff>136072</xdr:rowOff>
    </xdr:from>
    <xdr:to>
      <xdr:col>25</xdr:col>
      <xdr:colOff>566964</xdr:colOff>
      <xdr:row>51</xdr:row>
      <xdr:rowOff>30334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09F866-7B4F-AF1B-0C9B-56FA9EC1E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8928" y="7297965"/>
          <a:ext cx="4440465" cy="2497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6.emf"/><Relationship Id="rId1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6" Type="http://schemas.openxmlformats.org/officeDocument/2006/relationships/image" Target="../media/image8.emf"/><Relationship Id="rId1" Type="http://schemas.openxmlformats.org/officeDocument/2006/relationships/drawing" Target="../drawings/drawing5.xml"/><Relationship Id="rId6" Type="http://schemas.openxmlformats.org/officeDocument/2006/relationships/image" Target="../media/image3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5625-E2A1-43F0-BD33-BC166FA6C3E7}">
  <dimension ref="E1:K16"/>
  <sheetViews>
    <sheetView topLeftCell="A9" zoomScale="140" zoomScaleNormal="140" workbookViewId="0">
      <selection activeCell="C15" sqref="C15"/>
    </sheetView>
  </sheetViews>
  <sheetFormatPr defaultRowHeight="14.5" x14ac:dyDescent="0.35"/>
  <cols>
    <col min="4" max="4" width="0" hidden="1" customWidth="1"/>
    <col min="5" max="6" width="8.7265625" hidden="1" customWidth="1"/>
    <col min="10" max="10" width="10.6328125" customWidth="1"/>
    <col min="11" max="11" width="16.7265625" style="1" customWidth="1"/>
  </cols>
  <sheetData>
    <row r="1" spans="8:10" ht="29" x14ac:dyDescent="0.35">
      <c r="J1" s="9" t="s">
        <v>14</v>
      </c>
    </row>
    <row r="2" spans="8:10" x14ac:dyDescent="0.35">
      <c r="H2" s="1" t="s">
        <v>11</v>
      </c>
      <c r="I2">
        <v>135.9</v>
      </c>
      <c r="J2" s="8">
        <v>-1</v>
      </c>
    </row>
    <row r="3" spans="8:10" x14ac:dyDescent="0.35">
      <c r="H3" s="1" t="s">
        <v>0</v>
      </c>
      <c r="I3">
        <f>I2*(J3/J2)</f>
        <v>271.8</v>
      </c>
      <c r="J3" s="8">
        <v>-2</v>
      </c>
    </row>
    <row r="4" spans="8:10" x14ac:dyDescent="0.35">
      <c r="H4" s="1" t="s">
        <v>1</v>
      </c>
      <c r="I4">
        <f>I2*(-J4/J2)</f>
        <v>135.9</v>
      </c>
      <c r="J4" s="8">
        <v>1</v>
      </c>
    </row>
    <row r="5" spans="8:10" x14ac:dyDescent="0.35">
      <c r="H5" s="1" t="s">
        <v>2</v>
      </c>
      <c r="I5">
        <f>I2*(-J5/J2)</f>
        <v>271.8</v>
      </c>
      <c r="J5" s="8">
        <v>2</v>
      </c>
    </row>
    <row r="7" spans="8:10" x14ac:dyDescent="0.35">
      <c r="H7" s="1" t="s">
        <v>3</v>
      </c>
      <c r="I7" s="2">
        <f>79/21*I3</f>
        <v>1022.4857142857143</v>
      </c>
    </row>
    <row r="8" spans="8:10" x14ac:dyDescent="0.35">
      <c r="H8" s="1" t="s">
        <v>4</v>
      </c>
      <c r="I8" s="2">
        <f>100/21*I3</f>
        <v>1294.2857142857142</v>
      </c>
    </row>
    <row r="10" spans="8:10" x14ac:dyDescent="0.35">
      <c r="H10" s="1" t="s">
        <v>5</v>
      </c>
      <c r="I10" s="4">
        <f>I2/(I2+I8)</f>
        <v>9.5022624434389136E-2</v>
      </c>
    </row>
    <row r="11" spans="8:10" ht="29" x14ac:dyDescent="0.35">
      <c r="H11" s="1" t="s">
        <v>6</v>
      </c>
      <c r="I11" s="2">
        <f>I8/I2</f>
        <v>9.5238095238095237</v>
      </c>
      <c r="J11" s="6" t="s">
        <v>12</v>
      </c>
    </row>
    <row r="12" spans="8:10" x14ac:dyDescent="0.35">
      <c r="H12" s="1" t="s">
        <v>10</v>
      </c>
      <c r="I12" s="11">
        <f>I7</f>
        <v>1022.4857142857143</v>
      </c>
      <c r="J12" s="7">
        <f>I12/$I$16</f>
        <v>0.71493212669683259</v>
      </c>
    </row>
    <row r="13" spans="8:10" x14ac:dyDescent="0.35">
      <c r="H13" s="1" t="s">
        <v>0</v>
      </c>
      <c r="I13">
        <v>0</v>
      </c>
      <c r="J13" s="7">
        <f t="shared" ref="J13:J15" si="0">I13/$I$16</f>
        <v>0</v>
      </c>
    </row>
    <row r="14" spans="8:10" x14ac:dyDescent="0.35">
      <c r="H14" s="1" t="s">
        <v>1</v>
      </c>
      <c r="I14" s="12">
        <f>I4</f>
        <v>135.9</v>
      </c>
      <c r="J14" s="7">
        <f t="shared" si="0"/>
        <v>9.5022624434389136E-2</v>
      </c>
    </row>
    <row r="15" spans="8:10" x14ac:dyDescent="0.35">
      <c r="H15" s="1" t="s">
        <v>2</v>
      </c>
      <c r="I15" s="12">
        <f>I5</f>
        <v>271.8</v>
      </c>
      <c r="J15" s="7">
        <f t="shared" si="0"/>
        <v>0.19004524886877827</v>
      </c>
    </row>
    <row r="16" spans="8:10" x14ac:dyDescent="0.35">
      <c r="H16" s="1" t="s">
        <v>13</v>
      </c>
      <c r="I16" s="10">
        <f>SUM(I12:I15)</f>
        <v>1430.1857142857143</v>
      </c>
      <c r="J16" s="7">
        <f>SUM(J12:J15)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2879-2D76-4F86-88E1-0D7232ADB03D}">
  <dimension ref="E1:Q19"/>
  <sheetViews>
    <sheetView topLeftCell="A9" zoomScale="130" zoomScaleNormal="130" workbookViewId="0">
      <selection activeCell="I9" sqref="I9"/>
    </sheetView>
  </sheetViews>
  <sheetFormatPr defaultRowHeight="14.5" x14ac:dyDescent="0.35"/>
  <cols>
    <col min="2" max="2" width="4.08984375" customWidth="1"/>
    <col min="4" max="4" width="0" hidden="1" customWidth="1"/>
    <col min="5" max="6" width="8.7265625" hidden="1" customWidth="1"/>
    <col min="10" max="10" width="10.6328125" customWidth="1"/>
    <col min="11" max="11" width="6.90625" style="28" customWidth="1"/>
    <col min="12" max="12" width="10.26953125" style="1" customWidth="1"/>
  </cols>
  <sheetData>
    <row r="1" spans="5:17" ht="29" x14ac:dyDescent="0.35">
      <c r="J1" s="9" t="s">
        <v>14</v>
      </c>
      <c r="K1" s="26"/>
    </row>
    <row r="2" spans="5:17" x14ac:dyDescent="0.35">
      <c r="H2" s="1" t="s">
        <v>11</v>
      </c>
      <c r="I2">
        <v>1</v>
      </c>
      <c r="J2" s="8">
        <v>-1</v>
      </c>
      <c r="K2" s="27"/>
    </row>
    <row r="3" spans="5:17" x14ac:dyDescent="0.35">
      <c r="H3" s="1" t="s">
        <v>0</v>
      </c>
      <c r="I3">
        <f>I2*(J3/J2)</f>
        <v>2</v>
      </c>
      <c r="J3" s="8">
        <v>-2</v>
      </c>
      <c r="K3" s="27"/>
    </row>
    <row r="4" spans="5:17" x14ac:dyDescent="0.35">
      <c r="H4" s="1" t="s">
        <v>1</v>
      </c>
      <c r="I4">
        <f>I2*(-J4/J2)</f>
        <v>1</v>
      </c>
      <c r="J4" s="8">
        <v>1</v>
      </c>
      <c r="K4" s="27"/>
    </row>
    <row r="5" spans="5:17" x14ac:dyDescent="0.35">
      <c r="H5" s="1" t="s">
        <v>2</v>
      </c>
      <c r="I5">
        <f>I2*(-J5/J2)</f>
        <v>2</v>
      </c>
      <c r="J5" s="8">
        <v>2</v>
      </c>
      <c r="K5" s="27" t="s">
        <v>25</v>
      </c>
      <c r="L5" s="1" t="s">
        <v>26</v>
      </c>
    </row>
    <row r="6" spans="5:17" x14ac:dyDescent="0.35">
      <c r="J6" s="35" t="s">
        <v>18</v>
      </c>
      <c r="K6" s="36">
        <v>0.72116182572614118</v>
      </c>
      <c r="L6" s="37">
        <f>K6/(K$6+K$7+K$8)</f>
        <v>0.87336683417085426</v>
      </c>
    </row>
    <row r="7" spans="5:17" x14ac:dyDescent="0.35">
      <c r="H7" s="1" t="s">
        <v>3</v>
      </c>
      <c r="I7" s="2">
        <f>79/21*I3</f>
        <v>7.5238095238095237</v>
      </c>
      <c r="J7" s="35" t="s">
        <v>7</v>
      </c>
      <c r="K7" s="36">
        <v>1.7427385892116183E-2</v>
      </c>
      <c r="L7" s="37">
        <f t="shared" ref="L7:L8" si="0">K7/(K$6+K$7+K$8)</f>
        <v>2.110552763819095E-2</v>
      </c>
    </row>
    <row r="8" spans="5:17" s="1" customFormat="1" x14ac:dyDescent="0.35">
      <c r="E8"/>
      <c r="F8"/>
      <c r="G8"/>
      <c r="H8" s="1" t="s">
        <v>4</v>
      </c>
      <c r="I8" s="2">
        <f>100/21*I3</f>
        <v>9.5238095238095237</v>
      </c>
      <c r="J8" s="35" t="s">
        <v>8</v>
      </c>
      <c r="K8" s="36">
        <v>8.7136929460580909E-2</v>
      </c>
      <c r="L8" s="37">
        <f t="shared" si="0"/>
        <v>0.10552763819095475</v>
      </c>
    </row>
    <row r="9" spans="5:17" s="1" customFormat="1" x14ac:dyDescent="0.35">
      <c r="E9"/>
      <c r="F9"/>
      <c r="G9"/>
      <c r="H9" s="13" t="s">
        <v>16</v>
      </c>
      <c r="I9" s="33">
        <v>0.1</v>
      </c>
      <c r="J9" s="35" t="s">
        <v>9</v>
      </c>
      <c r="K9" s="36">
        <v>0.17427385892116182</v>
      </c>
      <c r="L9" s="35">
        <v>0</v>
      </c>
      <c r="O9" s="16"/>
      <c r="P9" s="16"/>
    </row>
    <row r="10" spans="5:17" x14ac:dyDescent="0.35">
      <c r="H10" s="1" t="s">
        <v>15</v>
      </c>
      <c r="I10" s="2">
        <f>(1+I9)*I8</f>
        <v>10.476190476190476</v>
      </c>
      <c r="J10" s="36"/>
      <c r="K10" s="36">
        <f>SUM(K6:K9)</f>
        <v>1.0000000000000002</v>
      </c>
      <c r="L10" s="36">
        <f>SUM(L6:L9)</f>
        <v>1</v>
      </c>
    </row>
    <row r="11" spans="5:17" s="1" customFormat="1" x14ac:dyDescent="0.35">
      <c r="E11"/>
      <c r="F11"/>
      <c r="G11"/>
      <c r="I11" s="4"/>
      <c r="J11"/>
      <c r="K11" s="28"/>
    </row>
    <row r="12" spans="5:17" s="1" customFormat="1" ht="29" x14ac:dyDescent="0.35">
      <c r="E12"/>
      <c r="F12"/>
      <c r="G12"/>
      <c r="H12" s="1" t="s">
        <v>6</v>
      </c>
      <c r="I12" s="2">
        <f>I8/I2</f>
        <v>9.5238095238095237</v>
      </c>
      <c r="J12" s="20" t="s">
        <v>12</v>
      </c>
      <c r="K12" s="29"/>
      <c r="L12" s="22" t="s">
        <v>17</v>
      </c>
      <c r="M12" s="23">
        <v>0</v>
      </c>
      <c r="N12" s="23">
        <v>0.1</v>
      </c>
      <c r="O12" s="23">
        <v>0.2</v>
      </c>
      <c r="P12" s="23">
        <v>0.5</v>
      </c>
      <c r="Q12" s="16">
        <v>0.7</v>
      </c>
    </row>
    <row r="13" spans="5:17" s="1" customFormat="1" x14ac:dyDescent="0.35">
      <c r="E13"/>
      <c r="F13"/>
      <c r="G13"/>
      <c r="H13" s="1" t="s">
        <v>10</v>
      </c>
      <c r="I13" s="11">
        <f>(1+I9)*I7</f>
        <v>8.276190476190477</v>
      </c>
      <c r="J13" s="21">
        <f>I13/$I$17</f>
        <v>0.72116182572614118</v>
      </c>
      <c r="K13" s="30"/>
      <c r="L13" s="22" t="s">
        <v>18</v>
      </c>
      <c r="M13" s="24">
        <v>0.71493212669683259</v>
      </c>
      <c r="N13" s="24">
        <v>0.72116182572614118</v>
      </c>
      <c r="O13" s="24">
        <v>0.72643678160919534</v>
      </c>
      <c r="P13" s="24">
        <v>0.73831775700934577</v>
      </c>
      <c r="Q13" s="15">
        <v>0.74404432132963982</v>
      </c>
    </row>
    <row r="14" spans="5:17" s="1" customFormat="1" x14ac:dyDescent="0.35">
      <c r="E14"/>
      <c r="F14"/>
      <c r="G14"/>
      <c r="H14" s="1" t="s">
        <v>0</v>
      </c>
      <c r="I14">
        <f>I9*I3</f>
        <v>0.2</v>
      </c>
      <c r="J14" s="21">
        <f t="shared" ref="J14:J16" si="1">I14/$I$17</f>
        <v>1.7427385892116183E-2</v>
      </c>
      <c r="K14" s="32">
        <v>0.02</v>
      </c>
      <c r="L14" s="22" t="s">
        <v>7</v>
      </c>
      <c r="M14" s="24">
        <v>0</v>
      </c>
      <c r="N14" s="24">
        <v>1.7427385892116183E-2</v>
      </c>
      <c r="O14" s="24">
        <v>3.2183908045977011E-2</v>
      </c>
      <c r="P14" s="24">
        <v>6.5420560747663559E-2</v>
      </c>
      <c r="Q14" s="15">
        <v>8.1440443213296396E-2</v>
      </c>
    </row>
    <row r="15" spans="5:17" s="1" customFormat="1" x14ac:dyDescent="0.35">
      <c r="E15"/>
      <c r="F15"/>
      <c r="G15"/>
      <c r="H15" s="1" t="s">
        <v>1</v>
      </c>
      <c r="I15" s="12">
        <f>I4</f>
        <v>1</v>
      </c>
      <c r="J15" s="21">
        <f t="shared" si="1"/>
        <v>8.7136929460580909E-2</v>
      </c>
      <c r="K15" s="30"/>
      <c r="L15" s="22" t="s">
        <v>8</v>
      </c>
      <c r="M15" s="24">
        <v>9.5022624434389136E-2</v>
      </c>
      <c r="N15" s="24">
        <v>8.7136929460580909E-2</v>
      </c>
      <c r="O15" s="24">
        <v>8.0459770114942528E-2</v>
      </c>
      <c r="P15" s="24">
        <v>6.5420560747663559E-2</v>
      </c>
      <c r="Q15" s="15">
        <v>5.817174515235457E-2</v>
      </c>
    </row>
    <row r="16" spans="5:17" s="1" customFormat="1" x14ac:dyDescent="0.35">
      <c r="E16"/>
      <c r="F16"/>
      <c r="G16"/>
      <c r="H16" s="1" t="s">
        <v>2</v>
      </c>
      <c r="I16" s="12">
        <f>I5</f>
        <v>2</v>
      </c>
      <c r="J16" s="21">
        <f t="shared" si="1"/>
        <v>0.17427385892116182</v>
      </c>
      <c r="K16" s="30"/>
      <c r="L16" s="22" t="s">
        <v>9</v>
      </c>
      <c r="M16" s="24">
        <v>0.19004524886877827</v>
      </c>
      <c r="N16" s="24">
        <v>0.17427385892116182</v>
      </c>
      <c r="O16" s="24">
        <v>0.16091954022988506</v>
      </c>
      <c r="P16" s="24">
        <v>0.13084112149532712</v>
      </c>
      <c r="Q16" s="15">
        <v>0.11634349030470914</v>
      </c>
    </row>
    <row r="17" spans="5:17" s="1" customFormat="1" x14ac:dyDescent="0.35">
      <c r="E17"/>
      <c r="F17"/>
      <c r="G17"/>
      <c r="H17" s="1" t="s">
        <v>13</v>
      </c>
      <c r="I17" s="10">
        <f>SUM(I13:I16)</f>
        <v>11.476190476190476</v>
      </c>
      <c r="J17" s="21">
        <f>SUM(J13:J16)</f>
        <v>1.0000000000000002</v>
      </c>
      <c r="K17" s="30"/>
      <c r="L17" s="22" t="s">
        <v>19</v>
      </c>
      <c r="M17" s="24">
        <v>1</v>
      </c>
      <c r="N17" s="24">
        <v>1.0000000000000002</v>
      </c>
      <c r="O17" s="24">
        <v>1</v>
      </c>
      <c r="P17" s="24">
        <v>1</v>
      </c>
      <c r="Q17" s="15">
        <v>0.99999999999999989</v>
      </c>
    </row>
    <row r="18" spans="5:17" x14ac:dyDescent="0.35">
      <c r="I18" s="1" t="s">
        <v>13</v>
      </c>
      <c r="J18" s="34">
        <f>I17</f>
        <v>11.476190476190476</v>
      </c>
      <c r="K18" s="31"/>
      <c r="L18" s="22" t="s">
        <v>20</v>
      </c>
      <c r="M18" s="25">
        <v>10.523809523809524</v>
      </c>
      <c r="N18" s="25">
        <v>11.476190476190476</v>
      </c>
      <c r="O18" s="25">
        <v>12.428571428571429</v>
      </c>
      <c r="P18" s="25">
        <v>15.285714285714285</v>
      </c>
    </row>
    <row r="19" spans="5:17" x14ac:dyDescent="0.35">
      <c r="M19" s="17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A501-AD0E-4CA9-A21D-2F5C5535E86E}">
  <dimension ref="E1:R19"/>
  <sheetViews>
    <sheetView topLeftCell="C1" zoomScale="120" zoomScaleNormal="120" workbookViewId="0">
      <selection activeCell="I7" sqref="I7"/>
    </sheetView>
  </sheetViews>
  <sheetFormatPr defaultRowHeight="14.5" x14ac:dyDescent="0.35"/>
  <cols>
    <col min="2" max="2" width="4.08984375" customWidth="1"/>
    <col min="4" max="4" width="0" hidden="1" customWidth="1"/>
    <col min="5" max="6" width="8.7265625" hidden="1" customWidth="1"/>
    <col min="10" max="10" width="10.6328125" customWidth="1"/>
    <col min="11" max="11" width="4.81640625" style="28" customWidth="1"/>
    <col min="12" max="12" width="10.26953125" style="1" customWidth="1"/>
    <col min="13" max="13" width="11.26953125" bestFit="1" customWidth="1"/>
  </cols>
  <sheetData>
    <row r="1" spans="5:18" ht="29" x14ac:dyDescent="0.35">
      <c r="J1" s="9" t="s">
        <v>14</v>
      </c>
      <c r="K1" s="26"/>
    </row>
    <row r="2" spans="5:18" x14ac:dyDescent="0.35">
      <c r="H2" s="1" t="s">
        <v>11</v>
      </c>
      <c r="I2">
        <v>100</v>
      </c>
      <c r="J2" s="8">
        <v>-1</v>
      </c>
      <c r="K2" s="27"/>
      <c r="L2" s="54" t="s">
        <v>42</v>
      </c>
    </row>
    <row r="3" spans="5:18" x14ac:dyDescent="0.35">
      <c r="H3" s="1" t="s">
        <v>0</v>
      </c>
      <c r="I3">
        <f>I2*(J3/J2)</f>
        <v>200</v>
      </c>
      <c r="J3" s="8">
        <v>-2</v>
      </c>
      <c r="K3" s="27"/>
    </row>
    <row r="4" spans="5:18" x14ac:dyDescent="0.35">
      <c r="H4" s="1" t="s">
        <v>1</v>
      </c>
      <c r="I4">
        <f>I2*(-J4/J2)</f>
        <v>100</v>
      </c>
      <c r="J4" s="8">
        <v>1</v>
      </c>
      <c r="K4" s="27"/>
    </row>
    <row r="5" spans="5:18" x14ac:dyDescent="0.35">
      <c r="H5" s="1" t="s">
        <v>2</v>
      </c>
      <c r="I5">
        <f>I2*(-J5/J2)</f>
        <v>200</v>
      </c>
      <c r="J5" s="8">
        <v>2</v>
      </c>
      <c r="K5" s="27"/>
    </row>
    <row r="6" spans="5:18" x14ac:dyDescent="0.35">
      <c r="J6" s="38"/>
      <c r="K6" s="39"/>
      <c r="L6" s="40"/>
    </row>
    <row r="7" spans="5:18" x14ac:dyDescent="0.35">
      <c r="H7" s="1" t="s">
        <v>3</v>
      </c>
      <c r="I7" s="2">
        <f>79/21*I3</f>
        <v>752.38095238095241</v>
      </c>
      <c r="J7" s="38"/>
      <c r="K7" s="39"/>
      <c r="L7" s="40"/>
    </row>
    <row r="8" spans="5:18" s="1" customFormat="1" x14ac:dyDescent="0.35">
      <c r="E8"/>
      <c r="F8"/>
      <c r="G8"/>
      <c r="H8" s="1" t="s">
        <v>4</v>
      </c>
      <c r="I8" s="2">
        <f>100/21*I3</f>
        <v>952.38095238095241</v>
      </c>
      <c r="J8" s="38"/>
      <c r="K8" s="39"/>
      <c r="L8" s="40"/>
    </row>
    <row r="9" spans="5:18" s="1" customFormat="1" x14ac:dyDescent="0.35">
      <c r="E9"/>
      <c r="F9"/>
      <c r="G9"/>
      <c r="H9" s="13" t="s">
        <v>16</v>
      </c>
      <c r="I9" s="33">
        <v>0</v>
      </c>
      <c r="J9" s="38"/>
      <c r="K9" s="39"/>
      <c r="L9" s="41" t="s">
        <v>32</v>
      </c>
      <c r="M9" s="50">
        <v>200</v>
      </c>
      <c r="N9" s="43" t="s">
        <v>27</v>
      </c>
      <c r="O9" s="16"/>
    </row>
    <row r="10" spans="5:18" x14ac:dyDescent="0.35">
      <c r="H10" s="1" t="s">
        <v>15</v>
      </c>
      <c r="I10" s="2">
        <f>(1+I9)*I8</f>
        <v>952.38095238095241</v>
      </c>
      <c r="J10" s="39"/>
      <c r="K10" s="39"/>
      <c r="L10" s="42" t="s">
        <v>29</v>
      </c>
      <c r="M10" s="44">
        <f>J18*M17*(M9-25)</f>
        <v>5620833.3333333349</v>
      </c>
      <c r="N10" s="43" t="s">
        <v>30</v>
      </c>
    </row>
    <row r="11" spans="5:18" s="1" customFormat="1" x14ac:dyDescent="0.35">
      <c r="E11"/>
      <c r="F11"/>
      <c r="G11"/>
      <c r="I11" s="4"/>
      <c r="J11"/>
      <c r="K11" s="28"/>
      <c r="L11" s="42" t="s">
        <v>29</v>
      </c>
      <c r="M11" s="45">
        <f>M10/1000</f>
        <v>5620.8333333333348</v>
      </c>
      <c r="N11" s="43" t="s">
        <v>31</v>
      </c>
    </row>
    <row r="12" spans="5:18" s="1" customFormat="1" ht="29" x14ac:dyDescent="0.35">
      <c r="E12"/>
      <c r="F12"/>
      <c r="G12"/>
      <c r="H12" s="1" t="s">
        <v>6</v>
      </c>
      <c r="I12" s="2">
        <f>I8/I2</f>
        <v>9.5238095238095237</v>
      </c>
      <c r="J12" s="20" t="s">
        <v>12</v>
      </c>
      <c r="K12" s="29"/>
      <c r="L12" s="42"/>
      <c r="M12" s="46" t="s">
        <v>28</v>
      </c>
      <c r="N12" s="23"/>
      <c r="O12" s="23"/>
      <c r="P12" s="16"/>
    </row>
    <row r="13" spans="5:18" s="1" customFormat="1" x14ac:dyDescent="0.35">
      <c r="E13"/>
      <c r="F13"/>
      <c r="G13"/>
      <c r="H13" s="1" t="s">
        <v>10</v>
      </c>
      <c r="I13" s="11">
        <f>(1+I9)*I7</f>
        <v>752.38095238095241</v>
      </c>
      <c r="J13" s="21">
        <f>I13/$I$17</f>
        <v>0.7149321266968327</v>
      </c>
      <c r="K13" s="30"/>
      <c r="L13" s="42" t="s">
        <v>18</v>
      </c>
      <c r="M13" s="41">
        <v>29</v>
      </c>
      <c r="N13" s="24"/>
      <c r="O13" s="48" t="s">
        <v>34</v>
      </c>
      <c r="P13" s="49" t="e">
        <f>(I2*L2-M11)/(I2*L2)</f>
        <v>#VALUE!</v>
      </c>
      <c r="Q13" s="18" t="s">
        <v>35</v>
      </c>
    </row>
    <row r="14" spans="5:18" s="1" customFormat="1" x14ac:dyDescent="0.35">
      <c r="E14"/>
      <c r="F14"/>
      <c r="G14"/>
      <c r="H14" s="1" t="s">
        <v>0</v>
      </c>
      <c r="I14">
        <f>I9*I3</f>
        <v>0</v>
      </c>
      <c r="J14" s="21">
        <f t="shared" ref="J14:J16" si="0">I14/$I$17</f>
        <v>0</v>
      </c>
      <c r="K14" s="32"/>
      <c r="L14" s="42" t="s">
        <v>7</v>
      </c>
      <c r="M14" s="41">
        <v>29</v>
      </c>
      <c r="N14" s="24"/>
      <c r="O14" s="24"/>
      <c r="P14" s="51"/>
      <c r="Q14" s="52" t="s">
        <v>38</v>
      </c>
      <c r="R14" s="52"/>
    </row>
    <row r="15" spans="5:18" s="1" customFormat="1" x14ac:dyDescent="0.35">
      <c r="E15"/>
      <c r="F15"/>
      <c r="G15"/>
      <c r="H15" s="1" t="s">
        <v>1</v>
      </c>
      <c r="I15" s="12">
        <f>I4</f>
        <v>100</v>
      </c>
      <c r="J15" s="21">
        <f t="shared" si="0"/>
        <v>9.502262443438915E-2</v>
      </c>
      <c r="K15" s="30"/>
      <c r="L15" s="42" t="s">
        <v>8</v>
      </c>
      <c r="M15" s="41">
        <v>37</v>
      </c>
      <c r="N15" s="24"/>
      <c r="O15" s="24"/>
      <c r="P15" s="51"/>
      <c r="Q15" s="52" t="s">
        <v>39</v>
      </c>
      <c r="R15" s="52" t="s">
        <v>40</v>
      </c>
    </row>
    <row r="16" spans="5:18" s="1" customFormat="1" x14ac:dyDescent="0.35">
      <c r="E16"/>
      <c r="F16"/>
      <c r="G16"/>
      <c r="H16" s="1" t="s">
        <v>2</v>
      </c>
      <c r="I16" s="12">
        <f>I5</f>
        <v>200</v>
      </c>
      <c r="J16" s="21">
        <f t="shared" si="0"/>
        <v>0.1900452488687783</v>
      </c>
      <c r="K16" s="30"/>
      <c r="L16" s="42" t="s">
        <v>9</v>
      </c>
      <c r="M16" s="41">
        <v>33</v>
      </c>
      <c r="N16" s="24"/>
      <c r="O16" s="24"/>
      <c r="P16" s="51"/>
      <c r="Q16" s="52" t="s">
        <v>41</v>
      </c>
      <c r="R16" s="52" t="s">
        <v>40</v>
      </c>
    </row>
    <row r="17" spans="5:18" s="1" customFormat="1" x14ac:dyDescent="0.35">
      <c r="E17"/>
      <c r="F17"/>
      <c r="G17"/>
      <c r="H17" s="1" t="s">
        <v>13</v>
      </c>
      <c r="I17" s="10">
        <f>SUM(I13:I16)</f>
        <v>1052.3809523809523</v>
      </c>
      <c r="J17" s="21">
        <f>SUM(J13:J16)</f>
        <v>1.0000000000000002</v>
      </c>
      <c r="K17" s="30"/>
      <c r="L17" s="42" t="s">
        <v>33</v>
      </c>
      <c r="M17" s="47">
        <f>J13*M13+J14*M14+J15*M15+J16*M16</f>
        <v>30.520361990950235</v>
      </c>
      <c r="N17" s="24"/>
      <c r="O17" s="24"/>
      <c r="P17" s="51"/>
      <c r="Q17" s="52" t="s">
        <v>36</v>
      </c>
      <c r="R17" s="52" t="s">
        <v>40</v>
      </c>
    </row>
    <row r="18" spans="5:18" x14ac:dyDescent="0.35">
      <c r="I18" s="1" t="s">
        <v>13</v>
      </c>
      <c r="J18" s="34">
        <f>I17</f>
        <v>1052.3809523809523</v>
      </c>
      <c r="K18" s="31"/>
      <c r="L18" s="22"/>
      <c r="M18" s="25"/>
      <c r="N18" s="25"/>
      <c r="O18" s="25"/>
      <c r="P18" s="53"/>
      <c r="Q18" s="52" t="s">
        <v>37</v>
      </c>
      <c r="R18" s="52" t="s">
        <v>40</v>
      </c>
    </row>
    <row r="19" spans="5:18" x14ac:dyDescent="0.35">
      <c r="M19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19F3-9204-4307-BC4E-5BFA200FEBAC}">
  <dimension ref="E1:Q19"/>
  <sheetViews>
    <sheetView topLeftCell="B1" zoomScale="140" zoomScaleNormal="140" workbookViewId="0">
      <selection activeCell="K10" sqref="K10"/>
    </sheetView>
  </sheetViews>
  <sheetFormatPr defaultRowHeight="14.5" x14ac:dyDescent="0.35"/>
  <cols>
    <col min="2" max="2" width="4.08984375" customWidth="1"/>
    <col min="4" max="4" width="0" hidden="1" customWidth="1"/>
    <col min="5" max="6" width="8.7265625" hidden="1" customWidth="1"/>
    <col min="10" max="10" width="10.6328125" customWidth="1"/>
    <col min="11" max="11" width="16.7265625" style="1" customWidth="1"/>
  </cols>
  <sheetData>
    <row r="1" spans="5:17" ht="29" x14ac:dyDescent="0.35">
      <c r="J1" s="9" t="s">
        <v>14</v>
      </c>
    </row>
    <row r="2" spans="5:17" x14ac:dyDescent="0.35">
      <c r="H2" s="1" t="s">
        <v>44</v>
      </c>
      <c r="I2">
        <v>100</v>
      </c>
      <c r="J2" s="8">
        <v>-1</v>
      </c>
      <c r="K2" s="18" t="s">
        <v>43</v>
      </c>
    </row>
    <row r="3" spans="5:17" x14ac:dyDescent="0.35">
      <c r="H3" s="1" t="s">
        <v>0</v>
      </c>
      <c r="I3">
        <f>I2*(J3/J2)</f>
        <v>350</v>
      </c>
      <c r="J3" s="8">
        <v>-3.5</v>
      </c>
    </row>
    <row r="4" spans="5:17" x14ac:dyDescent="0.35">
      <c r="H4" s="1" t="s">
        <v>1</v>
      </c>
      <c r="I4">
        <f>I2*(-J4/J2)</f>
        <v>200</v>
      </c>
      <c r="J4" s="8">
        <v>2</v>
      </c>
    </row>
    <row r="5" spans="5:17" x14ac:dyDescent="0.35">
      <c r="H5" s="1" t="s">
        <v>2</v>
      </c>
      <c r="I5">
        <f>I2*(-J5/J2)</f>
        <v>300</v>
      </c>
      <c r="J5" s="8">
        <v>3</v>
      </c>
    </row>
    <row r="7" spans="5:17" x14ac:dyDescent="0.35">
      <c r="H7" s="1" t="s">
        <v>3</v>
      </c>
      <c r="I7" s="2">
        <f>79%/21%*I3</f>
        <v>1316.6666666666667</v>
      </c>
    </row>
    <row r="8" spans="5:17" s="1" customFormat="1" ht="17" x14ac:dyDescent="0.45">
      <c r="E8"/>
      <c r="F8"/>
      <c r="G8"/>
      <c r="H8" s="1" t="s">
        <v>4</v>
      </c>
      <c r="I8" s="2">
        <f>100/21*I3</f>
        <v>1666.6666666666667</v>
      </c>
      <c r="J8"/>
      <c r="K8" s="55" t="s">
        <v>45</v>
      </c>
    </row>
    <row r="9" spans="5:17" s="1" customFormat="1" x14ac:dyDescent="0.35">
      <c r="E9"/>
      <c r="F9"/>
      <c r="G9"/>
      <c r="H9" s="13" t="s">
        <v>16</v>
      </c>
      <c r="I9" s="3">
        <v>0</v>
      </c>
      <c r="J9"/>
      <c r="N9" s="16"/>
      <c r="O9" s="16"/>
    </row>
    <row r="10" spans="5:17" x14ac:dyDescent="0.35">
      <c r="H10" s="1" t="s">
        <v>15</v>
      </c>
      <c r="I10" s="2">
        <f>(1+I9)*I8</f>
        <v>1666.6666666666667</v>
      </c>
    </row>
    <row r="11" spans="5:17" s="1" customFormat="1" x14ac:dyDescent="0.35">
      <c r="E11"/>
      <c r="F11"/>
      <c r="G11"/>
      <c r="I11" s="4"/>
      <c r="J11"/>
    </row>
    <row r="12" spans="5:17" s="1" customFormat="1" ht="29" x14ac:dyDescent="0.35">
      <c r="E12"/>
      <c r="F12"/>
      <c r="G12"/>
      <c r="H12" s="1" t="s">
        <v>6</v>
      </c>
      <c r="I12" s="2">
        <f>I8/I2</f>
        <v>16.666666666666668</v>
      </c>
      <c r="J12" s="6" t="s">
        <v>12</v>
      </c>
      <c r="K12" s="1" t="s">
        <v>17</v>
      </c>
      <c r="L12" s="14">
        <v>0</v>
      </c>
      <c r="M12" s="14">
        <v>0.1</v>
      </c>
      <c r="N12" s="14">
        <v>0.2</v>
      </c>
      <c r="O12" s="14">
        <v>0.5</v>
      </c>
      <c r="P12" s="5" t="s">
        <v>24</v>
      </c>
    </row>
    <row r="13" spans="5:17" s="1" customFormat="1" x14ac:dyDescent="0.35">
      <c r="E13"/>
      <c r="F13"/>
      <c r="G13"/>
      <c r="H13" s="1" t="s">
        <v>10</v>
      </c>
      <c r="I13" s="11">
        <f>(1+I9)*I7</f>
        <v>1316.6666666666667</v>
      </c>
      <c r="J13" s="7">
        <f>I13/$I$17</f>
        <v>0.72477064220183485</v>
      </c>
      <c r="K13" s="1" t="s">
        <v>18</v>
      </c>
      <c r="L13" s="15">
        <v>0.72878228782287824</v>
      </c>
      <c r="M13" s="15">
        <v>0.73395270270270274</v>
      </c>
      <c r="N13" s="15">
        <v>0.73831775700934577</v>
      </c>
      <c r="O13" s="15">
        <v>0.74810606060606066</v>
      </c>
      <c r="P13" s="19">
        <f>O13/(O$13+O$14+O$15)</f>
        <v>0.83686440677966101</v>
      </c>
    </row>
    <row r="14" spans="5:17" s="1" customFormat="1" x14ac:dyDescent="0.35">
      <c r="E14"/>
      <c r="F14"/>
      <c r="G14"/>
      <c r="H14" s="1" t="s">
        <v>0</v>
      </c>
      <c r="I14">
        <f>I9*I3</f>
        <v>0</v>
      </c>
      <c r="J14" s="7">
        <f t="shared" ref="J14:J16" si="0">I14/$I$17</f>
        <v>0</v>
      </c>
      <c r="K14" s="1" t="s">
        <v>7</v>
      </c>
      <c r="L14" s="15">
        <v>0</v>
      </c>
      <c r="M14" s="15">
        <v>1.7736486486486486E-2</v>
      </c>
      <c r="N14" s="15">
        <v>3.2710280373831772E-2</v>
      </c>
      <c r="O14" s="15">
        <v>6.6287878787878785E-2</v>
      </c>
      <c r="P14" s="19">
        <f t="shared" ref="P14:P15" si="1">O14/(O$13+O$14+O$15)</f>
        <v>7.4152542372881339E-2</v>
      </c>
      <c r="Q14" s="16">
        <v>0.06</v>
      </c>
    </row>
    <row r="15" spans="5:17" s="1" customFormat="1" x14ac:dyDescent="0.35">
      <c r="E15"/>
      <c r="F15"/>
      <c r="G15"/>
      <c r="H15" s="1" t="s">
        <v>1</v>
      </c>
      <c r="I15" s="12">
        <f>I4</f>
        <v>200</v>
      </c>
      <c r="J15" s="7">
        <f t="shared" si="0"/>
        <v>0.11009174311926605</v>
      </c>
      <c r="K15" s="1" t="s">
        <v>8</v>
      </c>
      <c r="L15" s="15">
        <v>0.11623616236162361</v>
      </c>
      <c r="M15" s="15">
        <v>0.10641891891891891</v>
      </c>
      <c r="N15" s="15">
        <v>9.8130841121495324E-2</v>
      </c>
      <c r="O15" s="15">
        <v>7.9545454545454544E-2</v>
      </c>
      <c r="P15" s="19">
        <f t="shared" si="1"/>
        <v>8.8983050847457612E-2</v>
      </c>
    </row>
    <row r="16" spans="5:17" s="1" customFormat="1" x14ac:dyDescent="0.35">
      <c r="E16"/>
      <c r="F16"/>
      <c r="G16"/>
      <c r="H16" s="1" t="s">
        <v>2</v>
      </c>
      <c r="I16" s="12">
        <f>I5</f>
        <v>300</v>
      </c>
      <c r="J16" s="7">
        <f t="shared" si="0"/>
        <v>0.16513761467889906</v>
      </c>
      <c r="K16" s="1" t="s">
        <v>9</v>
      </c>
      <c r="L16" s="15">
        <v>0.15498154981549814</v>
      </c>
      <c r="M16" s="15">
        <v>0.14189189189189189</v>
      </c>
      <c r="N16" s="15">
        <v>0.13084112149532709</v>
      </c>
      <c r="O16" s="15">
        <v>0.10606060606060606</v>
      </c>
      <c r="P16" s="1">
        <v>0</v>
      </c>
    </row>
    <row r="17" spans="5:16" s="1" customFormat="1" x14ac:dyDescent="0.35">
      <c r="E17"/>
      <c r="F17"/>
      <c r="G17"/>
      <c r="H17" s="1" t="s">
        <v>13</v>
      </c>
      <c r="I17" s="10">
        <f>SUM(I13:I16)</f>
        <v>1816.6666666666667</v>
      </c>
      <c r="J17" s="7">
        <f>SUM(J13:J16)</f>
        <v>1</v>
      </c>
      <c r="K17" s="1" t="s">
        <v>19</v>
      </c>
      <c r="L17" s="15">
        <v>1</v>
      </c>
      <c r="M17" s="15">
        <v>1</v>
      </c>
      <c r="N17" s="15">
        <v>0.99999999999999989</v>
      </c>
      <c r="O17" s="15">
        <v>1</v>
      </c>
      <c r="P17" s="15">
        <v>1</v>
      </c>
    </row>
    <row r="18" spans="5:16" x14ac:dyDescent="0.35">
      <c r="I18" s="1" t="s">
        <v>13</v>
      </c>
      <c r="J18" s="2">
        <f>I17</f>
        <v>1816.6666666666667</v>
      </c>
      <c r="K18" s="1" t="s">
        <v>20</v>
      </c>
      <c r="L18" s="2">
        <v>25.80952380952381</v>
      </c>
      <c r="M18" s="2">
        <v>28.190476190476193</v>
      </c>
      <c r="N18" s="2">
        <v>30.571428571428573</v>
      </c>
      <c r="O18" s="2">
        <v>37.714285714285715</v>
      </c>
    </row>
    <row r="19" spans="5:16" x14ac:dyDescent="0.35">
      <c r="L19" s="17" t="s">
        <v>21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3532-5814-4AFD-AFA9-52E064954191}">
  <dimension ref="E1:Q19"/>
  <sheetViews>
    <sheetView topLeftCell="G1" zoomScale="140" zoomScaleNormal="140" workbookViewId="0">
      <selection activeCell="J2" sqref="J2:J5"/>
    </sheetView>
  </sheetViews>
  <sheetFormatPr defaultRowHeight="14.5" x14ac:dyDescent="0.35"/>
  <cols>
    <col min="2" max="2" width="4.08984375" customWidth="1"/>
    <col min="4" max="4" width="0" hidden="1" customWidth="1"/>
    <col min="5" max="6" width="8.7265625" hidden="1" customWidth="1"/>
    <col min="10" max="10" width="10.6328125" customWidth="1"/>
    <col min="11" max="11" width="16.7265625" style="1" customWidth="1"/>
  </cols>
  <sheetData>
    <row r="1" spans="5:17" ht="29" x14ac:dyDescent="0.35">
      <c r="J1" s="9" t="s">
        <v>14</v>
      </c>
    </row>
    <row r="2" spans="5:17" x14ac:dyDescent="0.35">
      <c r="H2" s="1" t="s">
        <v>23</v>
      </c>
      <c r="I2">
        <v>1</v>
      </c>
      <c r="J2" s="8">
        <v>-1</v>
      </c>
      <c r="K2" s="18" t="s">
        <v>22</v>
      </c>
    </row>
    <row r="3" spans="5:17" x14ac:dyDescent="0.35">
      <c r="H3" s="1" t="s">
        <v>0</v>
      </c>
      <c r="I3">
        <f>I2*(J3/J2)</f>
        <v>5</v>
      </c>
      <c r="J3" s="8">
        <v>-5</v>
      </c>
    </row>
    <row r="4" spans="5:17" x14ac:dyDescent="0.35">
      <c r="H4" s="1" t="s">
        <v>1</v>
      </c>
      <c r="I4">
        <f>I2*(-J4/J2)</f>
        <v>3</v>
      </c>
      <c r="J4" s="8">
        <v>3</v>
      </c>
    </row>
    <row r="5" spans="5:17" x14ac:dyDescent="0.35">
      <c r="H5" s="1" t="s">
        <v>2</v>
      </c>
      <c r="I5">
        <f>I2*(-J5/J2)</f>
        <v>4</v>
      </c>
      <c r="J5" s="8">
        <v>4</v>
      </c>
    </row>
    <row r="7" spans="5:17" x14ac:dyDescent="0.35">
      <c r="H7" s="1" t="s">
        <v>3</v>
      </c>
      <c r="I7" s="2">
        <f>79/21*I3</f>
        <v>18.80952380952381</v>
      </c>
    </row>
    <row r="8" spans="5:17" s="1" customFormat="1" x14ac:dyDescent="0.35">
      <c r="E8"/>
      <c r="F8"/>
      <c r="G8"/>
      <c r="H8" s="1" t="s">
        <v>4</v>
      </c>
      <c r="I8" s="2">
        <f>100/21*I3</f>
        <v>23.80952380952381</v>
      </c>
      <c r="J8"/>
    </row>
    <row r="9" spans="5:17" s="1" customFormat="1" x14ac:dyDescent="0.35">
      <c r="E9"/>
      <c r="F9"/>
      <c r="G9"/>
      <c r="H9" s="13" t="s">
        <v>16</v>
      </c>
      <c r="I9" s="3">
        <v>0.5</v>
      </c>
      <c r="J9"/>
      <c r="N9" s="16"/>
      <c r="O9" s="16"/>
    </row>
    <row r="10" spans="5:17" x14ac:dyDescent="0.35">
      <c r="H10" s="1" t="s">
        <v>15</v>
      </c>
      <c r="I10" s="2">
        <f>(1+I9)*I8</f>
        <v>35.714285714285715</v>
      </c>
    </row>
    <row r="11" spans="5:17" s="1" customFormat="1" x14ac:dyDescent="0.35">
      <c r="E11"/>
      <c r="F11"/>
      <c r="G11"/>
      <c r="I11" s="4"/>
      <c r="J11"/>
    </row>
    <row r="12" spans="5:17" s="1" customFormat="1" ht="29" x14ac:dyDescent="0.35">
      <c r="E12"/>
      <c r="F12"/>
      <c r="G12"/>
      <c r="H12" s="1" t="s">
        <v>6</v>
      </c>
      <c r="I12" s="2">
        <f>I8/I2</f>
        <v>23.80952380952381</v>
      </c>
      <c r="J12" s="6" t="s">
        <v>12</v>
      </c>
      <c r="K12" s="1" t="s">
        <v>17</v>
      </c>
      <c r="L12" s="14">
        <v>0</v>
      </c>
      <c r="M12" s="14">
        <v>0.1</v>
      </c>
      <c r="N12" s="14">
        <v>0.2</v>
      </c>
      <c r="O12" s="14">
        <v>0.5</v>
      </c>
      <c r="P12" s="5" t="s">
        <v>24</v>
      </c>
    </row>
    <row r="13" spans="5:17" s="1" customFormat="1" x14ac:dyDescent="0.35">
      <c r="E13"/>
      <c r="F13"/>
      <c r="G13"/>
      <c r="H13" s="1" t="s">
        <v>10</v>
      </c>
      <c r="I13" s="11">
        <f>(1+I9)*I7</f>
        <v>28.214285714285715</v>
      </c>
      <c r="J13" s="7">
        <f>I13/$I$17</f>
        <v>0.74810606060606066</v>
      </c>
      <c r="K13" s="1" t="s">
        <v>18</v>
      </c>
      <c r="L13" s="15">
        <v>0.72878228782287824</v>
      </c>
      <c r="M13" s="15">
        <v>0.73395270270270274</v>
      </c>
      <c r="N13" s="15">
        <v>0.73831775700934577</v>
      </c>
      <c r="O13" s="15">
        <v>0.74810606060606066</v>
      </c>
      <c r="P13" s="19">
        <f>O13/(O$13+O$14+O$15)</f>
        <v>0.83686440677966101</v>
      </c>
    </row>
    <row r="14" spans="5:17" s="1" customFormat="1" x14ac:dyDescent="0.35">
      <c r="E14"/>
      <c r="F14"/>
      <c r="G14"/>
      <c r="H14" s="1" t="s">
        <v>0</v>
      </c>
      <c r="I14">
        <f>I9*I3</f>
        <v>2.5</v>
      </c>
      <c r="J14" s="7">
        <f t="shared" ref="J14:J16" si="0">I14/$I$17</f>
        <v>6.6287878787878785E-2</v>
      </c>
      <c r="K14" s="1" t="s">
        <v>7</v>
      </c>
      <c r="L14" s="15">
        <v>0</v>
      </c>
      <c r="M14" s="15">
        <v>1.7736486486486486E-2</v>
      </c>
      <c r="N14" s="15">
        <v>3.2710280373831772E-2</v>
      </c>
      <c r="O14" s="15">
        <v>6.6287878787878785E-2</v>
      </c>
      <c r="P14" s="19">
        <f t="shared" ref="P14:P15" si="1">O14/(O$13+O$14+O$15)</f>
        <v>7.4152542372881339E-2</v>
      </c>
      <c r="Q14" s="16">
        <v>0.06</v>
      </c>
    </row>
    <row r="15" spans="5:17" s="1" customFormat="1" x14ac:dyDescent="0.35">
      <c r="E15"/>
      <c r="F15"/>
      <c r="G15"/>
      <c r="H15" s="1" t="s">
        <v>1</v>
      </c>
      <c r="I15" s="12">
        <f>I4</f>
        <v>3</v>
      </c>
      <c r="J15" s="7">
        <f t="shared" si="0"/>
        <v>7.9545454545454544E-2</v>
      </c>
      <c r="K15" s="1" t="s">
        <v>8</v>
      </c>
      <c r="L15" s="15">
        <v>0.11623616236162361</v>
      </c>
      <c r="M15" s="15">
        <v>0.10641891891891891</v>
      </c>
      <c r="N15" s="15">
        <v>9.8130841121495324E-2</v>
      </c>
      <c r="O15" s="15">
        <v>7.9545454545454544E-2</v>
      </c>
      <c r="P15" s="19">
        <f t="shared" si="1"/>
        <v>8.8983050847457612E-2</v>
      </c>
    </row>
    <row r="16" spans="5:17" s="1" customFormat="1" x14ac:dyDescent="0.35">
      <c r="E16"/>
      <c r="F16"/>
      <c r="G16"/>
      <c r="H16" s="1" t="s">
        <v>2</v>
      </c>
      <c r="I16" s="12">
        <f>I5</f>
        <v>4</v>
      </c>
      <c r="J16" s="7">
        <f t="shared" si="0"/>
        <v>0.10606060606060606</v>
      </c>
      <c r="K16" s="1" t="s">
        <v>9</v>
      </c>
      <c r="L16" s="15">
        <v>0.15498154981549814</v>
      </c>
      <c r="M16" s="15">
        <v>0.14189189189189189</v>
      </c>
      <c r="N16" s="15">
        <v>0.13084112149532709</v>
      </c>
      <c r="O16" s="15">
        <v>0.10606060606060606</v>
      </c>
      <c r="P16" s="1">
        <v>0</v>
      </c>
    </row>
    <row r="17" spans="5:16" s="1" customFormat="1" x14ac:dyDescent="0.35">
      <c r="E17"/>
      <c r="F17"/>
      <c r="G17"/>
      <c r="H17" s="1" t="s">
        <v>13</v>
      </c>
      <c r="I17" s="10">
        <f>SUM(I13:I16)</f>
        <v>37.714285714285715</v>
      </c>
      <c r="J17" s="7">
        <f>SUM(J13:J16)</f>
        <v>1</v>
      </c>
      <c r="K17" s="1" t="s">
        <v>19</v>
      </c>
      <c r="L17" s="15">
        <v>1</v>
      </c>
      <c r="M17" s="15">
        <v>1</v>
      </c>
      <c r="N17" s="15">
        <v>0.99999999999999989</v>
      </c>
      <c r="O17" s="15">
        <v>1</v>
      </c>
      <c r="P17" s="15">
        <v>1</v>
      </c>
    </row>
    <row r="18" spans="5:16" x14ac:dyDescent="0.35">
      <c r="I18" s="1" t="s">
        <v>13</v>
      </c>
      <c r="J18" s="2">
        <f>I17</f>
        <v>37.714285714285715</v>
      </c>
      <c r="K18" s="1" t="s">
        <v>20</v>
      </c>
      <c r="L18" s="2">
        <v>25.80952380952381</v>
      </c>
      <c r="M18" s="2">
        <v>28.190476190476193</v>
      </c>
      <c r="N18" s="2">
        <v>30.571428571428573</v>
      </c>
      <c r="O18" s="2">
        <v>37.714285714285715</v>
      </c>
    </row>
    <row r="19" spans="5:16" x14ac:dyDescent="0.35">
      <c r="L19" s="17" t="s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2A1D-444F-4FD9-BA58-570EE0EC2DD6}">
  <dimension ref="E1:Q19"/>
  <sheetViews>
    <sheetView topLeftCell="B3" zoomScale="140" zoomScaleNormal="140" workbookViewId="0">
      <selection activeCell="M10" sqref="M10"/>
    </sheetView>
  </sheetViews>
  <sheetFormatPr defaultRowHeight="14.5" x14ac:dyDescent="0.35"/>
  <cols>
    <col min="2" max="2" width="4.08984375" customWidth="1"/>
    <col min="4" max="4" width="0" hidden="1" customWidth="1"/>
    <col min="5" max="6" width="8.7265625" hidden="1" customWidth="1"/>
    <col min="10" max="10" width="10.6328125" customWidth="1"/>
    <col min="11" max="11" width="16.7265625" style="1" customWidth="1"/>
  </cols>
  <sheetData>
    <row r="1" spans="5:17" ht="29" x14ac:dyDescent="0.35">
      <c r="J1" s="9" t="s">
        <v>14</v>
      </c>
    </row>
    <row r="2" spans="5:17" x14ac:dyDescent="0.35">
      <c r="H2" s="1" t="s">
        <v>47</v>
      </c>
      <c r="I2">
        <v>35.5</v>
      </c>
      <c r="J2" s="8">
        <v>-1</v>
      </c>
      <c r="K2" s="18" t="s">
        <v>46</v>
      </c>
    </row>
    <row r="3" spans="5:17" x14ac:dyDescent="0.35">
      <c r="H3" s="1" t="s">
        <v>0</v>
      </c>
      <c r="I3">
        <f>I2*(J3/J2)</f>
        <v>230.75</v>
      </c>
      <c r="J3" s="8">
        <v>-6.5</v>
      </c>
    </row>
    <row r="4" spans="5:17" x14ac:dyDescent="0.35">
      <c r="H4" s="1" t="s">
        <v>1</v>
      </c>
      <c r="I4">
        <f>I2*(-J4/J2)</f>
        <v>142</v>
      </c>
      <c r="J4" s="8">
        <v>4</v>
      </c>
    </row>
    <row r="5" spans="5:17" x14ac:dyDescent="0.35">
      <c r="H5" s="1" t="s">
        <v>2</v>
      </c>
      <c r="I5">
        <f>I2*(-J5/J2)</f>
        <v>177.5</v>
      </c>
      <c r="J5" s="8">
        <v>5</v>
      </c>
    </row>
    <row r="7" spans="5:17" x14ac:dyDescent="0.35">
      <c r="H7" s="1" t="s">
        <v>3</v>
      </c>
      <c r="I7" s="2">
        <f>79%/21%*I3</f>
        <v>868.05952380952385</v>
      </c>
    </row>
    <row r="8" spans="5:17" s="1" customFormat="1" ht="17" x14ac:dyDescent="0.45">
      <c r="E8"/>
      <c r="F8"/>
      <c r="G8"/>
      <c r="H8" s="1" t="s">
        <v>4</v>
      </c>
      <c r="I8" s="2">
        <f>100/21*I3</f>
        <v>1098.8095238095239</v>
      </c>
      <c r="J8"/>
      <c r="K8" s="55" t="s">
        <v>45</v>
      </c>
    </row>
    <row r="9" spans="5:17" s="1" customFormat="1" x14ac:dyDescent="0.35">
      <c r="E9"/>
      <c r="F9"/>
      <c r="G9"/>
      <c r="H9" s="13" t="s">
        <v>16</v>
      </c>
      <c r="I9" s="3">
        <v>0.3</v>
      </c>
      <c r="J9"/>
      <c r="N9" s="16"/>
      <c r="O9" s="16"/>
    </row>
    <row r="10" spans="5:17" x14ac:dyDescent="0.35">
      <c r="H10" s="1" t="s">
        <v>15</v>
      </c>
      <c r="I10" s="2">
        <f>(1+I9)*I8</f>
        <v>1428.452380952381</v>
      </c>
    </row>
    <row r="11" spans="5:17" s="1" customFormat="1" x14ac:dyDescent="0.35">
      <c r="E11"/>
      <c r="F11"/>
      <c r="G11"/>
      <c r="I11" s="4"/>
      <c r="J11"/>
    </row>
    <row r="12" spans="5:17" s="1" customFormat="1" ht="29" x14ac:dyDescent="0.35">
      <c r="E12"/>
      <c r="F12"/>
      <c r="G12"/>
      <c r="H12" s="1" t="s">
        <v>6</v>
      </c>
      <c r="I12" s="2">
        <f>I8/I2</f>
        <v>30.952380952380953</v>
      </c>
      <c r="J12" s="6" t="s">
        <v>12</v>
      </c>
      <c r="K12" s="1" t="s">
        <v>17</v>
      </c>
      <c r="L12" s="14"/>
      <c r="M12" s="14"/>
      <c r="N12" s="14"/>
      <c r="O12" s="14"/>
      <c r="P12" s="5"/>
    </row>
    <row r="13" spans="5:17" s="1" customFormat="1" x14ac:dyDescent="0.35">
      <c r="E13"/>
      <c r="F13"/>
      <c r="G13"/>
      <c r="H13" s="1" t="s">
        <v>10</v>
      </c>
      <c r="I13" s="11">
        <f>(1+I9)*I7</f>
        <v>1128.4773809523811</v>
      </c>
      <c r="J13" s="7">
        <f>I13/$I$17</f>
        <v>0.74378830083565461</v>
      </c>
      <c r="K13" s="1" t="s">
        <v>18</v>
      </c>
      <c r="L13" s="15"/>
      <c r="M13" s="15"/>
      <c r="N13" s="15"/>
      <c r="O13" s="15"/>
      <c r="P13" s="19"/>
    </row>
    <row r="14" spans="5:17" s="1" customFormat="1" x14ac:dyDescent="0.35">
      <c r="E14"/>
      <c r="F14"/>
      <c r="G14"/>
      <c r="H14" s="1" t="s">
        <v>0</v>
      </c>
      <c r="I14">
        <f>I9*I3</f>
        <v>69.224999999999994</v>
      </c>
      <c r="J14" s="7">
        <f t="shared" ref="J14:J16" si="0">I14/$I$17</f>
        <v>4.5626740947075202E-2</v>
      </c>
      <c r="K14" s="1" t="s">
        <v>7</v>
      </c>
      <c r="L14" s="15"/>
      <c r="M14" s="15"/>
      <c r="N14" s="15"/>
      <c r="O14" s="15"/>
      <c r="P14" s="19"/>
      <c r="Q14" s="16">
        <v>0.06</v>
      </c>
    </row>
    <row r="15" spans="5:17" s="1" customFormat="1" x14ac:dyDescent="0.35">
      <c r="E15"/>
      <c r="F15"/>
      <c r="G15"/>
      <c r="H15" s="1" t="s">
        <v>1</v>
      </c>
      <c r="I15" s="12">
        <f>I4</f>
        <v>142</v>
      </c>
      <c r="J15" s="7">
        <f t="shared" si="0"/>
        <v>9.3593314763231197E-2</v>
      </c>
      <c r="K15" s="1" t="s">
        <v>8</v>
      </c>
      <c r="L15" s="15"/>
      <c r="M15" s="15"/>
      <c r="N15" s="15"/>
      <c r="O15" s="15"/>
      <c r="P15" s="19"/>
    </row>
    <row r="16" spans="5:17" s="1" customFormat="1" x14ac:dyDescent="0.35">
      <c r="E16"/>
      <c r="F16"/>
      <c r="G16"/>
      <c r="H16" s="1" t="s">
        <v>2</v>
      </c>
      <c r="I16" s="12">
        <f>I5</f>
        <v>177.5</v>
      </c>
      <c r="J16" s="7">
        <f t="shared" si="0"/>
        <v>0.11699164345403899</v>
      </c>
      <c r="K16" s="1" t="s">
        <v>9</v>
      </c>
      <c r="L16" s="15"/>
      <c r="M16" s="15"/>
      <c r="N16" s="15"/>
      <c r="O16" s="15"/>
    </row>
    <row r="17" spans="5:16" s="1" customFormat="1" x14ac:dyDescent="0.35">
      <c r="E17"/>
      <c r="F17"/>
      <c r="G17"/>
      <c r="H17" s="1" t="s">
        <v>13</v>
      </c>
      <c r="I17" s="10">
        <f>SUM(I13:I16)</f>
        <v>1517.202380952381</v>
      </c>
      <c r="J17" s="7">
        <f>SUM(J13:J16)</f>
        <v>1</v>
      </c>
      <c r="K17" s="1" t="s">
        <v>19</v>
      </c>
      <c r="L17" s="15"/>
      <c r="M17" s="15"/>
      <c r="N17" s="15"/>
      <c r="O17" s="15"/>
      <c r="P17" s="15"/>
    </row>
    <row r="18" spans="5:16" x14ac:dyDescent="0.35">
      <c r="I18" s="1" t="s">
        <v>13</v>
      </c>
      <c r="J18" s="2">
        <f>I17</f>
        <v>1517.202380952381</v>
      </c>
      <c r="K18" s="1" t="s">
        <v>20</v>
      </c>
      <c r="L18" s="2"/>
      <c r="M18" s="2"/>
      <c r="N18" s="2"/>
      <c r="O18" s="2"/>
    </row>
    <row r="19" spans="5:16" x14ac:dyDescent="0.35">
      <c r="L19" s="17" t="s">
        <v>21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0B5A-7337-47B9-9C0E-6C7505D7243A}">
  <sheetPr codeName="Sheet1"/>
  <dimension ref="E1:S35"/>
  <sheetViews>
    <sheetView tabSelected="1" topLeftCell="A3" zoomScale="110" zoomScaleNormal="110" workbookViewId="0">
      <selection activeCell="R10" sqref="R10:S10"/>
    </sheetView>
  </sheetViews>
  <sheetFormatPr defaultRowHeight="14.5" x14ac:dyDescent="0.35"/>
  <cols>
    <col min="2" max="2" width="4.08984375" customWidth="1"/>
    <col min="4" max="4" width="0" hidden="1" customWidth="1"/>
    <col min="5" max="6" width="8.7265625" hidden="1" customWidth="1"/>
    <col min="10" max="10" width="10.6328125" customWidth="1"/>
    <col min="11" max="11" width="8.54296875" style="1" customWidth="1"/>
    <col min="13" max="13" width="10.08984375" bestFit="1" customWidth="1"/>
    <col min="17" max="17" width="8.54296875" customWidth="1"/>
  </cols>
  <sheetData>
    <row r="1" spans="5:19" x14ac:dyDescent="0.35">
      <c r="J1" s="9"/>
      <c r="L1" s="56" t="s">
        <v>48</v>
      </c>
      <c r="M1" s="56" t="s">
        <v>49</v>
      </c>
      <c r="N1" s="56" t="s">
        <v>50</v>
      </c>
      <c r="O1" s="56" t="s">
        <v>51</v>
      </c>
      <c r="P1" s="56" t="s">
        <v>8</v>
      </c>
    </row>
    <row r="2" spans="5:19" x14ac:dyDescent="0.35">
      <c r="H2" s="1" t="s">
        <v>66</v>
      </c>
      <c r="I2" s="59">
        <v>317.98463178041931</v>
      </c>
      <c r="J2" s="8"/>
      <c r="K2" s="1" t="s">
        <v>52</v>
      </c>
      <c r="L2" s="65">
        <v>-1</v>
      </c>
      <c r="M2" s="65">
        <v>-1</v>
      </c>
      <c r="N2" s="65">
        <v>-1</v>
      </c>
      <c r="O2" s="65">
        <v>-1</v>
      </c>
      <c r="P2" s="60" t="s">
        <v>54</v>
      </c>
    </row>
    <row r="3" spans="5:19" ht="17" x14ac:dyDescent="0.45">
      <c r="H3" s="1" t="s">
        <v>0</v>
      </c>
      <c r="I3">
        <f>(L3/L2)*L7+(M3/M2)*M7+(N3/N2)*N7+(O3/O2)*O7</f>
        <v>683.82595064379177</v>
      </c>
      <c r="J3" s="8"/>
      <c r="K3" s="1" t="s">
        <v>7</v>
      </c>
      <c r="L3" s="65">
        <v>-2</v>
      </c>
      <c r="M3" s="65">
        <v>-3.5</v>
      </c>
      <c r="N3" s="65">
        <v>-5</v>
      </c>
      <c r="O3" s="65">
        <v>-6.5</v>
      </c>
      <c r="P3" s="60" t="s">
        <v>55</v>
      </c>
      <c r="S3" s="55" t="s">
        <v>45</v>
      </c>
    </row>
    <row r="4" spans="5:19" x14ac:dyDescent="0.35">
      <c r="H4" s="1" t="s">
        <v>1</v>
      </c>
      <c r="I4">
        <f>(-L4/L2)*L7+(-M4/M2)*M7+(N4/-N2)*N7+(O4/-O2)*O7+P7</f>
        <v>373.63194234199261</v>
      </c>
      <c r="J4" s="8"/>
      <c r="K4" s="1" t="s">
        <v>8</v>
      </c>
      <c r="L4" s="65">
        <v>1</v>
      </c>
      <c r="M4" s="65">
        <v>2</v>
      </c>
      <c r="N4" s="65">
        <v>3</v>
      </c>
      <c r="O4" s="65">
        <v>4</v>
      </c>
      <c r="P4" s="60" t="s">
        <v>56</v>
      </c>
    </row>
    <row r="5" spans="5:19" x14ac:dyDescent="0.35">
      <c r="H5" s="1" t="s">
        <v>2</v>
      </c>
      <c r="I5">
        <f>(L5/-L2)*L7+(M5/-M2)*M7+(N5/-N2)*N7+(O5/-O2)*O7</f>
        <v>656.00229536300503</v>
      </c>
      <c r="J5" s="8"/>
      <c r="K5" s="1" t="s">
        <v>9</v>
      </c>
      <c r="L5" s="65">
        <v>2</v>
      </c>
      <c r="M5" s="65">
        <v>3</v>
      </c>
      <c r="N5" s="65">
        <v>4</v>
      </c>
      <c r="O5" s="65">
        <v>5</v>
      </c>
      <c r="P5" s="60" t="s">
        <v>57</v>
      </c>
    </row>
    <row r="6" spans="5:19" x14ac:dyDescent="0.35">
      <c r="K6" s="1" t="s">
        <v>69</v>
      </c>
      <c r="L6" s="61">
        <v>0.83499999999999996</v>
      </c>
      <c r="M6" s="61">
        <v>5.8000000000000003E-2</v>
      </c>
      <c r="N6" s="61">
        <v>3.5999999999999997E-2</v>
      </c>
      <c r="O6" s="61">
        <v>1.4999999999999999E-2</v>
      </c>
      <c r="P6" s="61">
        <v>5.6000000000000001E-2</v>
      </c>
      <c r="Q6" s="57">
        <f>SUM(L6:P6)</f>
        <v>1</v>
      </c>
    </row>
    <row r="7" spans="5:19" x14ac:dyDescent="0.35">
      <c r="H7" s="1" t="s">
        <v>3</v>
      </c>
      <c r="I7" s="2">
        <f>79%/21%*I3</f>
        <v>2572.4881000409314</v>
      </c>
      <c r="L7" s="72">
        <f>L6*$I$2</f>
        <v>265.51716753665011</v>
      </c>
      <c r="M7" s="72">
        <f>M6*$I$2</f>
        <v>18.443108643264321</v>
      </c>
      <c r="N7" s="72">
        <f>N6*$I$2</f>
        <v>11.447446744095094</v>
      </c>
      <c r="O7" s="72">
        <f>O6*$I$2</f>
        <v>4.7697694767062897</v>
      </c>
      <c r="P7" s="72">
        <f>P6*$I$2</f>
        <v>17.807139379703482</v>
      </c>
      <c r="Q7" s="58">
        <f>SUM(L7:P7)</f>
        <v>317.98463178041931</v>
      </c>
    </row>
    <row r="8" spans="5:19" s="1" customFormat="1" x14ac:dyDescent="0.35">
      <c r="E8"/>
      <c r="F8"/>
      <c r="G8"/>
      <c r="H8" s="1" t="s">
        <v>4</v>
      </c>
      <c r="I8" s="2">
        <f>100/21*I3</f>
        <v>3256.3140506847226</v>
      </c>
      <c r="J8"/>
    </row>
    <row r="9" spans="5:19" s="1" customFormat="1" x14ac:dyDescent="0.35">
      <c r="E9"/>
      <c r="F9"/>
      <c r="G9"/>
      <c r="H9" s="13" t="s">
        <v>16</v>
      </c>
      <c r="I9" s="3">
        <v>0.1</v>
      </c>
      <c r="J9"/>
      <c r="L9" s="1" t="s">
        <v>58</v>
      </c>
      <c r="M9" s="63" t="s">
        <v>60</v>
      </c>
      <c r="N9" s="63" t="s">
        <v>61</v>
      </c>
      <c r="O9" s="63" t="s">
        <v>62</v>
      </c>
      <c r="P9" s="22"/>
      <c r="Q9"/>
    </row>
    <row r="10" spans="5:19" x14ac:dyDescent="0.35">
      <c r="H10" s="1" t="s">
        <v>15</v>
      </c>
      <c r="I10" s="2">
        <f>(1+I9)*I8</f>
        <v>3581.9454557531953</v>
      </c>
      <c r="L10" s="1" t="s">
        <v>59</v>
      </c>
      <c r="M10" s="22">
        <v>900</v>
      </c>
      <c r="N10" s="22">
        <v>0</v>
      </c>
      <c r="O10" s="22">
        <v>0</v>
      </c>
      <c r="P10" s="22"/>
      <c r="Q10" s="1"/>
    </row>
    <row r="11" spans="5:19" s="1" customFormat="1" x14ac:dyDescent="0.35">
      <c r="E11"/>
      <c r="F11"/>
      <c r="G11"/>
      <c r="I11" s="4"/>
      <c r="J11"/>
      <c r="L11" s="1" t="s">
        <v>63</v>
      </c>
      <c r="M11" s="62">
        <v>34</v>
      </c>
      <c r="N11" s="62">
        <v>29</v>
      </c>
      <c r="O11" s="62">
        <v>30</v>
      </c>
      <c r="P11" s="62"/>
    </row>
    <row r="12" spans="5:19" s="1" customFormat="1" ht="29" x14ac:dyDescent="0.35">
      <c r="E12"/>
      <c r="F12"/>
      <c r="G12"/>
      <c r="H12" s="1" t="s">
        <v>6</v>
      </c>
      <c r="I12" s="2">
        <f>I8</f>
        <v>3256.3140506847226</v>
      </c>
      <c r="J12" s="6" t="s">
        <v>12</v>
      </c>
      <c r="L12" s="1" t="s">
        <v>64</v>
      </c>
      <c r="M12" s="22">
        <v>25</v>
      </c>
      <c r="N12" s="22">
        <v>80</v>
      </c>
      <c r="O12" s="22">
        <v>550</v>
      </c>
      <c r="P12" s="22"/>
    </row>
    <row r="13" spans="5:19" s="1" customFormat="1" x14ac:dyDescent="0.35">
      <c r="E13"/>
      <c r="F13"/>
      <c r="G13"/>
      <c r="H13" s="1" t="s">
        <v>53</v>
      </c>
      <c r="I13" s="11">
        <f>(1+I9)*I7</f>
        <v>2829.7369100450246</v>
      </c>
      <c r="J13" s="7">
        <f>I13/$I$17</f>
        <v>0.72044662046898045</v>
      </c>
      <c r="L13" s="1" t="s">
        <v>65</v>
      </c>
      <c r="M13" s="1">
        <f>I2*M10+I2*M11*(M12-25)/1000</f>
        <v>286186.16860237735</v>
      </c>
      <c r="N13" s="1">
        <f>I10*(N10+N11*(N12-25)/1000)</f>
        <v>5713.2030019263466</v>
      </c>
      <c r="O13" s="1">
        <f>J18*(O10+O11*(O12-25)/1000)</f>
        <v>61862.12144932682</v>
      </c>
      <c r="P13" s="14"/>
      <c r="Q13" s="73"/>
    </row>
    <row r="14" spans="5:19" s="1" customFormat="1" x14ac:dyDescent="0.35">
      <c r="E14"/>
      <c r="F14"/>
      <c r="G14"/>
      <c r="H14" s="1" t="s">
        <v>0</v>
      </c>
      <c r="I14">
        <f>I9*I3</f>
        <v>68.382595064379174</v>
      </c>
      <c r="J14" s="7">
        <f t="shared" ref="J14:J16" si="0">I14/$I$17</f>
        <v>1.7410102450918973E-2</v>
      </c>
      <c r="L14" s="1" t="s">
        <v>67</v>
      </c>
      <c r="M14" s="1">
        <f>M13+N13-O13</f>
        <v>230037.25015497691</v>
      </c>
      <c r="Q14" s="75"/>
      <c r="R14" s="74" t="s">
        <v>80</v>
      </c>
      <c r="S14" s="74">
        <f>I2</f>
        <v>317.98463178041931</v>
      </c>
    </row>
    <row r="15" spans="5:19" s="1" customFormat="1" x14ac:dyDescent="0.35">
      <c r="E15"/>
      <c r="F15"/>
      <c r="G15"/>
      <c r="H15" s="1" t="s">
        <v>1</v>
      </c>
      <c r="I15" s="12">
        <f>I4</f>
        <v>373.63194234199261</v>
      </c>
      <c r="J15" s="7">
        <f t="shared" si="0"/>
        <v>9.5126111973168045E-2</v>
      </c>
      <c r="L15" s="15" t="s">
        <v>68</v>
      </c>
      <c r="M15" s="64">
        <f>M14/(M14+N13)</f>
        <v>0.97576588750765236</v>
      </c>
      <c r="N15" s="15"/>
      <c r="O15" s="15"/>
      <c r="Q15" s="75" t="s">
        <v>36</v>
      </c>
      <c r="R15" s="74" t="s">
        <v>77</v>
      </c>
      <c r="S15" s="75"/>
    </row>
    <row r="16" spans="5:19" s="1" customFormat="1" x14ac:dyDescent="0.35">
      <c r="E16"/>
      <c r="F16"/>
      <c r="G16"/>
      <c r="H16" s="1" t="s">
        <v>2</v>
      </c>
      <c r="I16" s="12">
        <f>I5</f>
        <v>656.00229536300503</v>
      </c>
      <c r="J16" s="7">
        <f t="shared" si="0"/>
        <v>0.16701716510693251</v>
      </c>
      <c r="L16" s="15"/>
      <c r="M16" s="66" t="s">
        <v>70</v>
      </c>
      <c r="N16">
        <v>908</v>
      </c>
      <c r="O16" s="68" t="s">
        <v>72</v>
      </c>
      <c r="P16" s="15"/>
      <c r="Q16" s="74" t="s">
        <v>78</v>
      </c>
      <c r="R16" s="75">
        <v>100</v>
      </c>
      <c r="S16" s="75" t="s">
        <v>74</v>
      </c>
    </row>
    <row r="17" spans="5:19" s="1" customFormat="1" x14ac:dyDescent="0.35">
      <c r="E17"/>
      <c r="F17"/>
      <c r="G17"/>
      <c r="H17" s="1" t="s">
        <v>13</v>
      </c>
      <c r="I17" s="10">
        <f>SUM(I13:I16)</f>
        <v>3927.7537428144014</v>
      </c>
      <c r="J17" s="7">
        <f>SUM(J13:J16)</f>
        <v>1</v>
      </c>
      <c r="L17" s="2"/>
      <c r="M17" s="67" t="s">
        <v>71</v>
      </c>
      <c r="N17" s="2">
        <v>3024</v>
      </c>
      <c r="O17" s="2"/>
      <c r="P17"/>
      <c r="Q17" s="75" t="s">
        <v>79</v>
      </c>
      <c r="R17" s="74">
        <f>N18</f>
        <v>108.71325621690779</v>
      </c>
      <c r="S17" s="74"/>
    </row>
    <row r="18" spans="5:19" x14ac:dyDescent="0.35">
      <c r="I18" s="1" t="s">
        <v>13</v>
      </c>
      <c r="J18" s="2">
        <f>I17</f>
        <v>3927.7537428144014</v>
      </c>
      <c r="M18" s="1" t="s">
        <v>73</v>
      </c>
      <c r="N18">
        <f>M14/(N17-N16)</f>
        <v>108.71325621690779</v>
      </c>
      <c r="O18" t="s">
        <v>74</v>
      </c>
      <c r="R18" s="76">
        <f>(R16-N18)/R16</f>
        <v>-8.7132562169077943E-2</v>
      </c>
      <c r="S18" s="75"/>
    </row>
    <row r="19" spans="5:19" x14ac:dyDescent="0.35">
      <c r="M19" s="1" t="s">
        <v>75</v>
      </c>
      <c r="N19" s="71">
        <f>N18/I2</f>
        <v>0.34188210797551533</v>
      </c>
      <c r="O19" t="s">
        <v>76</v>
      </c>
    </row>
    <row r="22" spans="5:19" x14ac:dyDescent="0.35">
      <c r="K22" s="69"/>
      <c r="N22" s="1"/>
    </row>
    <row r="23" spans="5:19" ht="14.5" customHeight="1" x14ac:dyDescent="0.35">
      <c r="G23" s="70"/>
      <c r="H23" s="70"/>
      <c r="I23" s="70"/>
      <c r="J23" s="69"/>
      <c r="K23"/>
    </row>
    <row r="24" spans="5:19" x14ac:dyDescent="0.35">
      <c r="G24" s="69"/>
      <c r="H24" s="69"/>
      <c r="K24" s="69"/>
    </row>
    <row r="25" spans="5:19" ht="16.5" customHeight="1" x14ac:dyDescent="0.35">
      <c r="G25" s="70"/>
      <c r="H25" s="70"/>
      <c r="I25" s="70"/>
      <c r="J25" s="69"/>
      <c r="K25"/>
    </row>
    <row r="26" spans="5:19" x14ac:dyDescent="0.35">
      <c r="G26" s="69"/>
      <c r="H26" s="69"/>
      <c r="K26" s="69"/>
    </row>
    <row r="27" spans="5:19" ht="14.5" customHeight="1" x14ac:dyDescent="0.35">
      <c r="G27" s="70"/>
      <c r="H27" s="70"/>
      <c r="I27" s="70"/>
      <c r="J27" s="69"/>
      <c r="K27"/>
    </row>
    <row r="28" spans="5:19" x14ac:dyDescent="0.35">
      <c r="G28" s="69"/>
      <c r="H28" s="69"/>
      <c r="K28" s="69"/>
    </row>
    <row r="29" spans="5:19" ht="14.5" customHeight="1" x14ac:dyDescent="0.35">
      <c r="G29" s="70"/>
      <c r="H29" s="70"/>
      <c r="I29" s="70"/>
      <c r="J29" s="69"/>
      <c r="K29"/>
    </row>
    <row r="30" spans="5:19" x14ac:dyDescent="0.35">
      <c r="G30" s="69"/>
      <c r="H30" s="69"/>
      <c r="K30" s="69"/>
    </row>
    <row r="31" spans="5:19" ht="16.5" customHeight="1" x14ac:dyDescent="0.35">
      <c r="G31" s="70"/>
      <c r="H31" s="70"/>
      <c r="I31" s="70"/>
      <c r="J31" s="69"/>
      <c r="K31"/>
    </row>
    <row r="32" spans="5:19" x14ac:dyDescent="0.35">
      <c r="G32" s="69"/>
      <c r="H32" s="69"/>
      <c r="K32" s="69"/>
    </row>
    <row r="33" spans="7:11" ht="16.5" customHeight="1" x14ac:dyDescent="0.35">
      <c r="G33" s="70"/>
      <c r="H33" s="70"/>
      <c r="I33" s="70"/>
      <c r="J33" s="69"/>
      <c r="K33"/>
    </row>
    <row r="34" spans="7:11" x14ac:dyDescent="0.35">
      <c r="G34" s="69"/>
      <c r="H34" s="69"/>
      <c r="K34"/>
    </row>
    <row r="35" spans="7:11" ht="14.5" customHeight="1" x14ac:dyDescent="0.35">
      <c r="G35" s="70"/>
      <c r="H35" s="70"/>
      <c r="I35" s="70"/>
      <c r="J35" s="69"/>
    </row>
  </sheetData>
  <mergeCells count="7">
    <mergeCell ref="G35:I35"/>
    <mergeCell ref="G23:I23"/>
    <mergeCell ref="G25:I25"/>
    <mergeCell ref="G27:I27"/>
    <mergeCell ref="G29:I29"/>
    <mergeCell ref="G31:I31"/>
    <mergeCell ref="G33:I33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81" r:id="rId3" name="Control 13">
          <controlPr defaultSize="0" r:id="rId4">
            <anchor moveWithCells="1">
              <from>
                <xdr:col>9</xdr:col>
                <xdr:colOff>0</xdr:colOff>
                <xdr:row>34</xdr:row>
                <xdr:rowOff>0</xdr:rowOff>
              </from>
              <to>
                <xdr:col>10</xdr:col>
                <xdr:colOff>171450</xdr:colOff>
                <xdr:row>35</xdr:row>
                <xdr:rowOff>44450</xdr:rowOff>
              </to>
            </anchor>
          </controlPr>
        </control>
      </mc:Choice>
      <mc:Fallback>
        <control shapeId="7181" r:id="rId3" name="Control 13"/>
      </mc:Fallback>
    </mc:AlternateContent>
    <mc:AlternateContent xmlns:mc="http://schemas.openxmlformats.org/markup-compatibility/2006">
      <mc:Choice Requires="x14">
        <control shapeId="7180" r:id="rId5" name="Control 12">
          <controlPr defaultSize="0" r:id="rId6">
            <anchor moveWithCells="1">
              <from>
                <xdr:col>9</xdr:col>
                <xdr:colOff>0</xdr:colOff>
                <xdr:row>32</xdr:row>
                <xdr:rowOff>0</xdr:rowOff>
              </from>
              <to>
                <xdr:col>10</xdr:col>
                <xdr:colOff>171450</xdr:colOff>
                <xdr:row>33</xdr:row>
                <xdr:rowOff>19050</xdr:rowOff>
              </to>
            </anchor>
          </controlPr>
        </control>
      </mc:Choice>
      <mc:Fallback>
        <control shapeId="7180" r:id="rId5" name="Control 12"/>
      </mc:Fallback>
    </mc:AlternateContent>
    <mc:AlternateContent xmlns:mc="http://schemas.openxmlformats.org/markup-compatibility/2006">
      <mc:Choice Requires="x14">
        <control shapeId="7179" r:id="rId7" name="Control 11">
          <controlPr defaultSize="0" r:id="rId8">
            <anchor moveWithCells="1">
              <from>
                <xdr:col>9</xdr:col>
                <xdr:colOff>0</xdr:colOff>
                <xdr:row>30</xdr:row>
                <xdr:rowOff>0</xdr:rowOff>
              </from>
              <to>
                <xdr:col>10</xdr:col>
                <xdr:colOff>171450</xdr:colOff>
                <xdr:row>31</xdr:row>
                <xdr:rowOff>19050</xdr:rowOff>
              </to>
            </anchor>
          </controlPr>
        </control>
      </mc:Choice>
      <mc:Fallback>
        <control shapeId="7179" r:id="rId7" name="Control 11"/>
      </mc:Fallback>
    </mc:AlternateContent>
    <mc:AlternateContent xmlns:mc="http://schemas.openxmlformats.org/markup-compatibility/2006">
      <mc:Choice Requires="x14">
        <control shapeId="7178" r:id="rId9" name="Control 10">
          <controlPr defaultSize="0" r:id="rId10">
            <anchor moveWithCells="1">
              <from>
                <xdr:col>9</xdr:col>
                <xdr:colOff>0</xdr:colOff>
                <xdr:row>28</xdr:row>
                <xdr:rowOff>0</xdr:rowOff>
              </from>
              <to>
                <xdr:col>10</xdr:col>
                <xdr:colOff>171450</xdr:colOff>
                <xdr:row>29</xdr:row>
                <xdr:rowOff>44450</xdr:rowOff>
              </to>
            </anchor>
          </controlPr>
        </control>
      </mc:Choice>
      <mc:Fallback>
        <control shapeId="7178" r:id="rId9" name="Control 10"/>
      </mc:Fallback>
    </mc:AlternateContent>
    <mc:AlternateContent xmlns:mc="http://schemas.openxmlformats.org/markup-compatibility/2006">
      <mc:Choice Requires="x14">
        <control shapeId="7177" r:id="rId11" name="Control 9">
          <controlPr defaultSize="0" r:id="rId12">
            <anchor moveWithCells="1">
              <from>
                <xdr:col>9</xdr:col>
                <xdr:colOff>0</xdr:colOff>
                <xdr:row>26</xdr:row>
                <xdr:rowOff>0</xdr:rowOff>
              </from>
              <to>
                <xdr:col>10</xdr:col>
                <xdr:colOff>171450</xdr:colOff>
                <xdr:row>27</xdr:row>
                <xdr:rowOff>44450</xdr:rowOff>
              </to>
            </anchor>
          </controlPr>
        </control>
      </mc:Choice>
      <mc:Fallback>
        <control shapeId="7177" r:id="rId11" name="Control 9"/>
      </mc:Fallback>
    </mc:AlternateContent>
    <mc:AlternateContent xmlns:mc="http://schemas.openxmlformats.org/markup-compatibility/2006">
      <mc:Choice Requires="x14">
        <control shapeId="7176" r:id="rId13" name="Control 8">
          <controlPr defaultSize="0" r:id="rId14">
            <anchor moveWithCells="1">
              <from>
                <xdr:col>9</xdr:col>
                <xdr:colOff>0</xdr:colOff>
                <xdr:row>24</xdr:row>
                <xdr:rowOff>0</xdr:rowOff>
              </from>
              <to>
                <xdr:col>10</xdr:col>
                <xdr:colOff>171450</xdr:colOff>
                <xdr:row>25</xdr:row>
                <xdr:rowOff>19050</xdr:rowOff>
              </to>
            </anchor>
          </controlPr>
        </control>
      </mc:Choice>
      <mc:Fallback>
        <control shapeId="7176" r:id="rId13" name="Control 8"/>
      </mc:Fallback>
    </mc:AlternateContent>
    <mc:AlternateContent xmlns:mc="http://schemas.openxmlformats.org/markup-compatibility/2006">
      <mc:Choice Requires="x14">
        <control shapeId="7175" r:id="rId15" name="Control 7">
          <controlPr defaultSize="0" r:id="rId16">
            <anchor moveWithCells="1">
              <from>
                <xdr:col>9</xdr:col>
                <xdr:colOff>0</xdr:colOff>
                <xdr:row>22</xdr:row>
                <xdr:rowOff>0</xdr:rowOff>
              </from>
              <to>
                <xdr:col>10</xdr:col>
                <xdr:colOff>171450</xdr:colOff>
                <xdr:row>23</xdr:row>
                <xdr:rowOff>44450</xdr:rowOff>
              </to>
            </anchor>
          </controlPr>
        </control>
      </mc:Choice>
      <mc:Fallback>
        <control shapeId="7175" r:id="rId15" name="Control 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STOI</vt:lpstr>
      <vt:lpstr>CH4</vt:lpstr>
      <vt:lpstr>CH4 (2)</vt:lpstr>
      <vt:lpstr>C2H6</vt:lpstr>
      <vt:lpstr>C3H8</vt:lpstr>
      <vt:lpstr>C4H10</vt:lpstr>
      <vt:lpstr>Gas Alam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Herri-TK ITB</dc:creator>
  <cp:lastModifiedBy>Herri-TK ITB</cp:lastModifiedBy>
  <dcterms:created xsi:type="dcterms:W3CDTF">2024-09-24T06:01:30Z</dcterms:created>
  <dcterms:modified xsi:type="dcterms:W3CDTF">2024-10-07T11:14:38Z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2024-10-01T07:55:19Z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b75bd39a-29f4-4194-9aa5-52f768103ff1</vt:lpwstr>
  </property>
  <property fmtid="{D5CDD505-2E9C-101B-9397-08002B2CF9AE}" pid="8" name="MSIP_Label_38b525e5-f3da-4501-8f1e-526b6769fc56_ContentBits">
    <vt:lpwstr>0</vt:lpwstr>
  </property>
</Properties>
</file>